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E48" i="39" l="1"/>
  <c r="C10" i="12"/>
  <c r="I40" i="39"/>
  <c r="I48" i="39"/>
  <c r="G48" i="39"/>
  <c r="I9" i="39"/>
  <c r="G9" i="39"/>
  <c r="I7" i="39"/>
  <c r="G7" i="39"/>
  <c r="G40" i="39"/>
  <c r="E40" i="39"/>
  <c r="C40" i="39"/>
  <c r="E9" i="39"/>
  <c r="E7" i="39"/>
  <c r="F19" i="6"/>
  <c r="C19" i="6"/>
  <c r="I13" i="3"/>
  <c r="AH5" i="59" l="1"/>
  <c r="AG5" i="59"/>
  <c r="AE5" i="59"/>
  <c r="AF5" i="59"/>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A15" i="55"/>
  <c r="A14" i="55"/>
  <c r="A11" i="55"/>
  <c r="A10" i="55"/>
  <c r="A9" i="55"/>
  <c r="A8" i="55"/>
  <c r="A6" i="54"/>
  <c r="A8" i="54"/>
  <c r="A7" i="54"/>
  <c r="A27" i="51"/>
  <c r="D5" i="46"/>
  <c r="Q9" i="59"/>
  <c r="O9" i="59"/>
  <c r="N10" i="59"/>
  <c r="O10" i="59"/>
  <c r="P10" i="59"/>
  <c r="Q10" i="59"/>
  <c r="N9" i="59"/>
  <c r="P9" i="59"/>
  <c r="K75" i="9"/>
  <c r="K6" i="4"/>
  <c r="O76" i="9" s="1"/>
  <c r="L76" i="9"/>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c r="T7" i="59"/>
  <c r="D7"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s="1"/>
  <c r="R2" i="54"/>
  <c r="B24" i="63" s="1"/>
  <c r="B49" i="50"/>
  <c r="B5" i="63"/>
  <c r="B40" i="50"/>
  <c r="B3" i="63"/>
  <c r="B21" i="63"/>
  <c r="B67" i="63"/>
  <c r="I19" i="46"/>
  <c r="Q11" i="59"/>
  <c r="F11" i="59" s="1"/>
  <c r="P11" i="59"/>
  <c r="O11" i="59"/>
  <c r="C11" i="59" s="1"/>
  <c r="N11" i="59"/>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Z21" i="59" s="1"/>
  <c r="N21" i="59"/>
  <c r="Q20" i="59"/>
  <c r="AB20" i="59" s="1"/>
  <c r="P20" i="59"/>
  <c r="AA20" i="59" s="1"/>
  <c r="O20" i="59"/>
  <c r="C21" i="59"/>
  <c r="C22" i="59" s="1"/>
  <c r="N20" i="59"/>
  <c r="B21" i="59"/>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AA12" i="59" s="1"/>
  <c r="O12" i="59"/>
  <c r="C13" i="59"/>
  <c r="C14" i="59" s="1"/>
  <c r="N12" i="59"/>
  <c r="B13" i="59"/>
  <c r="B14" i="59" s="1"/>
  <c r="B15" i="59" s="1"/>
  <c r="S15" i="59" s="1"/>
  <c r="D12" i="59"/>
  <c r="X3" i="59"/>
  <c r="X9" i="59"/>
  <c r="X11" i="59"/>
  <c r="AA8" i="59"/>
  <c r="AA10" i="59"/>
  <c r="Y8" i="59"/>
  <c r="Z8" i="59" s="1"/>
  <c r="Y9" i="59"/>
  <c r="Z9" i="59" s="1"/>
  <c r="Y10" i="59"/>
  <c r="Z10" i="59" s="1"/>
  <c r="Y11" i="59"/>
  <c r="Z11" i="59" s="1"/>
  <c r="Y3" i="59"/>
  <c r="Z3" i="59" s="1"/>
  <c r="AB11" i="59"/>
  <c r="AB8" i="59"/>
  <c r="AB10" i="59"/>
  <c r="E13" i="59"/>
  <c r="E14" i="59" s="1"/>
  <c r="E15" i="59" s="1"/>
  <c r="U15" i="59" s="1"/>
  <c r="B34" i="59"/>
  <c r="B35" i="59" s="1"/>
  <c r="S35" i="59" s="1"/>
  <c r="E34" i="59"/>
  <c r="E35" i="59"/>
  <c r="U35" i="59" s="1"/>
  <c r="S51" i="59"/>
  <c r="AA22" i="59"/>
  <c r="F18" i="59"/>
  <c r="F19" i="59" s="1"/>
  <c r="V19" i="59" s="1"/>
  <c r="F26" i="59"/>
  <c r="F27" i="59" s="1"/>
  <c r="V27" i="59" s="1"/>
  <c r="F38" i="59"/>
  <c r="F39" i="59" s="1"/>
  <c r="V39" i="59" s="1"/>
  <c r="F42" i="59"/>
  <c r="F43" i="59"/>
  <c r="V43" i="59" s="1"/>
  <c r="F46" i="59"/>
  <c r="F47" i="59" s="1"/>
  <c r="V47" i="59" s="1"/>
  <c r="D13" i="59"/>
  <c r="D21" i="59"/>
  <c r="C30" i="59"/>
  <c r="D30" i="59"/>
  <c r="D29" i="59"/>
  <c r="C34" i="59"/>
  <c r="C35" i="59" s="1"/>
  <c r="D33" i="59"/>
  <c r="C38" i="59"/>
  <c r="C39" i="59" s="1"/>
  <c r="D37" i="59"/>
  <c r="C42" i="59"/>
  <c r="D42" i="59" s="1"/>
  <c r="D41" i="59"/>
  <c r="C46" i="59"/>
  <c r="C47" i="59" s="1"/>
  <c r="D45" i="59"/>
  <c r="E49" i="59"/>
  <c r="P48" i="59" s="1"/>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N16" i="4" s="1"/>
  <c r="M16" i="4"/>
  <c r="K16" i="4"/>
  <c r="L16" i="4" s="1"/>
  <c r="K17" i="4" s="1"/>
  <c r="A22" i="51" s="1"/>
  <c r="B16" i="63" s="1"/>
  <c r="P49" i="59"/>
  <c r="C69" i="59"/>
  <c r="D69" i="59" s="1"/>
  <c r="D62" i="59"/>
  <c r="C61" i="59"/>
  <c r="D61" i="59"/>
  <c r="D54" i="59"/>
  <c r="C53" i="59"/>
  <c r="D53" i="59" s="1"/>
  <c r="C49" i="59"/>
  <c r="O49" i="59" s="1"/>
  <c r="O50" i="59"/>
  <c r="D50" i="59"/>
  <c r="D66" i="59"/>
  <c r="C65" i="59"/>
  <c r="D65" i="59" s="1"/>
  <c r="D58" i="59"/>
  <c r="C57" i="59"/>
  <c r="D57" i="59"/>
  <c r="N49" i="59"/>
  <c r="D46" i="59"/>
  <c r="C43" i="59"/>
  <c r="T43" i="59" s="1"/>
  <c r="D38" i="59"/>
  <c r="D34" i="59"/>
  <c r="D43" i="59"/>
  <c r="D49"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I5" i="3" s="1"/>
  <c r="BJ13" i="3"/>
  <c r="BK13" i="3"/>
  <c r="BM13" i="3"/>
  <c r="BL13" i="3" s="1"/>
  <c r="AZ13"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c r="J9" i="21"/>
  <c r="AC9" i="21"/>
  <c r="H8" i="21"/>
  <c r="U8" i="21" s="1"/>
  <c r="H9" i="21"/>
  <c r="H10" i="21"/>
  <c r="U10" i="21" s="1"/>
  <c r="H39" i="21"/>
  <c r="AB39" i="21" s="1"/>
  <c r="J34" i="21"/>
  <c r="W34" i="21" s="1"/>
  <c r="H36" i="21"/>
  <c r="U36" i="21" s="1"/>
  <c r="F35" i="21"/>
  <c r="AA35" i="21" s="1"/>
  <c r="J33" i="21"/>
  <c r="W33" i="21" s="1"/>
  <c r="H33" i="21"/>
  <c r="U33" i="21" s="1"/>
  <c r="F33" i="21"/>
  <c r="J10" i="21"/>
  <c r="AC10" i="21" s="1"/>
  <c r="H26" i="21"/>
  <c r="F19" i="2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AC31" i="36"/>
  <c r="J33" i="36"/>
  <c r="W33" i="36"/>
  <c r="AC27" i="35"/>
  <c r="U31" i="35"/>
  <c r="W36" i="35"/>
  <c r="W24" i="35"/>
  <c r="S31" i="35"/>
  <c r="W31" i="35"/>
  <c r="F36" i="34"/>
  <c r="S36" i="34"/>
  <c r="W9" i="34"/>
  <c r="S34" i="34"/>
  <c r="W39" i="34"/>
  <c r="H39" i="33"/>
  <c r="AB39" i="33" s="1"/>
  <c r="F26" i="33"/>
  <c r="AA26" i="33" s="1"/>
  <c r="U9" i="33"/>
  <c r="U33" i="33"/>
  <c r="W38" i="33"/>
  <c r="S40" i="33"/>
  <c r="S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F125" i="21"/>
  <c r="G125" i="21" s="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AZ541" i="3" s="1"/>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BA541" i="3"/>
  <c r="BA531" i="3"/>
  <c r="BA521" i="3"/>
  <c r="BA509" i="3"/>
  <c r="BA505" i="3"/>
  <c r="BA501" i="3"/>
  <c r="BA493" i="3"/>
  <c r="BA487" i="3"/>
  <c r="BA19" i="3"/>
  <c r="BA572" i="3"/>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c r="J43" i="33"/>
  <c r="AC43" i="33" s="1"/>
  <c r="G79" i="37"/>
  <c r="J23" i="37"/>
  <c r="W23" i="37" s="1"/>
  <c r="F17" i="37"/>
  <c r="AA17" i="37" s="1"/>
  <c r="AB43" i="33"/>
  <c r="D3" i="21"/>
  <c r="AC33" i="36"/>
  <c r="W23" i="35"/>
  <c r="AC23" i="37"/>
  <c r="S27" i="37"/>
  <c r="U39" i="37"/>
  <c r="AC8"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W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AB25" i="39"/>
  <c r="U37" i="34"/>
  <c r="AB37" i="34"/>
  <c r="AC41" i="40"/>
  <c r="W41" i="40"/>
  <c r="U41" i="40"/>
  <c r="J23" i="40"/>
  <c r="AC23" i="40"/>
  <c r="G92" i="40"/>
  <c r="F23" i="40"/>
  <c r="S23" i="40" s="1"/>
  <c r="AC15" i="40"/>
  <c r="W15" i="40"/>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s="1"/>
  <c r="K9" i="1"/>
  <c r="M9" i="1" s="1"/>
  <c r="B7" i="1"/>
  <c r="E7" i="1" s="1"/>
  <c r="K7" i="1"/>
  <c r="M7" i="1" s="1"/>
  <c r="F6" i="1"/>
  <c r="AP6" i="1" s="1"/>
  <c r="G11" i="1"/>
  <c r="M22" i="44"/>
  <c r="F32" i="15"/>
  <c r="F59" i="15" s="1"/>
  <c r="F29" i="12"/>
  <c r="F70" i="9"/>
  <c r="D86" i="9"/>
  <c r="M20" i="44"/>
  <c r="F31" i="43"/>
  <c r="C31" i="43" s="1"/>
  <c r="F30" i="44"/>
  <c r="C30" i="44"/>
  <c r="C27" i="43"/>
  <c r="C25" i="12"/>
  <c r="AC25" i="36"/>
  <c r="S8" i="36"/>
  <c r="AA26" i="36"/>
  <c r="AA28" i="36"/>
  <c r="U25" i="36"/>
  <c r="H20" i="36"/>
  <c r="U20" i="36"/>
  <c r="F68" i="36"/>
  <c r="G68" i="36"/>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U35" i="21"/>
  <c r="W43" i="21"/>
  <c r="AA37" i="21"/>
  <c r="S42" i="21"/>
  <c r="AB37" i="21"/>
  <c r="AB32" i="21"/>
  <c r="W28" i="21"/>
  <c r="AC46" i="21"/>
  <c r="AC26" i="21"/>
  <c r="F85" i="21"/>
  <c r="G85" i="21" s="1"/>
  <c r="J23" i="21"/>
  <c r="W23" i="21" s="1"/>
  <c r="F23" i="21"/>
  <c r="AA23" i="21" s="1"/>
  <c r="H23" i="21"/>
  <c r="AB23" i="21" s="1"/>
  <c r="AA17" i="21"/>
  <c r="W17" i="21"/>
  <c r="F15" i="21"/>
  <c r="S15" i="21" s="1"/>
  <c r="F77" i="21"/>
  <c r="G77" i="21" s="1"/>
  <c r="J15" i="21"/>
  <c r="AC15" i="21" s="1"/>
  <c r="H15" i="21"/>
  <c r="AC11" i="21"/>
  <c r="W13" i="21"/>
  <c r="AC23" i="21"/>
  <c r="AC21" i="21"/>
  <c r="W21"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19" i="39"/>
  <c r="AC38" i="39"/>
  <c r="W29" i="39"/>
  <c r="S29" i="39"/>
  <c r="AC21" i="39"/>
  <c r="S14" i="39"/>
  <c r="AB15" i="39"/>
  <c r="U11" i="39"/>
  <c r="U41" i="39"/>
  <c r="U23" i="39"/>
  <c r="AB38" i="39"/>
  <c r="U31" i="39"/>
  <c r="AB31" i="39"/>
  <c r="S25" i="39"/>
  <c r="S38" i="39"/>
  <c r="S22" i="31"/>
  <c r="M20" i="15"/>
  <c r="D96" i="9"/>
  <c r="F28" i="15"/>
  <c r="C28" i="15" s="1"/>
  <c r="M18" i="15"/>
  <c r="A18" i="64"/>
  <c r="B74" i="63"/>
  <c r="C53" i="10"/>
  <c r="A25" i="64" s="1"/>
  <c r="A18" i="51"/>
  <c r="B14" i="63"/>
  <c r="BA16" i="3"/>
  <c r="BA17" i="3"/>
  <c r="AZ17" i="3" s="1"/>
  <c r="F3" i="35"/>
  <c r="K1" i="43"/>
  <c r="K1" i="12"/>
  <c r="G1" i="44"/>
  <c r="I4" i="6"/>
  <c r="G3" i="46" s="1"/>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c r="C59" i="34"/>
  <c r="D59" i="34"/>
  <c r="E59" i="34" s="1"/>
  <c r="C48" i="35"/>
  <c r="D48" i="35" s="1"/>
  <c r="C52" i="37"/>
  <c r="D52" i="37" s="1"/>
  <c r="C67" i="40"/>
  <c r="D65" i="40"/>
  <c r="P24" i="46"/>
  <c r="B68" i="40" s="1"/>
  <c r="P25" i="46"/>
  <c r="B73" i="39" s="1"/>
  <c r="P23" i="46"/>
  <c r="P21" i="46"/>
  <c r="P22" i="46"/>
  <c r="C72" i="39"/>
  <c r="D70" i="39"/>
  <c r="E70" i="39" s="1"/>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8" i="52"/>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8" i="39"/>
  <c r="E5" i="6"/>
  <c r="D21" i="12" s="1"/>
  <c r="C21" i="12" s="1"/>
  <c r="G29" i="6"/>
  <c r="AZ16" i="3"/>
  <c r="H70" i="46"/>
  <c r="H72" i="46"/>
  <c r="A9" i="64"/>
  <c r="A9" i="51"/>
  <c r="B9" i="63" s="1"/>
  <c r="A25" i="51"/>
  <c r="B18" i="63"/>
  <c r="A3" i="55"/>
  <c r="B56" i="63"/>
  <c r="E46" i="36"/>
  <c r="D72" i="39"/>
  <c r="D67" i="40"/>
  <c r="E65" i="40"/>
  <c r="E67" i="40" s="1"/>
  <c r="E4" i="4"/>
  <c r="C4" i="4"/>
  <c r="G66" i="36"/>
  <c r="J18" i="36"/>
  <c r="AE8" i="1"/>
  <c r="AE7" i="1"/>
  <c r="AE6" i="1"/>
  <c r="W18" i="36"/>
  <c r="AC18" i="36"/>
  <c r="AG6" i="1"/>
  <c r="E29" i="6"/>
  <c r="L20" i="6"/>
  <c r="L19" i="6"/>
  <c r="L27" i="6" s="1"/>
  <c r="K15" i="1"/>
  <c r="B21" i="55"/>
  <c r="B72" i="63" s="1"/>
  <c r="B20" i="55"/>
  <c r="B70" i="63" s="1"/>
  <c r="F65" i="40"/>
  <c r="G65" i="40" s="1"/>
  <c r="H65" i="40" s="1"/>
  <c r="H67" i="40" s="1"/>
  <c r="S7" i="1"/>
  <c r="S8" i="1"/>
  <c r="S9" i="1"/>
  <c r="G67" i="40"/>
  <c r="R9" i="1"/>
  <c r="I65" i="40"/>
  <c r="J65" i="40" s="1"/>
  <c r="J67" i="40" s="1"/>
  <c r="R7" i="1"/>
  <c r="R8" i="1"/>
  <c r="C45" i="9"/>
  <c r="H14" i="66" s="1"/>
  <c r="B7" i="66" s="1"/>
  <c r="K31" i="9"/>
  <c r="K32" i="9" s="1"/>
  <c r="N76" i="9"/>
  <c r="C46" i="9"/>
  <c r="K33" i="9" s="1"/>
  <c r="F33" i="44"/>
  <c r="F31" i="15"/>
  <c r="F8" i="67"/>
  <c r="F12" i="67"/>
  <c r="E9" i="67"/>
  <c r="E13" i="67"/>
  <c r="B13" i="67"/>
  <c r="F9" i="67"/>
  <c r="F13" i="67"/>
  <c r="E10" i="67"/>
  <c r="E14" i="67"/>
  <c r="B8" i="67"/>
  <c r="B10" i="67"/>
  <c r="J6" i="65"/>
  <c r="I6" i="65"/>
  <c r="N3" i="65"/>
  <c r="L48" i="15"/>
  <c r="M11" i="44"/>
  <c r="M24" i="15"/>
  <c r="F15" i="44"/>
  <c r="F6" i="15"/>
  <c r="M29" i="44"/>
  <c r="M26" i="44"/>
  <c r="M22" i="15"/>
  <c r="M8" i="15"/>
  <c r="F9" i="44"/>
  <c r="F43" i="15"/>
  <c r="M29" i="15"/>
  <c r="M24" i="44"/>
  <c r="F46" i="44"/>
  <c r="M23" i="44"/>
  <c r="M6" i="15"/>
  <c r="F18" i="44"/>
  <c r="J17" i="44"/>
  <c r="M26" i="15"/>
  <c r="M10" i="44"/>
  <c r="M8" i="44"/>
  <c r="F28" i="44"/>
  <c r="F7" i="15"/>
  <c r="L47" i="15"/>
  <c r="F8" i="15"/>
  <c r="F38" i="15"/>
  <c r="F9" i="15"/>
  <c r="F38" i="44"/>
  <c r="C19" i="44"/>
  <c r="F10" i="67"/>
  <c r="F14" i="67"/>
  <c r="E11" i="67"/>
  <c r="B9" i="67"/>
  <c r="B11" i="67"/>
  <c r="F11" i="67"/>
  <c r="E8" i="67"/>
  <c r="E12" i="67"/>
  <c r="B14" i="67"/>
  <c r="B12" i="67"/>
  <c r="I3" i="65"/>
  <c r="I5" i="65"/>
  <c r="N7" i="65"/>
  <c r="I7" i="65"/>
  <c r="F11" i="44"/>
  <c r="F26" i="15"/>
  <c r="M25" i="44"/>
  <c r="L48" i="44"/>
  <c r="F42" i="15"/>
  <c r="F10" i="44"/>
  <c r="F40" i="15"/>
  <c r="F40" i="44"/>
  <c r="M23" i="15"/>
  <c r="F37" i="15"/>
  <c r="F45" i="44"/>
  <c r="F43" i="44"/>
  <c r="J15" i="15"/>
  <c r="M21" i="15"/>
  <c r="L49" i="44"/>
  <c r="M27" i="15"/>
  <c r="M28" i="15"/>
  <c r="F39" i="44"/>
  <c r="F16" i="15"/>
  <c r="J36" i="15"/>
  <c r="F36" i="15"/>
  <c r="M28" i="44"/>
  <c r="F8" i="44"/>
  <c r="M31" i="44"/>
  <c r="M9" i="15"/>
  <c r="M30" i="44"/>
  <c r="F13" i="15"/>
  <c r="F41" i="15"/>
  <c r="F37" i="44"/>
  <c r="F35" i="15"/>
  <c r="W44" i="21" l="1"/>
  <c r="S44" i="21"/>
  <c r="AB44" i="21"/>
  <c r="AB11" i="21"/>
  <c r="U23" i="21"/>
  <c r="W15" i="21"/>
  <c r="S23" i="21"/>
  <c r="AA15" i="21"/>
  <c r="AC32" i="21"/>
  <c r="AB33" i="21"/>
  <c r="AA11" i="21"/>
  <c r="AA9" i="21"/>
  <c r="W10" i="21"/>
  <c r="S10" i="21"/>
  <c r="G101" i="39"/>
  <c r="F27" i="39"/>
  <c r="AA27" i="39" s="1"/>
  <c r="J27" i="39"/>
  <c r="AC27" i="39" s="1"/>
  <c r="H27" i="39"/>
  <c r="AB27" i="39" s="1"/>
  <c r="U27" i="39"/>
  <c r="S27" i="39"/>
  <c r="W27" i="39"/>
  <c r="C29" i="12"/>
  <c r="C18" i="9"/>
  <c r="E21" i="52"/>
  <c r="C24" i="12"/>
  <c r="F13" i="39"/>
  <c r="F91" i="39"/>
  <c r="G91" i="39" s="1"/>
  <c r="F17" i="39"/>
  <c r="J17" i="39"/>
  <c r="W17" i="39" s="1"/>
  <c r="H17" i="39"/>
  <c r="U17" i="39" s="1"/>
  <c r="AC17" i="39"/>
  <c r="AB17" i="39"/>
  <c r="W13" i="39"/>
  <c r="U13" i="39"/>
  <c r="G30" i="6"/>
  <c r="G31" i="6" s="1"/>
  <c r="E28" i="6"/>
  <c r="K14" i="1" s="1"/>
  <c r="M14" i="1" s="1"/>
  <c r="O14" i="1" s="1"/>
  <c r="P14" i="1" s="1"/>
  <c r="F30" i="6"/>
  <c r="F27" i="6"/>
  <c r="F31" i="6" s="1"/>
  <c r="H22" i="46"/>
  <c r="AB11" i="46"/>
  <c r="AB13" i="46" s="1"/>
  <c r="AE11" i="46"/>
  <c r="AE13" i="46" s="1"/>
  <c r="AJ11" i="46"/>
  <c r="AJ13" i="46" s="1"/>
  <c r="AD11" i="46"/>
  <c r="Y11" i="46"/>
  <c r="Y13" i="46" s="1"/>
  <c r="AC11" i="46"/>
  <c r="AC13" i="46" s="1"/>
  <c r="F101" i="46"/>
  <c r="N101" i="46"/>
  <c r="K101" i="46"/>
  <c r="Z7" i="46"/>
  <c r="E101" i="46"/>
  <c r="F22" i="46"/>
  <c r="L101" i="46"/>
  <c r="N104" i="45"/>
  <c r="B113" i="46"/>
  <c r="J101" i="46"/>
  <c r="G101" i="46"/>
  <c r="C101" i="46"/>
  <c r="J22" i="46"/>
  <c r="AF11" i="46"/>
  <c r="AF13" i="46" s="1"/>
  <c r="AI11" i="46"/>
  <c r="AI13" i="46" s="1"/>
  <c r="AA11" i="46"/>
  <c r="AA13" i="46" s="1"/>
  <c r="C23" i="46"/>
  <c r="C21" i="46" s="1"/>
  <c r="AH11" i="46"/>
  <c r="Z11" i="46"/>
  <c r="Z13" i="46" s="1"/>
  <c r="AG11" i="46"/>
  <c r="AG13" i="46" s="1"/>
  <c r="E22" i="46"/>
  <c r="H101" i="46"/>
  <c r="H103" i="46" s="1"/>
  <c r="M101" i="46"/>
  <c r="D101" i="46"/>
  <c r="D107" i="46" s="1"/>
  <c r="I101" i="46"/>
  <c r="G22" i="46"/>
  <c r="G6" i="1"/>
  <c r="E16" i="52"/>
  <c r="B13" i="52"/>
  <c r="E6" i="52"/>
  <c r="E4" i="52"/>
  <c r="B11" i="52"/>
  <c r="B5" i="52"/>
  <c r="B22" i="52"/>
  <c r="B14" i="52"/>
  <c r="E7" i="52"/>
  <c r="O40" i="9"/>
  <c r="R7" i="54" s="1"/>
  <c r="B52" i="63" s="1"/>
  <c r="E72" i="39"/>
  <c r="F70" i="39"/>
  <c r="E58" i="21"/>
  <c r="F58" i="21" s="1"/>
  <c r="G58" i="21" s="1"/>
  <c r="H58" i="21" s="1"/>
  <c r="I58" i="21" s="1"/>
  <c r="J58" i="21" s="1"/>
  <c r="K58" i="21" s="1"/>
  <c r="L58" i="21" s="1"/>
  <c r="M58" i="21" s="1"/>
  <c r="N58" i="21" s="1"/>
  <c r="O58" i="21" s="1"/>
  <c r="J7" i="21"/>
  <c r="F7" i="21"/>
  <c r="H7" i="21"/>
  <c r="E58" i="33"/>
  <c r="F58" i="33" s="1"/>
  <c r="G58" i="33" s="1"/>
  <c r="H58" i="33" s="1"/>
  <c r="I58" i="33" s="1"/>
  <c r="J58" i="33" s="1"/>
  <c r="K58" i="33" s="1"/>
  <c r="L58" i="33" s="1"/>
  <c r="M58" i="33" s="1"/>
  <c r="N58" i="33" s="1"/>
  <c r="O58" i="33" s="1"/>
  <c r="F7" i="33"/>
  <c r="J7" i="33"/>
  <c r="H7" i="33"/>
  <c r="I67" i="40"/>
  <c r="K65" i="40"/>
  <c r="F67" i="40"/>
  <c r="E5" i="52"/>
  <c r="B6" i="52"/>
  <c r="B16" i="52"/>
  <c r="B23" i="52"/>
  <c r="E10" i="52"/>
  <c r="E9" i="52"/>
  <c r="B8" i="52"/>
  <c r="B4" i="52"/>
  <c r="B9" i="52"/>
  <c r="B10" i="52"/>
  <c r="B7" i="52"/>
  <c r="E11" i="52"/>
  <c r="F62" i="15"/>
  <c r="C61" i="15" s="1"/>
  <c r="C34" i="15"/>
  <c r="C36" i="44"/>
  <c r="F68" i="15"/>
  <c r="F65" i="15"/>
  <c r="F50" i="15"/>
  <c r="L58" i="15"/>
  <c r="L59" i="15"/>
  <c r="C8" i="44"/>
  <c r="F49" i="15"/>
  <c r="M7" i="15"/>
  <c r="C29" i="44"/>
  <c r="F63" i="15"/>
  <c r="Q72" i="15"/>
  <c r="J6" i="15"/>
  <c r="I55" i="44"/>
  <c r="J60" i="44"/>
  <c r="L57" i="44"/>
  <c r="J58" i="44"/>
  <c r="J56" i="44" s="1"/>
  <c r="J59" i="44" s="1"/>
  <c r="Q52" i="44" s="1"/>
  <c r="J61" i="44"/>
  <c r="Q50" i="44" s="1"/>
  <c r="J22" i="44"/>
  <c r="J20" i="15"/>
  <c r="Q73" i="44"/>
  <c r="F70" i="15"/>
  <c r="F64" i="15"/>
  <c r="M9" i="44"/>
  <c r="F67" i="15"/>
  <c r="C6" i="15"/>
  <c r="L60" i="44"/>
  <c r="L59" i="44"/>
  <c r="C27" i="15"/>
  <c r="J57" i="15"/>
  <c r="J55" i="15" s="1"/>
  <c r="J58" i="15" s="1"/>
  <c r="Q51" i="15" s="1"/>
  <c r="I54" i="15"/>
  <c r="L56" i="15"/>
  <c r="I14" i="66"/>
  <c r="B8" i="66" s="1"/>
  <c r="O41" i="9"/>
  <c r="R8" i="54" s="1"/>
  <c r="B54" i="63" s="1"/>
  <c r="O6" i="1"/>
  <c r="P6" i="1" s="1"/>
  <c r="C15" i="12" s="1"/>
  <c r="E48" i="35"/>
  <c r="O7" i="1"/>
  <c r="P7" i="1" s="1"/>
  <c r="O9" i="1"/>
  <c r="P9" i="1" s="1"/>
  <c r="O11" i="1"/>
  <c r="P11" i="1" s="1"/>
  <c r="F46" i="36"/>
  <c r="O10" i="1"/>
  <c r="P10" i="1" s="1"/>
  <c r="E52" i="37"/>
  <c r="F7" i="34"/>
  <c r="F59" i="34"/>
  <c r="G59" i="34" s="1"/>
  <c r="H59" i="34" s="1"/>
  <c r="I59" i="34" s="1"/>
  <c r="J59" i="34" s="1"/>
  <c r="K59" i="34" s="1"/>
  <c r="L59" i="34" s="1"/>
  <c r="M59" i="34" s="1"/>
  <c r="N59" i="34" s="1"/>
  <c r="O59" i="34" s="1"/>
  <c r="J7" i="34"/>
  <c r="H7" i="34"/>
  <c r="AZ572" i="3"/>
  <c r="S33" i="40"/>
  <c r="AC14" i="40"/>
  <c r="F71" i="9"/>
  <c r="F66" i="9"/>
  <c r="P72" i="9" s="1"/>
  <c r="U12" i="37"/>
  <c r="AZ544" i="3"/>
  <c r="AZ562" i="3"/>
  <c r="AC31" i="34"/>
  <c r="W31" i="34"/>
  <c r="S27" i="33"/>
  <c r="AA27" i="33"/>
  <c r="U13" i="21"/>
  <c r="AB13" i="21"/>
  <c r="U14" i="21"/>
  <c r="AB14" i="21"/>
  <c r="AA19" i="21"/>
  <c r="S19" i="21"/>
  <c r="AB9" i="21"/>
  <c r="U9" i="21"/>
  <c r="H5" i="3"/>
  <c r="BL572" i="3"/>
  <c r="BL5" i="3" s="1"/>
  <c r="AC23" i="36"/>
  <c r="W23" i="36"/>
  <c r="E30" i="6"/>
  <c r="D12" i="11"/>
  <c r="C12" i="11" s="1"/>
  <c r="M106" i="46"/>
  <c r="M102" i="46"/>
  <c r="I103" i="46"/>
  <c r="W41" i="34"/>
  <c r="AC41" i="34"/>
  <c r="AZ492" i="3"/>
  <c r="AZ493" i="3"/>
  <c r="S46" i="33"/>
  <c r="AC35" i="35"/>
  <c r="W35" i="35"/>
  <c r="AC46" i="33"/>
  <c r="W46" i="33"/>
  <c r="U40" i="37"/>
  <c r="AB40" i="37"/>
  <c r="AA45" i="21"/>
  <c r="S45" i="21"/>
  <c r="AB46" i="21"/>
  <c r="U46" i="21"/>
  <c r="AB28" i="21"/>
  <c r="U28" i="21"/>
  <c r="AA22" i="35"/>
  <c r="S22" i="35"/>
  <c r="BA570" i="3"/>
  <c r="W40" i="33"/>
  <c r="AB8" i="36"/>
  <c r="W33" i="33"/>
  <c r="U26" i="36"/>
  <c r="BG5" i="3"/>
  <c r="J12" i="35"/>
  <c r="J34" i="35"/>
  <c r="H34" i="35"/>
  <c r="F34" i="35"/>
  <c r="H12" i="36"/>
  <c r="F23" i="36"/>
  <c r="G536" i="3"/>
  <c r="G524" i="3"/>
  <c r="G512" i="3"/>
  <c r="G489" i="3"/>
  <c r="G481" i="3"/>
  <c r="AZ397" i="3"/>
  <c r="BF5" i="3"/>
  <c r="H25" i="37"/>
  <c r="J25" i="37"/>
  <c r="F25" i="37"/>
  <c r="I1" i="65"/>
  <c r="AZ395" i="3"/>
  <c r="AZ405" i="3"/>
  <c r="AZ411" i="3"/>
  <c r="AZ417" i="3"/>
  <c r="G17" i="46"/>
  <c r="C16" i="46" s="1"/>
  <c r="C5" i="46" s="1"/>
  <c r="A30" i="64"/>
  <c r="A30" i="51"/>
  <c r="B22" i="63" s="1"/>
  <c r="AZ419" i="3"/>
  <c r="AZ425" i="3"/>
  <c r="AZ429" i="3"/>
  <c r="AZ445" i="3"/>
  <c r="AZ448" i="3"/>
  <c r="AZ468" i="3"/>
  <c r="AZ472" i="3"/>
  <c r="AZ387" i="3"/>
  <c r="AZ216" i="3"/>
  <c r="AZ219" i="3"/>
  <c r="AZ232" i="3"/>
  <c r="AZ235" i="3"/>
  <c r="AZ248" i="3"/>
  <c r="AZ251" i="3"/>
  <c r="AZ264" i="3"/>
  <c r="AZ267" i="3"/>
  <c r="AZ271" i="3"/>
  <c r="AZ283" i="3"/>
  <c r="AZ287" i="3"/>
  <c r="AZ113" i="3"/>
  <c r="AZ129" i="3"/>
  <c r="AZ132" i="3"/>
  <c r="AZ145" i="3"/>
  <c r="AZ148" i="3"/>
  <c r="AZ25" i="3"/>
  <c r="AZ30" i="3"/>
  <c r="AZ41" i="3"/>
  <c r="AZ46" i="3"/>
  <c r="AZ57" i="3"/>
  <c r="AZ62" i="3"/>
  <c r="AZ65" i="3"/>
  <c r="AZ68" i="3"/>
  <c r="AZ75" i="3"/>
  <c r="AZ81" i="3"/>
  <c r="AZ85" i="3"/>
  <c r="AZ88" i="3"/>
  <c r="AZ95" i="3"/>
  <c r="AZ101" i="3"/>
  <c r="AZ104" i="3"/>
  <c r="AZ111" i="3"/>
  <c r="D1" i="57"/>
  <c r="E10" i="57" s="1"/>
  <c r="C26" i="59"/>
  <c r="D25" i="59"/>
  <c r="K13" i="1"/>
  <c r="M13" i="1" s="1"/>
  <c r="K12" i="1"/>
  <c r="J53" i="15"/>
  <c r="T47" i="59"/>
  <c r="D47" i="59"/>
  <c r="T39" i="59"/>
  <c r="D39" i="59"/>
  <c r="T35" i="59"/>
  <c r="D35" i="59"/>
  <c r="C15" i="59"/>
  <c r="D14" i="59"/>
  <c r="C23" i="59"/>
  <c r="D22" i="59"/>
  <c r="B54" i="46"/>
  <c r="C27" i="40"/>
  <c r="S27" i="40"/>
  <c r="S21" i="34"/>
  <c r="B11" i="59"/>
  <c r="X6" i="59"/>
  <c r="X7" i="59"/>
  <c r="AA7" i="59"/>
  <c r="E11" i="59"/>
  <c r="A28" i="64"/>
  <c r="AH10" i="46"/>
  <c r="AH12" i="46"/>
  <c r="AD10" i="46"/>
  <c r="AD12" i="46"/>
  <c r="AD13" i="46" s="1"/>
  <c r="D100" i="46"/>
  <c r="D23" i="15"/>
  <c r="O48" i="59"/>
  <c r="AB9" i="59"/>
  <c r="AB3" i="59"/>
  <c r="AA11" i="59"/>
  <c r="AA9" i="59"/>
  <c r="AA3" i="59"/>
  <c r="X10" i="59"/>
  <c r="X8" i="59"/>
  <c r="X12" i="59"/>
  <c r="Y12" i="59"/>
  <c r="Z12" i="59" s="1"/>
  <c r="F13" i="59"/>
  <c r="F14" i="59" s="1"/>
  <c r="F15" i="59" s="1"/>
  <c r="V15" i="59" s="1"/>
  <c r="X13" i="59"/>
  <c r="AA13" i="59"/>
  <c r="X14" i="59"/>
  <c r="AA14" i="59"/>
  <c r="X15" i="59"/>
  <c r="AA15" i="59"/>
  <c r="B17" i="59"/>
  <c r="B18" i="59" s="1"/>
  <c r="B19" i="59" s="1"/>
  <c r="S19" i="59" s="1"/>
  <c r="C17"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Q49" i="59"/>
  <c r="Q48" i="59"/>
  <c r="D11" i="59"/>
  <c r="T11" i="59"/>
  <c r="C10" i="59"/>
  <c r="V11" i="59"/>
  <c r="F10" i="59"/>
  <c r="F9" i="59" s="1"/>
  <c r="C5" i="59"/>
  <c r="D5" i="59" s="1"/>
  <c r="D6" i="59"/>
  <c r="X5" i="59"/>
  <c r="AA6" i="59"/>
  <c r="J54" i="44"/>
  <c r="Y6" i="59"/>
  <c r="Z6" i="59" s="1"/>
  <c r="AB6" i="59"/>
  <c r="AA5" i="59"/>
  <c r="Y5" i="59"/>
  <c r="Z5" i="59" s="1"/>
  <c r="AB5" i="59"/>
  <c r="V7" i="59"/>
  <c r="K76" i="9"/>
  <c r="K77" i="9" s="1"/>
  <c r="K79" i="9" s="1"/>
  <c r="K81" i="9" s="1"/>
  <c r="Y7" i="59"/>
  <c r="Z7" i="59" s="1"/>
  <c r="AB7" i="59"/>
  <c r="F58" i="15"/>
  <c r="M19" i="44"/>
  <c r="M17" i="15"/>
  <c r="C16" i="15"/>
  <c r="J4" i="65"/>
  <c r="J3" i="65"/>
  <c r="N5" i="65"/>
  <c r="C18" i="44"/>
  <c r="I4" i="65"/>
  <c r="N4" i="65"/>
  <c r="J7" i="65"/>
  <c r="N6" i="65"/>
  <c r="C17" i="15"/>
  <c r="J5" i="65"/>
  <c r="D18" i="9" l="1"/>
  <c r="M44" i="9" s="1"/>
  <c r="M43" i="9"/>
  <c r="AA13" i="39"/>
  <c r="S13" i="39"/>
  <c r="AA17" i="39"/>
  <c r="S17" i="39"/>
  <c r="AH13" i="46"/>
  <c r="D105" i="46"/>
  <c r="H107" i="46"/>
  <c r="D22" i="46"/>
  <c r="I105" i="46"/>
  <c r="I109" i="46"/>
  <c r="I102" i="46"/>
  <c r="I107" i="46"/>
  <c r="M107" i="46"/>
  <c r="M104" i="46"/>
  <c r="M105" i="46"/>
  <c r="M103" i="46"/>
  <c r="C104" i="46"/>
  <c r="C107" i="46"/>
  <c r="C102" i="46"/>
  <c r="C106" i="46"/>
  <c r="C105" i="46"/>
  <c r="C109" i="46"/>
  <c r="C103" i="46"/>
  <c r="J107" i="46"/>
  <c r="J102" i="46"/>
  <c r="J104" i="46"/>
  <c r="J103" i="46"/>
  <c r="J105" i="46"/>
  <c r="J109" i="46"/>
  <c r="J106" i="46"/>
  <c r="N105" i="46"/>
  <c r="N102" i="46"/>
  <c r="N107" i="46"/>
  <c r="N109" i="46"/>
  <c r="N103" i="46"/>
  <c r="N104" i="46"/>
  <c r="N106" i="46"/>
  <c r="I104" i="46"/>
  <c r="I106" i="46"/>
  <c r="M109" i="46"/>
  <c r="D106" i="46"/>
  <c r="D102" i="46"/>
  <c r="D109" i="46"/>
  <c r="D104" i="46"/>
  <c r="D103" i="46"/>
  <c r="H102" i="46"/>
  <c r="H105" i="46"/>
  <c r="H109" i="46"/>
  <c r="H104" i="46"/>
  <c r="H106" i="46"/>
  <c r="G102" i="46"/>
  <c r="G103" i="46"/>
  <c r="G106" i="46"/>
  <c r="G104" i="46"/>
  <c r="G107" i="46"/>
  <c r="G109" i="46"/>
  <c r="G105" i="46"/>
  <c r="I116" i="46"/>
  <c r="J116" i="46" s="1"/>
  <c r="K116" i="46" s="1"/>
  <c r="L116" i="46" s="1"/>
  <c r="M116" i="46" s="1"/>
  <c r="I118" i="46"/>
  <c r="J118" i="46" s="1"/>
  <c r="K118" i="46" s="1"/>
  <c r="L118" i="46" s="1"/>
  <c r="M118" i="46" s="1"/>
  <c r="B115" i="46"/>
  <c r="D116" i="46"/>
  <c r="E116" i="46" s="1"/>
  <c r="F116" i="46" s="1"/>
  <c r="G116" i="46" s="1"/>
  <c r="H116" i="46" s="1"/>
  <c r="G118" i="46"/>
  <c r="H118" i="46" s="1"/>
  <c r="D118" i="46"/>
  <c r="E118" i="46" s="1"/>
  <c r="F118" i="46" s="1"/>
  <c r="I115" i="46"/>
  <c r="J115" i="46" s="1"/>
  <c r="K115" i="46" s="1"/>
  <c r="L115" i="46" s="1"/>
  <c r="M115" i="46" s="1"/>
  <c r="B117" i="46"/>
  <c r="C117" i="46" s="1"/>
  <c r="D115" i="46"/>
  <c r="E115" i="46" s="1"/>
  <c r="F115" i="46" s="1"/>
  <c r="G115" i="46" s="1"/>
  <c r="H115" i="46" s="1"/>
  <c r="I117" i="46"/>
  <c r="J117" i="46" s="1"/>
  <c r="K117" i="46" s="1"/>
  <c r="L117" i="46" s="1"/>
  <c r="M117" i="46" s="1"/>
  <c r="B116" i="46"/>
  <c r="C116" i="46" s="1"/>
  <c r="D117" i="46"/>
  <c r="E117" i="46" s="1"/>
  <c r="F117" i="46" s="1"/>
  <c r="G117" i="46" s="1"/>
  <c r="H117" i="46" s="1"/>
  <c r="B118" i="46"/>
  <c r="C118" i="46" s="1"/>
  <c r="L102" i="46"/>
  <c r="L105" i="46"/>
  <c r="L104" i="46"/>
  <c r="L106" i="46"/>
  <c r="L107" i="46"/>
  <c r="L109" i="46"/>
  <c r="L103" i="46"/>
  <c r="E104" i="46"/>
  <c r="E106" i="46"/>
  <c r="E105" i="46"/>
  <c r="E109" i="46"/>
  <c r="E103" i="46"/>
  <c r="E107" i="46"/>
  <c r="E102" i="46"/>
  <c r="K107" i="46"/>
  <c r="K103" i="46"/>
  <c r="K109" i="46"/>
  <c r="K104" i="46"/>
  <c r="K105" i="46"/>
  <c r="K102" i="46"/>
  <c r="K106" i="46"/>
  <c r="F106" i="46"/>
  <c r="F103" i="46"/>
  <c r="F105" i="46"/>
  <c r="F102" i="46"/>
  <c r="F109" i="46"/>
  <c r="F107" i="46"/>
  <c r="F104" i="46"/>
  <c r="L65" i="40"/>
  <c r="K67" i="40"/>
  <c r="AB7" i="33"/>
  <c r="T48" i="33" s="1"/>
  <c r="G48" i="33" s="1"/>
  <c r="U7" i="33"/>
  <c r="S7" i="33"/>
  <c r="AA7" i="33"/>
  <c r="R48" i="33" s="1"/>
  <c r="U7" i="21"/>
  <c r="AB7" i="21"/>
  <c r="T48" i="21" s="1"/>
  <c r="G48" i="21" s="1"/>
  <c r="AC7" i="21"/>
  <c r="V48" i="21" s="1"/>
  <c r="I48" i="21" s="1"/>
  <c r="W7" i="21"/>
  <c r="G70" i="39"/>
  <c r="F72" i="39"/>
  <c r="L47" i="44"/>
  <c r="AC7" i="33"/>
  <c r="V48" i="33" s="1"/>
  <c r="I48" i="33" s="1"/>
  <c r="W7" i="33"/>
  <c r="S7" i="21"/>
  <c r="AA7" i="21"/>
  <c r="R48" i="21" s="1"/>
  <c r="C4" i="65"/>
  <c r="B39" i="1" s="1"/>
  <c r="E20" i="46"/>
  <c r="J1" i="65"/>
  <c r="C9" i="59"/>
  <c r="D9" i="59" s="1"/>
  <c r="D10" i="59"/>
  <c r="F1" i="15"/>
  <c r="Q53" i="15"/>
  <c r="O13" i="1"/>
  <c r="P13" i="1" s="1"/>
  <c r="C27" i="59"/>
  <c r="D26" i="59"/>
  <c r="W25" i="37"/>
  <c r="AC25" i="37"/>
  <c r="E14" i="6"/>
  <c r="E15" i="6"/>
  <c r="E13" i="6"/>
  <c r="E12" i="6"/>
  <c r="E10" i="6"/>
  <c r="E16" i="6" s="1"/>
  <c r="E11" i="6"/>
  <c r="AA23" i="36"/>
  <c r="S23" i="36"/>
  <c r="AA34" i="35"/>
  <c r="S34" i="35"/>
  <c r="AC34" i="35"/>
  <c r="W34" i="35"/>
  <c r="AB7" i="34"/>
  <c r="T49" i="34" s="1"/>
  <c r="G49" i="34" s="1"/>
  <c r="U7" i="34"/>
  <c r="G46" i="36"/>
  <c r="F48" i="35"/>
  <c r="Q63" i="44"/>
  <c r="Q76" i="44"/>
  <c r="Q74" i="15"/>
  <c r="Q61" i="15"/>
  <c r="Q54" i="44"/>
  <c r="F1" i="44"/>
  <c r="D17" i="59"/>
  <c r="C18" i="59"/>
  <c r="U11" i="59"/>
  <c r="E10" i="59"/>
  <c r="E9" i="59" s="1"/>
  <c r="B10" i="59"/>
  <c r="B9" i="59" s="1"/>
  <c r="S11" i="59"/>
  <c r="T23" i="59"/>
  <c r="D23" i="59"/>
  <c r="T15" i="59"/>
  <c r="D15" i="59"/>
  <c r="M12" i="1"/>
  <c r="K16" i="1"/>
  <c r="H16" i="1"/>
  <c r="Q16" i="1"/>
  <c r="AP16" i="1"/>
  <c r="F22" i="11" s="1"/>
  <c r="AA25" i="37"/>
  <c r="S25" i="37"/>
  <c r="U25" i="37"/>
  <c r="AB25" i="37"/>
  <c r="G5" i="3"/>
  <c r="B3" i="3" s="1"/>
  <c r="E512" i="3" s="1"/>
  <c r="U12" i="36"/>
  <c r="AB12" i="36"/>
  <c r="AB34" i="35"/>
  <c r="U34" i="35"/>
  <c r="W12" i="35"/>
  <c r="AC12" i="35"/>
  <c r="AZ570" i="3"/>
  <c r="AZ5" i="3" s="1"/>
  <c r="BA5" i="3"/>
  <c r="E27" i="6" s="1"/>
  <c r="W7" i="34"/>
  <c r="AC7" i="34"/>
  <c r="V49" i="34" s="1"/>
  <c r="I49" i="34" s="1"/>
  <c r="S7" i="34"/>
  <c r="AA7" i="34"/>
  <c r="R49" i="34" s="1"/>
  <c r="F52" i="37"/>
  <c r="G52" i="37" s="1"/>
  <c r="H52" i="37" s="1"/>
  <c r="I52" i="37" s="1"/>
  <c r="J52" i="37" s="1"/>
  <c r="K52" i="37" s="1"/>
  <c r="L52" i="37" s="1"/>
  <c r="M52" i="37" s="1"/>
  <c r="N52" i="37" s="1"/>
  <c r="O52" i="37" s="1"/>
  <c r="H7" i="37"/>
  <c r="G16" i="1"/>
  <c r="K34" i="9"/>
  <c r="Q75" i="44"/>
  <c r="Q62" i="44"/>
  <c r="J8" i="44"/>
  <c r="Q62" i="15"/>
  <c r="Q75" i="15"/>
  <c r="C48" i="15"/>
  <c r="E2" i="65"/>
  <c r="E3" i="65"/>
  <c r="B40" i="1" l="1"/>
  <c r="F24" i="15" s="1"/>
  <c r="C24" i="15" s="1"/>
  <c r="C115" i="46"/>
  <c r="D113" i="46" s="1"/>
  <c r="S5" i="46"/>
  <c r="S7" i="46"/>
  <c r="S3" i="46"/>
  <c r="S2" i="46"/>
  <c r="S6" i="46"/>
  <c r="S4" i="46"/>
  <c r="I52" i="33"/>
  <c r="J52" i="33" s="1"/>
  <c r="G52" i="21"/>
  <c r="H52" i="21" s="1"/>
  <c r="G53" i="21"/>
  <c r="H53" i="21" s="1"/>
  <c r="R49" i="33"/>
  <c r="E48" i="33"/>
  <c r="F7" i="37"/>
  <c r="R49" i="21"/>
  <c r="E48" i="21"/>
  <c r="H70" i="39"/>
  <c r="G72" i="39"/>
  <c r="I52" i="21"/>
  <c r="J52" i="21" s="1"/>
  <c r="I53" i="21"/>
  <c r="J53" i="21" s="1"/>
  <c r="G52" i="33"/>
  <c r="H52" i="33" s="1"/>
  <c r="G53" i="33"/>
  <c r="H53" i="33" s="1"/>
  <c r="M65" i="40"/>
  <c r="L67" i="40"/>
  <c r="F17" i="11"/>
  <c r="C17" i="11" s="1"/>
  <c r="E3" i="6"/>
  <c r="AY6" i="3"/>
  <c r="AB7" i="37"/>
  <c r="T42" i="37" s="1"/>
  <c r="G42" i="37" s="1"/>
  <c r="U7" i="37"/>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F18" i="11"/>
  <c r="C18" i="11" s="1"/>
  <c r="F33" i="12"/>
  <c r="C34" i="12" s="1"/>
  <c r="D33" i="12" s="1"/>
  <c r="F24" i="43"/>
  <c r="C26" i="43" s="1"/>
  <c r="D24" i="43" s="1"/>
  <c r="C19" i="59"/>
  <c r="D18" i="59"/>
  <c r="G48" i="35"/>
  <c r="H46" i="36"/>
  <c r="E524" i="3"/>
  <c r="E58" i="40"/>
  <c r="E63" i="39"/>
  <c r="E64" i="39"/>
  <c r="E59" i="40"/>
  <c r="E62" i="40"/>
  <c r="E67" i="39"/>
  <c r="T27" i="59"/>
  <c r="D27" i="59"/>
  <c r="O17" i="46"/>
  <c r="M17" i="46"/>
  <c r="P17" i="46"/>
  <c r="N17" i="46"/>
  <c r="H12" i="39"/>
  <c r="F12" i="39"/>
  <c r="J12" i="40"/>
  <c r="J12" i="39"/>
  <c r="H12" i="40"/>
  <c r="F12" i="40"/>
  <c r="AA7" i="37"/>
  <c r="R42" i="37" s="1"/>
  <c r="S7" i="37"/>
  <c r="R50" i="34"/>
  <c r="E49" i="34"/>
  <c r="I53" i="34"/>
  <c r="J53" i="34" s="1"/>
  <c r="I54" i="34"/>
  <c r="J54" i="34" s="1"/>
  <c r="K19" i="6"/>
  <c r="S6" i="1" s="1"/>
  <c r="K20" i="6"/>
  <c r="M20" i="6" s="1"/>
  <c r="I20" i="6" s="1"/>
  <c r="S20" i="6" s="1"/>
  <c r="E31" i="6"/>
  <c r="K25" i="6"/>
  <c r="M25" i="6" s="1"/>
  <c r="I25" i="6" s="1"/>
  <c r="S25" i="6" s="1"/>
  <c r="K22" i="6"/>
  <c r="M22" i="6" s="1"/>
  <c r="I22" i="6" s="1"/>
  <c r="S22" i="6" s="1"/>
  <c r="K26" i="6"/>
  <c r="M26" i="6" s="1"/>
  <c r="I26" i="6" s="1"/>
  <c r="S26" i="6" s="1"/>
  <c r="K21" i="6"/>
  <c r="M21" i="6" s="1"/>
  <c r="I21" i="6" s="1"/>
  <c r="S21" i="6" s="1"/>
  <c r="K23" i="6"/>
  <c r="M23" i="6" s="1"/>
  <c r="I23" i="6" s="1"/>
  <c r="S23" i="6" s="1"/>
  <c r="K24" i="6"/>
  <c r="M24" i="6" s="1"/>
  <c r="I24" i="6" s="1"/>
  <c r="S24" i="6" s="1"/>
  <c r="E536" i="3"/>
  <c r="E481" i="3"/>
  <c r="O12" i="1"/>
  <c r="O16" i="1" s="1"/>
  <c r="M16" i="1"/>
  <c r="G54" i="34"/>
  <c r="H54" i="34" s="1"/>
  <c r="G53" i="34"/>
  <c r="H53" i="34" s="1"/>
  <c r="E489" i="3"/>
  <c r="E65" i="39"/>
  <c r="E60" i="40"/>
  <c r="E66" i="39"/>
  <c r="E61" i="40"/>
  <c r="J7" i="37"/>
  <c r="F11" i="15"/>
  <c r="F13" i="44"/>
  <c r="C12" i="44" s="1"/>
  <c r="C7" i="44" s="1"/>
  <c r="M11" i="15"/>
  <c r="J10" i="15" s="1"/>
  <c r="J5" i="15" s="1"/>
  <c r="M13" i="44"/>
  <c r="J12" i="44" s="1"/>
  <c r="J7" i="44" s="1"/>
  <c r="F21" i="43" l="1"/>
  <c r="C23" i="43" s="1"/>
  <c r="D21" i="43" s="1"/>
  <c r="F26" i="44"/>
  <c r="C26" i="44" s="1"/>
  <c r="F26" i="12"/>
  <c r="C27" i="12" s="1"/>
  <c r="D26" i="12" s="1"/>
  <c r="C32" i="12" s="1"/>
  <c r="D30" i="12" s="1"/>
  <c r="S16" i="1"/>
  <c r="T6" i="1"/>
  <c r="H6" i="3"/>
  <c r="E6" i="3" s="1"/>
  <c r="AC6" i="3"/>
  <c r="M67" i="40"/>
  <c r="F9" i="40" s="1"/>
  <c r="N65" i="40"/>
  <c r="N67" i="40" s="1"/>
  <c r="H72" i="39"/>
  <c r="I70" i="39"/>
  <c r="C49" i="21"/>
  <c r="B3" i="21" s="1"/>
  <c r="B2" i="21" s="1"/>
  <c r="C48" i="21"/>
  <c r="E52" i="33"/>
  <c r="F52" i="33" s="1"/>
  <c r="E53" i="33"/>
  <c r="F53" i="33" s="1"/>
  <c r="I53" i="33"/>
  <c r="J53" i="33" s="1"/>
  <c r="J9" i="40"/>
  <c r="H9" i="40"/>
  <c r="E52" i="21"/>
  <c r="F52" i="21" s="1"/>
  <c r="E53" i="21"/>
  <c r="F53" i="21" s="1"/>
  <c r="C49" i="33"/>
  <c r="B3" i="33" s="1"/>
  <c r="B2" i="33" s="1"/>
  <c r="C48" i="33"/>
  <c r="J20" i="44"/>
  <c r="J28" i="44"/>
  <c r="J31" i="44" s="1"/>
  <c r="J26" i="44"/>
  <c r="C40" i="44"/>
  <c r="C34" i="44"/>
  <c r="W7" i="37"/>
  <c r="AC7" i="37"/>
  <c r="V42" i="37" s="1"/>
  <c r="I42" i="37" s="1"/>
  <c r="C13" i="43"/>
  <c r="N16" i="1"/>
  <c r="C29" i="43" s="1"/>
  <c r="L16" i="1"/>
  <c r="E54" i="34"/>
  <c r="F54" i="34" s="1"/>
  <c r="E53" i="34"/>
  <c r="F53" i="34" s="1"/>
  <c r="AA12" i="40"/>
  <c r="S12" i="40"/>
  <c r="AC12" i="39"/>
  <c r="W12" i="39"/>
  <c r="S12" i="39"/>
  <c r="AA12" i="39"/>
  <c r="M20" i="46"/>
  <c r="C19" i="46" s="1"/>
  <c r="D16" i="43"/>
  <c r="C16" i="43" s="1"/>
  <c r="D16" i="12"/>
  <c r="E6" i="6"/>
  <c r="L38" i="9"/>
  <c r="B14" i="66" s="1"/>
  <c r="B1" i="66" s="1"/>
  <c r="C21" i="4"/>
  <c r="O5" i="54" s="1"/>
  <c r="B45" i="63" s="1"/>
  <c r="D10" i="11"/>
  <c r="D45" i="9"/>
  <c r="D46" i="9"/>
  <c r="J18" i="15"/>
  <c r="J26" i="15"/>
  <c r="J29" i="15" s="1"/>
  <c r="J24" i="15"/>
  <c r="C52" i="15"/>
  <c r="C47" i="15" s="1"/>
  <c r="C10" i="15"/>
  <c r="C5" i="15" s="1"/>
  <c r="P12" i="1"/>
  <c r="P16" i="1" s="1"/>
  <c r="C13" i="12" s="1"/>
  <c r="M19" i="6"/>
  <c r="K27" i="6"/>
  <c r="C49" i="34"/>
  <c r="C50" i="34"/>
  <c r="B3" i="34" s="1"/>
  <c r="B2" i="34" s="1"/>
  <c r="E42" i="37"/>
  <c r="R43" i="37"/>
  <c r="AB12" i="40"/>
  <c r="U12" i="40"/>
  <c r="W12" i="40"/>
  <c r="AC12" i="40"/>
  <c r="AB12" i="39"/>
  <c r="U12" i="39"/>
  <c r="I46" i="36"/>
  <c r="H48" i="35"/>
  <c r="T19" i="59"/>
  <c r="D19" i="59"/>
  <c r="G46" i="37"/>
  <c r="H46"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C19" i="11"/>
  <c r="L52" i="44"/>
  <c r="T9" i="1" l="1"/>
  <c r="T7" i="1"/>
  <c r="T13" i="1"/>
  <c r="T12" i="1"/>
  <c r="T11" i="1"/>
  <c r="T10" i="1"/>
  <c r="T8" i="1"/>
  <c r="AC9" i="40"/>
  <c r="V44" i="40" s="1"/>
  <c r="I44" i="40" s="1"/>
  <c r="W9" i="40"/>
  <c r="J70" i="39"/>
  <c r="I72" i="39"/>
  <c r="U9" i="40"/>
  <c r="AB9" i="40"/>
  <c r="T44" i="40" s="1"/>
  <c r="G44" i="40" s="1"/>
  <c r="S9" i="40"/>
  <c r="AA9" i="40"/>
  <c r="R44" i="40" s="1"/>
  <c r="Q69" i="44"/>
  <c r="L58" i="44"/>
  <c r="L61" i="44" s="1"/>
  <c r="C20" i="11"/>
  <c r="C21" i="11" s="1"/>
  <c r="C22" i="11" s="1"/>
  <c r="C23" i="11" s="1"/>
  <c r="B2" i="11" s="1"/>
  <c r="E68" i="39"/>
  <c r="C22" i="4"/>
  <c r="D19" i="6"/>
  <c r="D21" i="6"/>
  <c r="D25" i="6"/>
  <c r="D10" i="6"/>
  <c r="D13" i="6"/>
  <c r="H21" i="6"/>
  <c r="H24" i="6"/>
  <c r="D6" i="6"/>
  <c r="D23" i="6"/>
  <c r="D14" i="6"/>
  <c r="D28" i="6"/>
  <c r="D20" i="6"/>
  <c r="D8" i="6"/>
  <c r="H23" i="6"/>
  <c r="E63" i="40"/>
  <c r="D24" i="6"/>
  <c r="D22" i="6"/>
  <c r="D12" i="6"/>
  <c r="H25" i="6"/>
  <c r="D5" i="6"/>
  <c r="H22" i="6"/>
  <c r="D15" i="6"/>
  <c r="F45" i="9"/>
  <c r="F46" i="9"/>
  <c r="K38" i="9"/>
  <c r="C14" i="66" s="1"/>
  <c r="B2" i="66" s="1"/>
  <c r="D26" i="6"/>
  <c r="D11" i="6"/>
  <c r="H20" i="6"/>
  <c r="D9" i="6"/>
  <c r="D29" i="6"/>
  <c r="H26" i="6"/>
  <c r="E45" i="9"/>
  <c r="E46" i="9"/>
  <c r="I48" i="35"/>
  <c r="C43" i="37"/>
  <c r="B3" i="37" s="1"/>
  <c r="B2" i="37" s="1"/>
  <c r="C42" i="37"/>
  <c r="C32" i="15"/>
  <c r="C38" i="15"/>
  <c r="D22" i="12"/>
  <c r="C22" i="12" s="1"/>
  <c r="C20" i="12" s="1"/>
  <c r="D13" i="11"/>
  <c r="C13" i="11" s="1"/>
  <c r="C33" i="46"/>
  <c r="C35" i="46"/>
  <c r="C36" i="46"/>
  <c r="C34" i="46"/>
  <c r="C38" i="46"/>
  <c r="C29" i="46"/>
  <c r="T7" i="46"/>
  <c r="V7" i="46" s="1"/>
  <c r="T4" i="46"/>
  <c r="V4" i="46" s="1"/>
  <c r="T8" i="46"/>
  <c r="V8" i="46" s="1"/>
  <c r="T12" i="46"/>
  <c r="V12" i="46" s="1"/>
  <c r="T16" i="46"/>
  <c r="V16" i="46" s="1"/>
  <c r="T9" i="46"/>
  <c r="V9" i="46" s="1"/>
  <c r="T13" i="46"/>
  <c r="V13" i="46" s="1"/>
  <c r="C39" i="46"/>
  <c r="C37" i="46"/>
  <c r="T2" i="46"/>
  <c r="V2" i="46" s="1"/>
  <c r="T3" i="46"/>
  <c r="V3" i="46" s="1"/>
  <c r="T6" i="46"/>
  <c r="V6" i="46" s="1"/>
  <c r="T10" i="46"/>
  <c r="V10" i="46" s="1"/>
  <c r="T14" i="46"/>
  <c r="V14" i="46" s="1"/>
  <c r="T5" i="46"/>
  <c r="V5" i="46" s="1"/>
  <c r="T11" i="46"/>
  <c r="V11" i="46" s="1"/>
  <c r="T15" i="46"/>
  <c r="V15" i="46" s="1"/>
  <c r="I46" i="37"/>
  <c r="J46" i="37" s="1"/>
  <c r="I47" i="37"/>
  <c r="J47" i="37" s="1"/>
  <c r="G47" i="37"/>
  <c r="H47" i="37" s="1"/>
  <c r="J46" i="36"/>
  <c r="E46" i="37"/>
  <c r="F46" i="37" s="1"/>
  <c r="E47" i="37"/>
  <c r="F47" i="37" s="1"/>
  <c r="M27" i="6"/>
  <c r="I19" i="6"/>
  <c r="H19" i="6" s="1"/>
  <c r="H27" i="6" s="1"/>
  <c r="C17" i="12"/>
  <c r="C14" i="12"/>
  <c r="C59" i="15"/>
  <c r="C65" i="15"/>
  <c r="C7" i="66"/>
  <c r="C8" i="66"/>
  <c r="C16" i="12"/>
  <c r="D19" i="12"/>
  <c r="C19" i="12" s="1"/>
  <c r="C17" i="43"/>
  <c r="C14" i="43"/>
  <c r="Q67" i="44"/>
  <c r="Q49" i="44"/>
  <c r="Q55" i="44" s="1"/>
  <c r="Q58" i="44"/>
  <c r="C14" i="15"/>
  <c r="C16" i="44"/>
  <c r="C17" i="44" l="1"/>
  <c r="C20" i="44"/>
  <c r="C15" i="15"/>
  <c r="C18" i="15"/>
  <c r="R26" i="6"/>
  <c r="T16" i="1"/>
  <c r="D16" i="6"/>
  <c r="D30" i="6"/>
  <c r="R24" i="6"/>
  <c r="R45" i="40"/>
  <c r="E44" i="40"/>
  <c r="G48" i="40"/>
  <c r="H48" i="40" s="1"/>
  <c r="G49" i="40"/>
  <c r="H49" i="40" s="1"/>
  <c r="J72" i="39"/>
  <c r="K70" i="39"/>
  <c r="I48" i="40"/>
  <c r="J48" i="40" s="1"/>
  <c r="I49" i="40"/>
  <c r="J49" i="40" s="1"/>
  <c r="C18" i="43"/>
  <c r="C19" i="43" s="1"/>
  <c r="C25" i="43" s="1"/>
  <c r="C24" i="43" s="1"/>
  <c r="C18" i="12"/>
  <c r="C23" i="12" s="1"/>
  <c r="C35" i="12" s="1"/>
  <c r="C33" i="12" s="1"/>
  <c r="K46" i="36"/>
  <c r="G37" i="46"/>
  <c r="I37" i="46" s="1"/>
  <c r="E37" i="46"/>
  <c r="G38" i="46"/>
  <c r="I38" i="46" s="1"/>
  <c r="E38" i="46"/>
  <c r="G36" i="46"/>
  <c r="I36" i="46" s="1"/>
  <c r="E36" i="46"/>
  <c r="E33" i="46"/>
  <c r="G33" i="46"/>
  <c r="I33" i="46" s="1"/>
  <c r="J48" i="35"/>
  <c r="R22" i="6"/>
  <c r="R20" i="6"/>
  <c r="R21" i="6"/>
  <c r="A6" i="64"/>
  <c r="A20" i="64"/>
  <c r="N5" i="54"/>
  <c r="B43" i="63" s="1"/>
  <c r="A6" i="51"/>
  <c r="B7" i="63" s="1"/>
  <c r="A20" i="51"/>
  <c r="B15" i="63" s="1"/>
  <c r="B3" i="11"/>
  <c r="B5" i="11"/>
  <c r="B4" i="11"/>
  <c r="Q59" i="44"/>
  <c r="Q64" i="44" s="1"/>
  <c r="Q68" i="44"/>
  <c r="Q77" i="44" s="1"/>
  <c r="I27" i="6"/>
  <c r="S19" i="6"/>
  <c r="S27" i="6" s="1"/>
  <c r="G39" i="46"/>
  <c r="I39" i="46" s="1"/>
  <c r="E39" i="46"/>
  <c r="E29" i="46"/>
  <c r="C30" i="46"/>
  <c r="E30" i="46" s="1"/>
  <c r="C27" i="46" s="1"/>
  <c r="G34" i="46"/>
  <c r="I34" i="46" s="1"/>
  <c r="E34" i="46"/>
  <c r="G35" i="46"/>
  <c r="I35" i="46" s="1"/>
  <c r="E35" i="46"/>
  <c r="D7" i="66"/>
  <c r="D8" i="66"/>
  <c r="R23" i="6"/>
  <c r="R25" i="6"/>
  <c r="R19" i="6"/>
  <c r="D27" i="6"/>
  <c r="D31" i="6" s="1"/>
  <c r="F7" i="67"/>
  <c r="C19" i="15" l="1"/>
  <c r="C20" i="15" s="1"/>
  <c r="C26" i="15" s="1"/>
  <c r="C21" i="44"/>
  <c r="C22" i="44" s="1"/>
  <c r="R27" i="6"/>
  <c r="R6" i="1"/>
  <c r="R16" i="1" s="1"/>
  <c r="E49" i="40"/>
  <c r="F49" i="40" s="1"/>
  <c r="E48" i="40"/>
  <c r="F48" i="40" s="1"/>
  <c r="L70" i="39"/>
  <c r="K72" i="39"/>
  <c r="C45" i="40"/>
  <c r="C44" i="40"/>
  <c r="E4" i="67"/>
  <c r="C26" i="46"/>
  <c r="L46" i="36"/>
  <c r="C28" i="12"/>
  <c r="C26" i="12" s="1"/>
  <c r="C31" i="12" s="1"/>
  <c r="C30" i="12" s="1"/>
  <c r="C36" i="12" s="1"/>
  <c r="B2" i="12" s="1"/>
  <c r="I6" i="6"/>
  <c r="I5" i="6"/>
  <c r="C22" i="43"/>
  <c r="C21" i="43" s="1"/>
  <c r="C28" i="43" s="1"/>
  <c r="C30" i="43" s="1"/>
  <c r="C32" i="43" s="1"/>
  <c r="B2" i="43" s="1"/>
  <c r="K48" i="35"/>
  <c r="E7" i="67"/>
  <c r="D19" i="9"/>
  <c r="L44" i="9" l="1"/>
  <c r="C23" i="15"/>
  <c r="C29" i="15" s="1"/>
  <c r="C28" i="44"/>
  <c r="C25" i="44"/>
  <c r="B54" i="40"/>
  <c r="F54" i="40" s="1"/>
  <c r="B55" i="40"/>
  <c r="F55" i="40" s="1"/>
  <c r="B57" i="40"/>
  <c r="F57" i="40" s="1"/>
  <c r="B53" i="40"/>
  <c r="F53" i="40" s="1"/>
  <c r="B56" i="40"/>
  <c r="F56" i="40" s="1"/>
  <c r="B58" i="40"/>
  <c r="F58" i="40" s="1"/>
  <c r="F63" i="40"/>
  <c r="B2" i="40" s="1"/>
  <c r="B61" i="40"/>
  <c r="F61" i="40" s="1"/>
  <c r="B60" i="40"/>
  <c r="F60" i="40" s="1"/>
  <c r="B59" i="40"/>
  <c r="F59" i="40" s="1"/>
  <c r="B62" i="40"/>
  <c r="F62" i="40" s="1"/>
  <c r="L72" i="39"/>
  <c r="M70" i="39"/>
  <c r="E3" i="67"/>
  <c r="L48" i="35"/>
  <c r="B2" i="46"/>
  <c r="B3" i="12"/>
  <c r="B4" i="12"/>
  <c r="B5" i="12"/>
  <c r="B3" i="43"/>
  <c r="B4" i="43"/>
  <c r="B5" i="43"/>
  <c r="M46" i="36"/>
  <c r="D20" i="9"/>
  <c r="D21" i="9"/>
  <c r="B7" i="67"/>
  <c r="C31" i="44" l="1"/>
  <c r="J21" i="44" s="1"/>
  <c r="J19" i="44" s="1"/>
  <c r="J14" i="15"/>
  <c r="J19" i="15"/>
  <c r="J17" i="15" s="1"/>
  <c r="C33" i="15"/>
  <c r="C31" i="15" s="1"/>
  <c r="C56" i="15"/>
  <c r="C36" i="15"/>
  <c r="C13" i="15"/>
  <c r="J59" i="15"/>
  <c r="J60" i="15" s="1"/>
  <c r="Q50" i="15"/>
  <c r="N70" i="39"/>
  <c r="N72" i="39" s="1"/>
  <c r="J9" i="39" s="1"/>
  <c r="M72" i="39"/>
  <c r="H9" i="39" s="1"/>
  <c r="B5" i="40"/>
  <c r="B3" i="40"/>
  <c r="B4" i="40"/>
  <c r="B2" i="67"/>
  <c r="N46" i="36"/>
  <c r="M48" i="35"/>
  <c r="D4" i="46"/>
  <c r="B4" i="46"/>
  <c r="B3" i="46"/>
  <c r="C38" i="44" l="1"/>
  <c r="J16" i="44"/>
  <c r="J24" i="44" s="1"/>
  <c r="C35" i="44"/>
  <c r="C33" i="44" s="1"/>
  <c r="Q51" i="44"/>
  <c r="C15" i="44"/>
  <c r="Q72" i="44" s="1"/>
  <c r="Q71" i="15"/>
  <c r="C37" i="15"/>
  <c r="J35" i="15"/>
  <c r="C55" i="15"/>
  <c r="C64" i="15" s="1"/>
  <c r="C60" i="15"/>
  <c r="C58" i="15" s="1"/>
  <c r="C63" i="15"/>
  <c r="J15" i="44"/>
  <c r="J25" i="44" s="1"/>
  <c r="L46" i="15"/>
  <c r="Q49" i="15"/>
  <c r="C30" i="15"/>
  <c r="C39" i="15" s="1"/>
  <c r="J13" i="15"/>
  <c r="J23" i="15" s="1"/>
  <c r="J22" i="15"/>
  <c r="AC9" i="39"/>
  <c r="V49" i="39" s="1"/>
  <c r="I49" i="39" s="1"/>
  <c r="W9" i="39"/>
  <c r="U9" i="39"/>
  <c r="AB9" i="39"/>
  <c r="T49" i="39" s="1"/>
  <c r="G49" i="39" s="1"/>
  <c r="F9" i="39"/>
  <c r="N48" i="35"/>
  <c r="O48" i="35" s="1"/>
  <c r="H7" i="35"/>
  <c r="O46" i="36"/>
  <c r="F7" i="36" s="1"/>
  <c r="J7" i="36"/>
  <c r="H7" i="36"/>
  <c r="B4" i="67"/>
  <c r="B3" i="67"/>
  <c r="L51" i="15"/>
  <c r="C43" i="44" l="1"/>
  <c r="J16" i="15"/>
  <c r="J25" i="15" s="1"/>
  <c r="C39" i="44"/>
  <c r="C32" i="44" s="1"/>
  <c r="C42" i="44" s="1"/>
  <c r="Q71" i="44" s="1"/>
  <c r="Q70" i="44" s="1"/>
  <c r="J18" i="44"/>
  <c r="J27" i="44" s="1"/>
  <c r="L57" i="15"/>
  <c r="L60" i="15" s="1"/>
  <c r="Q68" i="15"/>
  <c r="C40" i="15"/>
  <c r="Q70" i="15"/>
  <c r="Q69" i="15" s="1"/>
  <c r="C57" i="15"/>
  <c r="C66" i="15" s="1"/>
  <c r="C67" i="15" s="1"/>
  <c r="J39" i="15"/>
  <c r="J40" i="15" s="1"/>
  <c r="G54" i="39"/>
  <c r="H54" i="39" s="1"/>
  <c r="G53" i="39"/>
  <c r="H53" i="39" s="1"/>
  <c r="S9" i="39"/>
  <c r="AA9" i="39"/>
  <c r="R49" i="39" s="1"/>
  <c r="I53" i="39"/>
  <c r="J53" i="39" s="1"/>
  <c r="W7" i="36"/>
  <c r="AC7" i="36"/>
  <c r="V36" i="36" s="1"/>
  <c r="I36" i="36" s="1"/>
  <c r="AB7" i="35"/>
  <c r="T38" i="35" s="1"/>
  <c r="G38" i="35" s="1"/>
  <c r="U7" i="35"/>
  <c r="AB7" i="36"/>
  <c r="T36" i="36" s="1"/>
  <c r="G36" i="36" s="1"/>
  <c r="U7" i="36"/>
  <c r="AA7" i="36"/>
  <c r="R36" i="36" s="1"/>
  <c r="S7" i="36"/>
  <c r="F7" i="35"/>
  <c r="J7" i="35"/>
  <c r="C44" i="44" l="1"/>
  <c r="C45" i="44" s="1"/>
  <c r="B2" i="44" s="1"/>
  <c r="B3" i="44" s="1"/>
  <c r="C70" i="15"/>
  <c r="C46" i="15"/>
  <c r="B2" i="15"/>
  <c r="B3" i="15" s="1"/>
  <c r="Q66" i="15"/>
  <c r="Q57" i="15"/>
  <c r="Q48" i="15"/>
  <c r="Q54" i="15" s="1"/>
  <c r="C43" i="15"/>
  <c r="J42" i="15"/>
  <c r="J43" i="15" s="1"/>
  <c r="Q58" i="15"/>
  <c r="Q67" i="15"/>
  <c r="E49" i="39"/>
  <c r="R50" i="39"/>
  <c r="AC7" i="35"/>
  <c r="V38" i="35" s="1"/>
  <c r="I38" i="35" s="1"/>
  <c r="W7" i="35"/>
  <c r="I40" i="36"/>
  <c r="J40" i="36" s="1"/>
  <c r="AA7" i="35"/>
  <c r="R38" i="35" s="1"/>
  <c r="S7" i="35"/>
  <c r="E36" i="36"/>
  <c r="I41" i="36" s="1"/>
  <c r="J41" i="36" s="1"/>
  <c r="R37" i="36"/>
  <c r="G40" i="36"/>
  <c r="H40" i="36" s="1"/>
  <c r="G41" i="36"/>
  <c r="H41" i="36" s="1"/>
  <c r="G43" i="35"/>
  <c r="H43" i="35" s="1"/>
  <c r="G42" i="35"/>
  <c r="H42" i="35" s="1"/>
  <c r="B4" i="44" l="1"/>
  <c r="B5" i="44"/>
  <c r="Q76" i="15"/>
  <c r="Q63" i="15"/>
  <c r="C49" i="39"/>
  <c r="C50" i="39"/>
  <c r="E53" i="39"/>
  <c r="F53" i="39" s="1"/>
  <c r="E54" i="39"/>
  <c r="F54" i="39" s="1"/>
  <c r="I54" i="39"/>
  <c r="J54" i="39" s="1"/>
  <c r="C36" i="36"/>
  <c r="C37" i="36"/>
  <c r="B3" i="36" s="1"/>
  <c r="B2" i="36" s="1"/>
  <c r="E41" i="36"/>
  <c r="F41" i="36" s="1"/>
  <c r="E40" i="36"/>
  <c r="F40" i="36" s="1"/>
  <c r="R39" i="35"/>
  <c r="E38" i="35"/>
  <c r="I42" i="35"/>
  <c r="J42" i="35" s="1"/>
  <c r="I43" i="35"/>
  <c r="J43" i="35" s="1"/>
  <c r="B62" i="39" l="1"/>
  <c r="F62" i="39" s="1"/>
  <c r="B65" i="39"/>
  <c r="F65" i="39" s="1"/>
  <c r="B61" i="39"/>
  <c r="F61" i="39" s="1"/>
  <c r="B67" i="39"/>
  <c r="F67" i="39" s="1"/>
  <c r="B64" i="39"/>
  <c r="F64" i="39" s="1"/>
  <c r="B59" i="39"/>
  <c r="F59" i="39" s="1"/>
  <c r="B63" i="39"/>
  <c r="F63" i="39" s="1"/>
  <c r="B66" i="39"/>
  <c r="F66" i="39" s="1"/>
  <c r="B58" i="39"/>
  <c r="F58" i="39" s="1"/>
  <c r="B60" i="39"/>
  <c r="F60" i="39" s="1"/>
  <c r="E42" i="35"/>
  <c r="F42" i="35" s="1"/>
  <c r="E43" i="35"/>
  <c r="F43" i="35" s="1"/>
  <c r="C38" i="35"/>
  <c r="C39" i="35"/>
  <c r="B3" i="35" s="1"/>
  <c r="B2" i="35" s="1"/>
  <c r="F68" i="39" l="1"/>
  <c r="B2" i="39" s="1"/>
  <c r="B4" i="39" s="1"/>
  <c r="C19" i="9"/>
  <c r="C21" i="9"/>
  <c r="B5" i="39" l="1"/>
  <c r="B3" i="39"/>
  <c r="D22" i="9"/>
  <c r="L43" i="9"/>
  <c r="G19" i="9"/>
  <c r="C32" i="9" s="1"/>
  <c r="G21" i="9"/>
  <c r="C20" i="9"/>
  <c r="G20" i="9" l="1"/>
  <c r="G22" i="9"/>
  <c r="N43" i="9"/>
  <c r="O38" i="9"/>
  <c r="O43" i="9"/>
  <c r="C34" i="9"/>
  <c r="C42" i="9"/>
  <c r="C33" i="9"/>
  <c r="C35" i="9"/>
  <c r="F42" i="9" s="1"/>
  <c r="C44" i="9" l="1"/>
  <c r="R5" i="54"/>
  <c r="B48" i="63" s="1"/>
  <c r="D63" i="9"/>
  <c r="N68" i="9"/>
  <c r="D14" i="66"/>
  <c r="N38" i="9"/>
  <c r="K28" i="9" s="1"/>
  <c r="D42" i="9"/>
  <c r="Q5" i="54" s="1"/>
  <c r="B47" i="63" s="1"/>
  <c r="M38" i="9"/>
  <c r="K27" i="9" s="1"/>
  <c r="E42" i="9"/>
  <c r="P5" i="54" s="1"/>
  <c r="B46" i="63" s="1"/>
  <c r="K25" i="9"/>
  <c r="K26" i="9"/>
  <c r="F14" i="66" l="1"/>
  <c r="E14" i="66"/>
  <c r="B5" i="66"/>
  <c r="C82" i="9"/>
  <c r="C81" i="9" s="1"/>
  <c r="C85" i="9" s="1"/>
  <c r="C86" i="9" s="1"/>
  <c r="D72" i="9" s="1"/>
  <c r="C111" i="9"/>
  <c r="C104" i="9" s="1"/>
  <c r="C96" i="9"/>
  <c r="C91" i="9" s="1"/>
  <c r="D70" i="9"/>
  <c r="D71" i="9"/>
  <c r="D66" i="9" s="1"/>
  <c r="N72" i="9" s="1"/>
  <c r="C103" i="9"/>
  <c r="D77" i="9"/>
  <c r="N75" i="9" s="1"/>
  <c r="C90" i="9"/>
  <c r="O39" i="9"/>
  <c r="D44" i="9"/>
  <c r="F44" i="9"/>
  <c r="G14" i="66"/>
  <c r="B6" i="66" s="1"/>
  <c r="N69" i="9"/>
  <c r="E44" i="9"/>
  <c r="C113" i="9" l="1"/>
  <c r="C114" i="9" s="1"/>
  <c r="E114" i="9" s="1"/>
  <c r="E115" i="9" s="1"/>
  <c r="C97" i="9"/>
  <c r="C98" i="9" s="1"/>
  <c r="E98" i="9" s="1"/>
  <c r="E99" i="9" s="1"/>
  <c r="M87" i="9"/>
  <c r="N87" i="9" s="1"/>
  <c r="M85" i="9"/>
  <c r="N85" i="9" s="1"/>
  <c r="M83" i="9"/>
  <c r="N83" i="9" s="1"/>
  <c r="M86" i="9"/>
  <c r="N86" i="9" s="1"/>
  <c r="M84" i="9"/>
  <c r="N84" i="9" s="1"/>
  <c r="M88" i="9"/>
  <c r="N88" i="9" s="1"/>
  <c r="K29" i="9"/>
  <c r="K30" i="9" s="1"/>
  <c r="R6" i="54"/>
  <c r="B50" i="63" s="1"/>
  <c r="C6" i="66"/>
  <c r="D6" i="66"/>
  <c r="D5" i="66"/>
  <c r="C5" i="66"/>
  <c r="C115" i="9" l="1"/>
  <c r="D76" i="9" s="1"/>
  <c r="D74" i="9" s="1"/>
  <c r="N74" i="9" s="1"/>
  <c r="O77" i="9" s="1"/>
  <c r="C99" i="9"/>
  <c r="N89" i="9"/>
  <c r="O89"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<sst xmlns="http://schemas.openxmlformats.org/spreadsheetml/2006/main" count="7015" uniqueCount="3084">
  <si>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</si>
  <si>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</si>
  <si>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</si>
  <si>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</si>
  <si>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</si>
  <si>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</si>
  <si>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</si>
  <si>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</si>
  <si>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</si>
  <si>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</si>
  <si>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</si>
  <si>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</si>
  <si>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</si>
  <si>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</si>
  <si>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</si>
  <si>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</si>
  <si>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</si>
  <si>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</si>
  <si>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</si>
  <si>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</si>
  <si>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</si>
  <si>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</si>
  <si>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</si>
  <si>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</si>
  <si>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</si>
  <si>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</si>
  <si>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</si>
  <si>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</si>
  <si>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</si>
  <si>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</si>
  <si>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</si>
  <si>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</si>
  <si>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</si>
  <si>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</si>
  <si>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</si>
  <si>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</si>
  <si>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</si>
  <si>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</si>
  <si>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</si>
  <si>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</si>
  <si>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</si>
  <si>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</si>
  <si>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</si>
  <si>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</si>
  <si>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</si>
  <si>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</si>
  <si>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</si>
  <si>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</si>
  <si>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</si>
  <si>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</si>
  <si>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</si>
  <si>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</si>
  <si>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</si>
  <si>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</si>
  <si>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</si>
  <si>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</si>
  <si>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</si>
  <si>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</si>
  <si>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</si>
  <si>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</si>
  <si>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</si>
  <si>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</si>
  <si>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</si>
  <si>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</si>
  <si>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</si>
  <si>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</si>
  <si>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</si>
  <si>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</si>
  <si>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</si>
  <si>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</si>
  <si>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</si>
  <si>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</si>
  <si>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</si>
  <si>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</si>
  <si>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</si>
  <si>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</si>
  <si>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</si>
  <si>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</si>
  <si>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</si>
  <si>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</si>
  <si>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</si>
  <si>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</si>
  <si>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</si>
  <si>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</si>
  <si>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</si>
  <si>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</si>
  <si>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</si>
  <si>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</si>
  <si>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</si>
  <si>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</si>
  <si>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</si>
  <si>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</si>
  <si>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</si>
  <si>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</si>
  <si>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</si>
  <si>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</si>
  <si>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</si>
  <si>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</si>
  <si>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</si>
  <si>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</si>
  <si>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</si>
  <si>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</si>
  <si>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</si>
  <si>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</si>
  <si>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</si>
  <si>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</si>
  <si>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</si>
  <si>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</si>
  <si>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</si>
  <si>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</si>
  <si>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</si>
  <si>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</si>
  <si>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</si>
  <si>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</si>
  <si>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</si>
  <si>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</si>
  <si>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</si>
  <si>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</si>
  <si>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</si>
  <si>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</si>
  <si>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</si>
  <si>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</si>
  <si>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</si>
  <si>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</si>
  <si>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</si>
  <si>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</si>
  <si>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</si>
  <si>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</si>
  <si>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</si>
  <si>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</si>
  <si>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</si>
  <si>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</si>
  <si>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</si>
  <si>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</si>
  <si>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</si>
  <si>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</si>
  <si>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</si>
  <si>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</si>
  <si>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</si>
  <si>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</si>
  <si>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</si>
  <si>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</si>
  <si>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</si>
  <si>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</si>
  <si>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</si>
  <si>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</si>
  <si>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</si>
  <si>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</si>
  <si>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</si>
  <si>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</si>
  <si>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</si>
  <si>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</si>
  <si>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</si>
  <si>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</si>
  <si>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</si>
  <si>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</si>
  <si>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</si>
  <si>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</si>
  <si>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</si>
  <si>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</si>
  <si>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</si>
  <si>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</si>
  <si>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</si>
  <si>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</si>
  <si>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</si>
  <si>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</si>
  <si>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</si>
  <si>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</si>
  <si>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</si>
  <si>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</si>
  <si>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</si>
  <si>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</si>
  <si>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</si>
  <si>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</si>
  <si>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</si>
  <si>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</si>
  <si>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</si>
  <si>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</si>
  <si>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</si>
  <si>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</si>
  <si>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</si>
  <si>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</si>
  <si>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</si>
  <si>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</si>
  <si>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</si>
  <si>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</si>
  <si>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</si>
  <si>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</si>
  <si>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</si>
  <si>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</si>
  <si>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</si>
  <si>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</si>
  <si>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</si>
  <si>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</si>
  <si>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</si>
  <si>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</si>
  <si>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</si>
  <si>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</si>
  <si>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</si>
  <si>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</si>
  <si>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</si>
  <si>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</si>
  <si>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</si>
  <si>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</si>
  <si>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</si>
  <si>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</si>
  <si>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</si>
  <si>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</si>
  <si>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</si>
  <si>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</si>
  <si>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</si>
  <si>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</si>
  <si>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</si>
  <si>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</si>
  <si>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</si>
  <si>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</si>
  <si>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</si>
  <si>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</si>
  <si>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</si>
  <si>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</si>
  <si>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</si>
  <si>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</si>
  <si>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</si>
  <si>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</si>
  <si>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</si>
  <si>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</si>
  <si>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</si>
  <si>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</si>
  <si>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</si>
  <si>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</si>
  <si>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</si>
  <si>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</si>
  <si>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</si>
  <si>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</si>
  <si>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</si>
  <si>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</si>
  <si>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</si>
  <si>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</si>
  <si>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</si>
  <si>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</si>
  <si>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</si>
  <si>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</si>
  <si>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</si>
  <si>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</si>
  <si>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</si>
  <si>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</si>
  <si>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</si>
  <si>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</si>
  <si>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</si>
  <si>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</si>
  <si>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</si>
  <si>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</si>
  <si>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</si>
  <si>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</si>
  <si>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</si>
  <si>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</si>
  <si>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</si>
  <si>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</si>
  <si>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</si>
  <si>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</si>
  <si>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</si>
  <si>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</si>
  <si>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</si>
  <si>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</si>
  <si>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</si>
  <si>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</si>
  <si>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</si>
  <si>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</si>
  <si>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</si>
  <si>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</si>
  <si>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</si>
  <si>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</si>
  <si>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</si>
  <si>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</si>
  <si>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</si>
  <si>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</si>
  <si>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</si>
  <si>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</si>
  <si>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</si>
  <si>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</si>
  <si>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</si>
  <si>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</si>
  <si>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</si>
  <si>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</si>
  <si>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</si>
  <si>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</si>
  <si>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</si>
  <si>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</si>
  <si>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</si>
  <si>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</si>
  <si>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</si>
  <si>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</si>
  <si>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</si>
  <si>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</si>
  <si>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</si>
  <si>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</si>
  <si>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</si>
  <si>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</si>
  <si>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</si>
  <si>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</si>
  <si>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</si>
  <si>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</si>
  <si>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</si>
  <si>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</si>
  <si>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</si>
  <si>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</si>
  <si>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</si>
  <si>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</si>
  <si>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</si>
  <si>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</si>
  <si>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</si>
  <si>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</si>
  <si>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</si>
  <si>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</si>
  <si>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</si>
  <si>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</si>
  <si>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</si>
  <si>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</si>
  <si>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</si>
  <si>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</si>
  <si>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</si>
  <si>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</si>
  <si>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</si>
  <si>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</si>
  <si>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</si>
  <si>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</si>
  <si>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</si>
  <si>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</si>
  <si>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</si>
  <si>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</si>
  <si>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</si>
  <si>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</si>
  <si>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</si>
  <si>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</si>
  <si>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</si>
  <si>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</si>
  <si>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</si>
  <si>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</si>
  <si>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</si>
  <si>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</si>
  <si>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</si>
  <si>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</si>
  <si>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</si>
  <si>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</si>
  <si>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</si>
  <si>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</si>
  <si>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</si>
  <si>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</si>
  <si>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</si>
  <si>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</si>
  <si>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</si>
  <si>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</si>
  <si>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</si>
  <si>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</si>
  <si>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</si>
  <si>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</si>
  <si>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</si>
  <si>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</si>
  <si>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</si>
  <si>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</si>
  <si>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</si>
  <si>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</si>
  <si>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</si>
  <si>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</si>
  <si>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</si>
  <si>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</si>
  <si>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</si>
  <si>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</si>
  <si>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</si>
  <si>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</si>
  <si>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</si>
  <si>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</si>
  <si>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</si>
  <si>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</si>
  <si>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</si>
  <si>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</si>
  <si>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</si>
  <si>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</si>
  <si>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</si>
  <si>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</si>
  <si>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</si>
  <si>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</si>
  <si>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</si>
  <si>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</si>
  <si>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</si>
  <si>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</si>
  <si>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</si>
  <si>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</si>
  <si>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</si>
  <si>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</si>
  <si>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</si>
  <si>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</si>
  <si>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</si>
  <si>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</si>
  <si>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</si>
  <si>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</si>
  <si>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</si>
  <si>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</si>
  <si>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</si>
  <si>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</si>
  <si>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</si>
  <si>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</si>
  <si>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</si>
  <si>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</si>
  <si>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</si>
  <si>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</si>
  <si>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</si>
  <si>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</si>
  <si>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</si>
  <si>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</si>
  <si>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</si>
  <si>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</si>
  <si>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</si>
  <si>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</si>
  <si>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</si>
  <si>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</si>
  <si>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</si>
  <si>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</si>
  <si>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</si>
  <si>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</si>
  <si>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</si>
  <si>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</si>
  <si>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</si>
  <si>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</si>
  <si>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</si>
  <si>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</si>
  <si>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</si>
  <si>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</si>
  <si>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</si>
  <si>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</si>
  <si>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</si>
  <si>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</si>
  <si>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</si>
  <si>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</si>
  <si>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</si>
  <si>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</si>
  <si>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</si>
  <si>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</si>
  <si>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</si>
  <si>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</si>
  <si>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</si>
  <si>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</si>
  <si>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</si>
  <si>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</si>
  <si>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</si>
  <si>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</si>
  <si>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</si>
  <si>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</si>
  <si>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</si>
  <si>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</si>
  <si>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</si>
  <si>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</si>
  <si>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</si>
  <si>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</si>
  <si>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</si>
  <si>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</si>
  <si>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</si>
  <si>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</si>
  <si>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</si>
  <si>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</si>
  <si>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</si>
  <si>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</si>
  <si>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</si>
  <si>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</si>
  <si>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</si>
  <si>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</si>
  <si>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</si>
  <si>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</si>
  <si>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</si>
  <si>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</si>
  <si>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</si>
  <si>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</si>
  <si>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</si>
  <si>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</si>
  <si>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</si>
  <si>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</si>
  <si>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</si>
  <si>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</si>
  <si>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</si>
  <si>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</si>
  <si>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</si>
  <si>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</si>
  <si>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</si>
  <si>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</si>
  <si>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</si>
  <si>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</si>
  <si>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</si>
  <si>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</si>
  <si>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</si>
  <si>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</si>
  <si>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</si>
  <si>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</si>
  <si>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</si>
  <si>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</si>
  <si>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</si>
  <si>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</si>
  <si>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</si>
  <si>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</si>
  <si>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</si>
  <si>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</si>
  <si>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</si>
  <si>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</si>
  <si>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</si>
  <si>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</si>
  <si>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</si>
  <si>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</si>
  <si>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</si>
  <si>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</si>
  <si>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</si>
  <si>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</si>
  <si>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</si>
  <si>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</si>
  <si>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</si>
  <si>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</si>
  <si>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</si>
  <si>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</si>
  <si>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</si>
  <si>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</si>
  <si>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</si>
  <si>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</si>
  <si>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</si>
  <si>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</si>
  <si>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</si>
  <si>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</si>
  <si>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</si>
  <si>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</si>
  <si>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</si>
  <si>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</si>
  <si>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</si>
  <si>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</si>
  <si>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</si>
  <si>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</si>
  <si>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</si>
  <si>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</si>
  <si>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</si>
  <si>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</si>
  <si>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</si>
  <si>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</si>
  <si>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</si>
  <si>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</si>
  <si>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</si>
  <si>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</si>
  <si>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</si>
  <si>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</si>
  <si>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</si>
  <si>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</si>
  <si>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</si>
  <si>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</si>
  <si>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</si>
  <si>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</si>
  <si>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</si>
  <si>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</si>
  <si>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</si>
  <si>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</si>
  <si>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</si>
  <si>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</si>
  <si>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</si>
  <si>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</si>
  <si>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</si>
  <si>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</si>
  <si>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</si>
  <si>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</si>
  <si>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</si>
  <si>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</si>
  <si>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</si>
  <si>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</si>
  <si>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</si>
  <si>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</si>
  <si>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</si>
  <si>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</si>
  <si>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</si>
  <si>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</si>
  <si>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</si>
  <si>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</si>
  <si>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</si>
  <si>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</si>
  <si>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</si>
  <si>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</si>
  <si>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</si>
  <si>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</si>
  <si>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</si>
  <si>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</si>
  <si>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</si>
  <si>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</si>
  <si>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</si>
  <si>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</si>
  <si>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</si>
  <si>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</si>
  <si>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</si>
  <si>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</si>
  <si>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</si>
  <si>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</si>
  <si>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</si>
  <si>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</si>
  <si>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</si>
  <si>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</si>
  <si>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</si>
  <si>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</si>
  <si>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</si>
  <si>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</si>
  <si>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</si>
  <si>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</si>
  <si>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</si>
  <si>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</si>
  <si>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</si>
  <si>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</si>
  <si>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</si>
  <si>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</si>
  <si>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</si>
  <si>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</si>
  <si>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</si>
  <si>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</si>
  <si>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</si>
  <si>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</si>
  <si>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</si>
  <si>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</si>
  <si>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</si>
  <si>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</si>
  <si>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</si>
  <si>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</si>
  <si>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</si>
  <si>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</si>
  <si>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</si>
  <si>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</si>
  <si>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</si>
  <si>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</si>
  <si>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</si>
  <si>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</si>
  <si>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</si>
  <si>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</si>
  <si>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</si>
  <si>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</si>
  <si>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</si>
  <si>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</si>
  <si>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</si>
  <si>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</si>
  <si>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</si>
  <si>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</si>
  <si>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</si>
  <si>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</si>
  <si>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</si>
  <si>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</si>
  <si>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</si>
  <si>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</si>
  <si>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</si>
  <si>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</si>
  <si>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</si>
  <si>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</si>
  <si>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</si>
  <si>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</si>
  <si>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</si>
  <si>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</si>
  <si>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</si>
  <si>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</si>
  <si>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</si>
  <si>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</si>
  <si>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</si>
  <si>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</si>
  <si>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</si>
  <si>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</si>
  <si>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</si>
  <si>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</si>
  <si>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</si>
  <si>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</si>
  <si>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</si>
  <si>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</si>
  <si>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</si>
  <si>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</si>
  <si>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</si>
  <si>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</si>
  <si>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</si>
  <si>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</si>
  <si>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</si>
  <si>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</si>
  <si>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</si>
  <si>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</si>
  <si>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</si>
  <si>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</si>
  <si>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</si>
  <si>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</si>
  <si>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</si>
  <si>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</si>
  <si>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</si>
  <si>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</si>
  <si>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</si>
  <si>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</si>
  <si>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</si>
  <si>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</si>
  <si>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</si>
  <si>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</si>
  <si>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</si>
  <si>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</si>
  <si>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</si>
  <si>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</si>
  <si>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</si>
  <si>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</si>
  <si>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</si>
  <si>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</si>
  <si>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</si>
  <si>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</si>
  <si>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</si>
  <si>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</si>
  <si>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</si>
  <si>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</si>
  <si>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</si>
  <si>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</si>
  <si>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</si>
  <si>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</si>
  <si>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</si>
  <si>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</si>
  <si>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</si>
  <si>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</si>
  <si>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</si>
  <si>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</si>
  <si>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</si>
  <si>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</si>
  <si>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</si>
  <si>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</si>
  <si>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</si>
  <si>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</si>
  <si>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</si>
  <si>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</si>
  <si>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</si>
  <si>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</si>
  <si>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</si>
  <si>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</si>
  <si>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</si>
  <si>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</si>
  <si>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</si>
  <si>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</si>
  <si>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</si>
  <si>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</si>
  <si>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</si>
  <si>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</si>
  <si>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</si>
  <si>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</si>
  <si>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</si>
  <si>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</si>
  <si>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</si>
  <si>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</si>
  <si>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</si>
  <si>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</si>
  <si>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</si>
  <si>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</si>
  <si>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</si>
  <si>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</si>
  <si>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</si>
  <si>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</si>
  <si>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</si>
  <si>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</si>
  <si>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</si>
  <si>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</si>
  <si>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</si>
  <si>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</si>
  <si>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</si>
  <si>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</si>
  <si>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</si>
  <si>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</si>
  <si>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</si>
  <si>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</si>
  <si>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</si>
  <si>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</si>
  <si>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</si>
  <si>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</si>
  <si>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</si>
  <si>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</si>
  <si>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</si>
  <si>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</si>
  <si>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</si>
  <si>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</si>
  <si>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</si>
  <si>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</si>
  <si>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</si>
  <si>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</si>
  <si>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</si>
  <si>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</si>
  <si>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</si>
  <si>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</si>
  <si>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</si>
  <si>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</si>
  <si>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</si>
  <si>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</si>
  <si>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</si>
  <si>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</si>
  <si>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</si>
  <si>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</si>
  <si>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</si>
  <si>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</si>
  <si>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</si>
  <si>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</si>
  <si>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</si>
  <si>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</si>
  <si>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</si>
  <si>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</si>
  <si>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</si>
  <si>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</si>
  <si>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</si>
  <si>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</si>
  <si>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</si>
  <si>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</si>
  <si>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</si>
  <si>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</si>
  <si>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</si>
  <si>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</si>
  <si>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</si>
  <si>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</si>
  <si>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</si>
  <si>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</si>
  <si>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</si>
  <si>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</si>
  <si>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</si>
  <si>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</si>
  <si>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</si>
  <si>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</si>
  <si>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</si>
  <si>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</si>
  <si>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</si>
  <si>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</si>
  <si>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</si>
  <si>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</si>
  <si>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</si>
  <si>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</si>
  <si>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</si>
  <si>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</si>
  <si>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</si>
  <si>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</si>
  <si>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</si>
  <si>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</si>
  <si>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</si>
  <si>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</si>
  <si>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</si>
  <si>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</si>
  <si>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</si>
  <si>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</si>
  <si>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</si>
  <si>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</si>
  <si>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</si>
  <si>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</si>
  <si>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</si>
  <si>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</si>
  <si>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</si>
  <si>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</si>
  <si>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</si>
  <si>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</si>
  <si>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</si>
  <si>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</si>
  <si>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</si>
  <si>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</si>
  <si>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</si>
  <si>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</si>
  <si>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</si>
  <si>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</si>
  <si>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</si>
  <si>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</si>
  <si>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</si>
  <si>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</si>
  <si>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</si>
  <si>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</si>
  <si>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</si>
  <si>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</si>
  <si>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</si>
  <si>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</si>
  <si>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</si>
  <si>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</si>
  <si>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</si>
  <si>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</si>
  <si>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</si>
  <si>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</si>
  <si>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</si>
  <si>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</si>
  <si>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</si>
  <si>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</si>
  <si>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</si>
  <si>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</si>
  <si>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</si>
  <si>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</si>
  <si>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</si>
  <si>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</si>
  <si>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</si>
  <si>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</si>
  <si>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</si>
  <si>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</si>
  <si>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</si>
  <si>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</si>
  <si>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</si>
  <si>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</si>
  <si>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</si>
  <si>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</si>
  <si>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</si>
  <si>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</si>
  <si>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</si>
  <si>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</si>
  <si>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</si>
  <si>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</si>
  <si>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</si>
  <si>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</si>
  <si>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</si>
  <si>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</si>
  <si>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</si>
  <si>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</si>
  <si>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</si>
  <si>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</si>
  <si>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</si>
  <si>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</si>
  <si>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</si>
  <si>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</si>
  <si>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</si>
  <si>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</si>
  <si>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</si>
  <si>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</si>
  <si>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</si>
  <si>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</si>
  <si>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</si>
  <si>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</si>
  <si>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</si>
  <si>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</si>
  <si>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</si>
  <si>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</si>
  <si>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</si>
  <si>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</si>
  <si>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</si>
  <si>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</si>
  <si>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</si>
  <si>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</si>
  <si>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</si>
  <si>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</si>
  <si>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</si>
  <si>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</si>
  <si>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</si>
  <si>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</si>
  <si>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</si>
  <si>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</si>
  <si>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</si>
  <si>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</si>
  <si>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</si>
  <si>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</si>
  <si>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</si>
  <si>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</si>
  <si>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</si>
  <si>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</si>
  <si>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</si>
  <si>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</si>
  <si>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</si>
  <si>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</si>
  <si>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</si>
  <si>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</si>
  <si>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</si>
  <si>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</si>
  <si>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</si>
  <si>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</si>
  <si>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</si>
  <si>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</si>
  <si>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</si>
  <si>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</si>
  <si>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</si>
  <si>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</si>
  <si>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</si>
  <si>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</si>
  <si>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</si>
  <si>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</si>
  <si>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</si>
  <si>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</si>
  <si>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</si>
  <si>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</si>
  <si>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</si>
  <si>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</si>
  <si>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</si>
  <si>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</si>
  <si>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</si>
  <si>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</si>
  <si>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</si>
  <si>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</si>
  <si>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</si>
  <si>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</si>
  <si>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</si>
  <si>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</si>
  <si>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</si>
  <si>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</si>
  <si>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</si>
  <si>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</si>
  <si>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</si>
  <si>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</si>
  <si>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</si>
  <si>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</si>
  <si>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</si>
  <si>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</si>
  <si>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</si>
  <si>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</si>
  <si>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</si>
  <si>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</si>
  <si>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</si>
  <si>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</si>
  <si>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</si>
  <si>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</si>
  <si>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</si>
  <si>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</si>
  <si>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</si>
  <si>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</si>
  <si>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</si>
  <si>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</si>
  <si>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</si>
  <si>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</si>
  <si>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</si>
  <si>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</si>
  <si>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</si>
  <si>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</si>
  <si>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</si>
  <si>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</si>
  <si>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</si>
  <si>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</si>
  <si>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</si>
  <si>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</si>
  <si>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</si>
  <si>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</si>
  <si>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</si>
  <si>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</si>
  <si>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</si>
  <si>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</si>
  <si>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</si>
  <si>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</si>
  <si>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</si>
  <si>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</si>
  <si>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</si>
  <si>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</si>
  <si>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</si>
  <si>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</si>
  <si>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</si>
  <si>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</si>
  <si>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</si>
  <si>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</si>
  <si>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</si>
  <si>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</si>
  <si>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</si>
  <si>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</si>
  <si>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</si>
  <si>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</si>
  <si>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</si>
  <si>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</si>
  <si>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</si>
  <si>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</si>
  <si>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</si>
  <si>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</si>
  <si>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</si>
  <si>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</si>
  <si>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</si>
  <si>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</si>
  <si>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</si>
  <si>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</si>
  <si>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</si>
  <si>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</si>
  <si>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</si>
  <si>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</si>
  <si>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</si>
  <si>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</si>
  <si>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</si>
  <si>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</si>
  <si>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</si>
  <si>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</si>
  <si>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</si>
  <si>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</si>
  <si>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</si>
  <si>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</si>
  <si>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</si>
  <si>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</si>
  <si>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</si>
  <si>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</si>
  <si>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</si>
  <si>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</si>
  <si>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</si>
  <si>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</si>
  <si>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</si>
  <si>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</si>
  <si>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</si>
  <si>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</si>
  <si>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</si>
  <si>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</si>
  <si>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</si>
  <si>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</si>
  <si>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</si>
  <si>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</si>
  <si>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</si>
  <si>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</si>
  <si>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</si>
  <si>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</si>
  <si>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</si>
  <si>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</si>
  <si>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</si>
  <si>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</si>
  <si>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</si>
  <si>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</si>
  <si>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</si>
  <si>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</si>
  <si>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</si>
  <si>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</si>
  <si>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</si>
  <si>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</si>
  <si>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</si>
  <si>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</si>
  <si>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</si>
  <si>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</si>
  <si>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</si>
  <si>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</si>
  <si>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</si>
  <si>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</si>
  <si>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</si>
  <si>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</si>
  <si>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</si>
  <si>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</si>
  <si>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</si>
  <si>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</si>
  <si>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</si>
  <si>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</si>
  <si>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</si>
  <si>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</si>
  <si>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</si>
  <si>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</si>
  <si>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</si>
  <si>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</si>
  <si>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</si>
  <si>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</si>
  <si>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</si>
  <si>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</si>
  <si>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</si>
  <si>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</si>
  <si>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</si>
  <si>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</si>
  <si>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</si>
  <si>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</si>
  <si>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</si>
  <si>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</si>
  <si>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</si>
  <si>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</si>
  <si>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</si>
  <si>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</si>
  <si>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</si>
  <si>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</si>
  <si>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</si>
  <si>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</si>
  <si>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</si>
  <si>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</si>
  <si>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</si>
  <si>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</si>
  <si>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</si>
  <si>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</si>
  <si>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</si>
  <si>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</si>
  <si>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</si>
  <si>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</si>
  <si>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</si>
  <si>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</si>
  <si>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</si>
  <si>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</si>
  <si>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</si>
  <si>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</si>
  <si>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</si>
  <si>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</si>
  <si>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</si>
  <si>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</si>
  <si>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</si>
  <si>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</si>
  <si>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</si>
  <si>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</si>
  <si>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</si>
  <si>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</si>
  <si>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</si>
  <si>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</si>
  <si>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</si>
  <si>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</si>
  <si>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</si>
  <si>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</si>
  <si>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</si>
  <si>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</si>
  <si>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</si>
  <si>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</si>
  <si>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</si>
  <si>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</si>
  <si>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</si>
  <si>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</si>
  <si>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</si>
  <si>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</si>
  <si>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</si>
  <si>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</si>
  <si>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</si>
  <si>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</si>
  <si>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</si>
  <si>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</si>
  <si>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</si>
  <si>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</si>
  <si>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</si>
  <si>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</si>
  <si>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</si>
  <si>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</si>
  <si>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</si>
  <si>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</si>
  <si>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</si>
  <si>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</si>
  <si>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</si>
  <si>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</si>
  <si>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</si>
  <si>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</si>
  <si>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</si>
  <si>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</si>
  <si>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</si>
  <si>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</si>
  <si>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</si>
  <si>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</si>
  <si>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</si>
  <si>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</si>
  <si>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</si>
  <si>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</si>
  <si>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</si>
  <si>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</si>
  <si>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</si>
  <si>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</si>
  <si>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</si>
  <si>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</si>
  <si>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</si>
  <si>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</si>
  <si>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</si>
  <si>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</si>
  <si>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</si>
  <si>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</si>
  <si>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</si>
  <si>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</si>
  <si>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</si>
  <si>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</si>
  <si>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</si>
  <si>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</si>
  <si>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</si>
  <si>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</si>
  <si>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</si>
  <si>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</si>
  <si>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</si>
  <si>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</si>
  <si>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</si>
  <si>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</si>
  <si>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</si>
  <si>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</si>
  <si>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</si>
  <si>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</si>
  <si>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</si>
  <si>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</si>
  <si>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</si>
  <si>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</si>
  <si>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</si>
  <si>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</si>
  <si>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</si>
  <si>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</si>
  <si>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</si>
  <si>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</si>
  <si>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</si>
  <si>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</si>
  <si>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</si>
  <si>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</si>
  <si>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</si>
  <si>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</si>
  <si>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</si>
  <si>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</si>
  <si>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</si>
  <si>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</si>
  <si>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</si>
  <si>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</si>
  <si>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</si>
  <si>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</si>
  <si>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</si>
  <si>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</si>
  <si>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</si>
  <si>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</si>
  <si>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</si>
  <si>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</si>
  <si>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</si>
  <si>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</si>
  <si>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</si>
  <si>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</si>
  <si>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</si>
  <si>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</si>
  <si>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</si>
  <si>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</si>
  <si>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</si>
  <si>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</si>
  <si>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</si>
  <si>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</si>
  <si>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</si>
  <si>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</si>
  <si>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</si>
  <si>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</si>
  <si>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</si>
  <si>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</si>
  <si>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</si>
  <si>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</si>
  <si>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</si>
  <si>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</si>
  <si>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</si>
  <si>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</si>
  <si>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</si>
  <si>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</si>
  <si>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</si>
  <si>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</si>
  <si>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</si>
  <si>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</si>
  <si>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</si>
  <si>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</si>
  <si>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</si>
  <si>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</si>
  <si>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</si>
  <si>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</si>
  <si>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</si>
  <si>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</si>
  <si>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</si>
  <si>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</si>
  <si>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</si>
  <si>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</si>
  <si>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</si>
  <si>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</si>
  <si>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</si>
  <si>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</si>
  <si>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</si>
  <si>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</si>
  <si>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</si>
  <si>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</si>
  <si>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</si>
  <si>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</si>
  <si>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</si>
  <si>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</si>
  <si>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</si>
  <si>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</si>
  <si>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</si>
  <si>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</si>
  <si>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</si>
  <si>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</si>
  <si>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</si>
  <si>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</si>
  <si>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</si>
  <si>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</si>
  <si>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</si>
  <si>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</si>
  <si>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</si>
  <si>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</si>
  <si>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</si>
  <si>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</si>
  <si>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</si>
  <si>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</si>
  <si>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</si>
  <si>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</si>
  <si>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</si>
  <si>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</si>
  <si>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</si>
  <si>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</si>
  <si>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</si>
  <si>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</si>
  <si>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</si>
  <si>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</si>
  <si>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</si>
  <si>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</si>
  <si>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</si>
  <si>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</si>
  <si>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</si>
  <si>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</si>
  <si>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</si>
  <si>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</si>
  <si>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</si>
  <si>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</si>
  <si>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</si>
  <si>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</si>
  <si>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</si>
  <si>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</si>
  <si>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</si>
  <si>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</si>
  <si>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</si>
  <si>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</si>
  <si>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</si>
  <si>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</si>
  <si>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</si>
  <si>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</si>
  <si>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</si>
  <si>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</si>
  <si>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</si>
  <si>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</si>
  <si>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</si>
  <si>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</si>
  <si>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</si>
  <si>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</si>
  <si>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</si>
  <si>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</si>
  <si>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</si>
  <si>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</si>
  <si>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</si>
  <si>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</si>
  <si>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</si>
  <si>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</si>
  <si>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</si>
  <si>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</si>
  <si>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</si>
  <si>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</si>
  <si>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</si>
  <si>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</si>
  <si>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</si>
  <si>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</si>
  <si>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</si>
  <si>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</si>
  <si>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</si>
  <si>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</si>
  <si>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</si>
  <si>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</si>
  <si>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</si>
  <si>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</si>
  <si>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</si>
  <si>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</si>
  <si>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</si>
  <si>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</si>
  <si>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</si>
  <si>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</si>
  <si>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</si>
  <si>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</si>
  <si>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</si>
  <si>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</si>
  <si>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</si>
  <si>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</si>
  <si>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</si>
  <si>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</si>
  <si>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</si>
  <si>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</si>
  <si>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</si>
  <si>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</si>
  <si>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</si>
  <si>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</si>
  <si>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</si>
  <si>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</si>
  <si>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</si>
  <si>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</si>
  <si>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</si>
  <si>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</si>
  <si>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</si>
  <si>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</si>
  <si>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</si>
  <si>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</si>
  <si>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</si>
  <si>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</si>
  <si>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</si>
  <si>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</si>
  <si>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</si>
  <si>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</si>
  <si>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</si>
  <si>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</si>
  <si>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</si>
  <si>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</si>
  <si>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</si>
  <si>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</si>
  <si>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</si>
  <si>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</si>
  <si>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</si>
  <si>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</si>
  <si>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</si>
  <si>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</si>
  <si>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</si>
  <si>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</si>
  <si>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</si>
  <si>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</si>
  <si>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</si>
  <si>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</si>
  <si>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</si>
  <si>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</si>
  <si>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</si>
  <si>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</si>
  <si>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</si>
  <si>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</si>
  <si>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</si>
  <si>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</si>
  <si>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</si>
  <si>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</si>
  <si>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</si>
  <si>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</si>
  <si>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</si>
  <si>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</si>
  <si>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</si>
  <si>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</si>
  <si>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</si>
  <si>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</si>
  <si>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</si>
  <si>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</si>
  <si>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</si>
  <si>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</si>
  <si>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</si>
  <si>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</si>
  <si>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</si>
  <si>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</si>
  <si>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</si>
  <si>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</si>
  <si>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</si>
  <si>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</si>
  <si>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</si>
  <si>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</si>
  <si>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</si>
  <si>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</si>
  <si>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</si>
  <si>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</si>
  <si>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</si>
  <si>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</si>
  <si>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</si>
  <si>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</si>
  <si>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</si>
  <si>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</si>
  <si>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</si>
  <si>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</si>
  <si>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</si>
  <si>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</si>
  <si>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</si>
  <si>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</si>
  <si>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</si>
  <si>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</si>
  <si>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</si>
  <si>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</si>
  <si>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</si>
  <si>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</si>
  <si>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</si>
  <si>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</si>
  <si>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</si>
  <si>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</si>
  <si>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</si>
  <si>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</si>
  <si>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</si>
  <si>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</si>
  <si>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</si>
  <si>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</si>
  <si>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</si>
  <si>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</si>
  <si>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</si>
  <si>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</si>
  <si>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</si>
  <si>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</si>
  <si>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</si>
  <si>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</si>
  <si>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</si>
  <si>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</si>
  <si>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</si>
  <si>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</si>
  <si>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</si>
  <si>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</si>
  <si>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</si>
  <si>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</si>
  <si>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</si>
  <si>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</si>
  <si>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</si>
  <si>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</si>
  <si>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</si>
  <si>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</si>
  <si>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</si>
  <si>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</si>
  <si>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</si>
  <si>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</si>
  <si>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</si>
  <si>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</si>
  <si>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</si>
  <si>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</si>
  <si>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</si>
  <si>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</si>
  <si>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</si>
  <si>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</si>
  <si>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</si>
  <si>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</si>
  <si>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</si>
  <si>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</si>
  <si>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</si>
  <si>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</si>
  <si>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</si>
  <si>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</si>
  <si>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</si>
  <si>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</si>
  <si>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</si>
  <si>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</si>
  <si>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</si>
  <si>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</si>
  <si>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</si>
  <si>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</si>
  <si>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</si>
  <si>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</si>
  <si>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</si>
  <si>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</si>
  <si>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</si>
  <si>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</si>
  <si>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</si>
  <si>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</si>
  <si>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</si>
  <si>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</si>
  <si>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</si>
  <si>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</si>
  <si>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</si>
  <si>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</si>
  <si>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</si>
  <si>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</si>
  <si>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</si>
  <si>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</si>
  <si>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</si>
  <si>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</si>
  <si>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</si>
  <si>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</si>
  <si>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</si>
  <si>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</si>
  <si>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</si>
  <si>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</si>
  <si>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</si>
  <si>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</si>
  <si>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</si>
  <si>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</si>
  <si>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</si>
  <si>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</si>
  <si>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</si>
  <si>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</si>
  <si>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</si>
  <si>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</si>
  <si>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</si>
  <si>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</si>
  <si>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</si>
  <si>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</si>
  <si>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</si>
  <si>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</si>
  <si>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</si>
  <si>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</si>
  <si>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</si>
  <si>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</si>
  <si>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</si>
  <si>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</si>
  <si>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</si>
  <si>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</si>
  <si>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</si>
  <si>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</si>
  <si>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</si>
  <si>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</si>
  <si>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</si>
  <si>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</si>
  <si>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</si>
  <si>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</si>
  <si>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</si>
  <si>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</si>
  <si>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</si>
  <si>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</si>
  <si>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</si>
  <si>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</si>
  <si>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</si>
  <si>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</si>
  <si>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</si>
  <si>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</si>
  <si>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</si>
  <si>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</si>
  <si>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</si>
  <si>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</si>
  <si>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</si>
  <si>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</si>
  <si>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</si>
  <si>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</si>
  <si>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</si>
  <si>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</si>
  <si>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</si>
  <si>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</si>
  <si>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</si>
  <si>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</si>
  <si>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</si>
  <si>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</si>
  <si>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</si>
  <si>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</si>
  <si>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</si>
  <si>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</si>
  <si>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</si>
  <si>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</si>
  <si>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</si>
  <si>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</si>
  <si>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</si>
  <si>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</si>
  <si>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</si>
  <si>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</si>
  <si>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</si>
  <si>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</si>
  <si>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</si>
  <si>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</si>
  <si>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</si>
  <si>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</si>
  <si>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</si>
  <si>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</si>
  <si>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</si>
  <si>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</si>
  <si>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</si>
  <si>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</si>
  <si>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</si>
  <si>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</si>
  <si>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</si>
  <si>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</si>
  <si>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</si>
  <si>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</si>
  <si>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</si>
  <si>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</si>
  <si>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</si>
  <si>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</si>
  <si>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</si>
  <si>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</si>
  <si>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</si>
  <si>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</si>
  <si>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</si>
  <si>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</si>
  <si>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</si>
  <si>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</si>
  <si>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</si>
  <si>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</si>
  <si>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</si>
  <si>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</si>
  <si>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</si>
  <si>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</si>
  <si>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</si>
  <si>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</si>
  <si>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</si>
  <si>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</si>
  <si>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</si>
  <si>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</si>
  <si>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</si>
  <si>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</si>
  <si>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</si>
  <si>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</si>
  <si>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</si>
  <si>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</si>
  <si>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</si>
  <si>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</si>
  <si>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</si>
  <si>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</si>
  <si>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</si>
  <si>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</si>
  <si>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</si>
  <si>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</si>
  <si>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</si>
  <si>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</si>
  <si>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</si>
  <si>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</si>
  <si>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</si>
  <si>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</si>
  <si>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</si>
  <si>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</si>
  <si>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</si>
  <si>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</si>
  <si>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</si>
  <si>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</si>
  <si>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</si>
  <si>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</si>
  <si>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</si>
  <si>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</si>
  <si>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</si>
  <si>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</si>
  <si>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</si>
  <si>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</si>
  <si>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</si>
  <si>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</si>
  <si>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</si>
  <si>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</si>
  <si>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</si>
  <si>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</si>
  <si>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</si>
  <si>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</si>
  <si>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</si>
  <si>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</si>
  <si>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</si>
  <si>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</si>
  <si>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</si>
  <si>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</si>
  <si>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</si>
  <si>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</si>
  <si>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</si>
  <si>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</si>
  <si>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</si>
  <si>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</si>
  <si>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</si>
  <si>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</si>
  <si>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</si>
  <si>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</si>
  <si>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</si>
  <si>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</si>
  <si>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</si>
  <si>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</si>
  <si>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</si>
  <si>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</si>
  <si>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</si>
  <si>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</si>
  <si>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</si>
  <si>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</si>
  <si>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</si>
  <si>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</si>
  <si>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</si>
  <si>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</si>
  <si>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</si>
  <si>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</si>
  <si>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</si>
  <si>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</si>
  <si>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</si>
  <si>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</si>
  <si>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</si>
  <si>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</si>
  <si>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</si>
  <si>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</si>
  <si>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</si>
  <si>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</si>
  <si>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</si>
  <si>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</si>
  <si>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</si>
  <si>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</si>
  <si>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</si>
  <si>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</si>
  <si>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</si>
  <si>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</si>
  <si>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</si>
  <si>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</si>
  <si>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</si>
  <si>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</si>
  <si>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</si>
  <si>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</si>
  <si>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</si>
  <si>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</si>
  <si>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</si>
  <si>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</si>
  <si>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</si>
  <si>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</si>
  <si>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</si>
  <si>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</si>
  <si>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</si>
  <si>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</si>
  <si>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</si>
  <si>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</si>
  <si>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</si>
  <si>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</si>
  <si>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</si>
  <si>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</si>
  <si>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</si>
  <si>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</si>
  <si>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</si>
  <si>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</si>
  <si>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</si>
  <si>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</si>
  <si>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</si>
  <si>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</si>
  <si>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</si>
  <si>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</si>
  <si>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</si>
  <si>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</si>
  <si>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</si>
  <si>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</si>
  <si>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</si>
  <si>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</si>
  <si>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</si>
  <si>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</si>
  <si>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</si>
  <si>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</si>
  <si>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</si>
  <si>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</si>
  <si>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</si>
  <si>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</si>
  <si>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</si>
  <si>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</si>
  <si>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</si>
  <si>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</si>
  <si>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</si>
  <si>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</si>
  <si>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</si>
  <si>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</si>
  <si>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</si>
  <si>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</si>
  <si>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</si>
  <si>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</si>
  <si>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</si>
  <si>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</si>
  <si>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</si>
  <si>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</si>
  <si>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</si>
  <si>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</si>
  <si>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</si>
  <si>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</si>
  <si>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</si>
  <si>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</si>
  <si>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</si>
  <si>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</si>
  <si>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</si>
  <si>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</si>
  <si>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</si>
  <si>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</si>
  <si>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</si>
  <si>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</si>
  <si>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</si>
  <si>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</si>
  <si>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</si>
  <si>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</si>
  <si>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</si>
  <si>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</si>
  <si>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</si>
  <si>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</si>
  <si>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</si>
  <si>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</si>
  <si>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</si>
  <si>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</si>
  <si>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</si>
  <si>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</si>
  <si>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</si>
  <si>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</si>
  <si>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</si>
  <si>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</si>
  <si>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</si>
  <si>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</si>
  <si>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</si>
  <si>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</si>
  <si>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</si>
  <si>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</si>
  <si>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</si>
  <si>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</si>
  <si>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</si>
  <si>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</si>
  <si>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</si>
  <si>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</si>
  <si>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</si>
  <si>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</si>
  <si>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</si>
  <si>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</si>
  <si>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</si>
  <si>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</si>
  <si>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</si>
  <si>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</si>
  <si>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</si>
  <si>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</si>
  <si>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</si>
  <si>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</si>
  <si>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</si>
  <si>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</si>
  <si>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</si>
  <si>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</si>
  <si>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</si>
  <si>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</si>
  <si>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</si>
  <si>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</si>
  <si>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</si>
  <si>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</si>
  <si>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</si>
  <si>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</si>
  <si>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</si>
  <si>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</si>
  <si>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</si>
  <si>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</si>
  <si>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</si>
  <si>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</si>
  <si>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</si>
  <si>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</si>
  <si>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</si>
  <si>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</si>
  <si>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</si>
  <si>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</si>
  <si>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</si>
  <si>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</si>
  <si>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</si>
  <si>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</si>
  <si>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</si>
  <si>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</si>
  <si>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</si>
  <si>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</si>
  <si>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</si>
  <si>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</si>
  <si>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</si>
  <si>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</si>
  <si>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</si>
  <si>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</si>
  <si>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</si>
  <si>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</si>
  <si>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</si>
  <si>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</si>
  <si>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</si>
  <si>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</si>
  <si>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</si>
  <si>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</si>
  <si>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</si>
  <si>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</si>
  <si>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</si>
  <si>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</si>
  <si>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</si>
  <si>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</si>
  <si>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</si>
  <si>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</si>
  <si>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</si>
  <si>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</si>
  <si>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</si>
  <si>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</si>
  <si>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</si>
  <si>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</si>
  <si>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</si>
  <si>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</si>
  <si>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</si>
  <si>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</si>
  <si>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</si>
  <si>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</si>
  <si>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</si>
  <si>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</si>
  <si>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</si>
  <si>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</si>
  <si>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</si>
  <si>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</si>
  <si>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</si>
  <si>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</si>
  <si>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</si>
  <si>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</si>
  <si>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</si>
  <si>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</si>
  <si>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</si>
  <si>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</si>
  <si>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</si>
  <si>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</si>
  <si>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</si>
  <si>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</si>
  <si>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</si>
  <si>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</si>
  <si>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</si>
  <si>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</si>
  <si>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</si>
  <si>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</si>
  <si>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</si>
  <si>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</si>
  <si>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</si>
  <si>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</si>
  <si>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</si>
  <si>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</si>
  <si>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</si>
  <si>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</si>
  <si>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</si>
  <si>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</si>
  <si>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</si>
  <si>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</si>
  <si>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</si>
  <si>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</si>
  <si>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</si>
  <si>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</si>
  <si>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</si>
  <si>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</si>
  <si>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</si>
  <si>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</si>
  <si>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</si>
  <si>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</si>
  <si>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</si>
  <si>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</si>
  <si>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</si>
  <si>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</si>
  <si>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</si>
  <si>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</si>
  <si>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</si>
  <si>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</si>
  <si>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</si>
  <si>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</si>
  <si>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</si>
  <si>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</si>
  <si>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</si>
  <si>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</si>
  <si>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</si>
  <si>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</si>
  <si>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</si>
  <si>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</si>
  <si>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</si>
  <si>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</si>
  <si>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</si>
  <si>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</si>
  <si>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</si>
  <si>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</si>
  <si>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</si>
  <si>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</si>
  <si>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</si>
  <si>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</si>
  <si>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</si>
  <si>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</si>
  <si>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</si>
  <si>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</si>
  <si>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</si>
  <si>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</si>
  <si>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</si>
  <si>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</si>
  <si>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</si>
  <si>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</si>
  <si>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</si>
  <si>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</si>
  <si>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</si>
  <si>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</si>
  <si>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</si>
  <si>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</si>
  <si>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</si>
  <si>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</si>
  <si>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</si>
  <si>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</si>
  <si>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</si>
  <si>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</si>
  <si>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</si>
  <si>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</si>
  <si>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</si>
  <si>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</si>
  <si>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</si>
  <si>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</si>
  <si>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</si>
  <si>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</si>
  <si>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</si>
  <si>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</si>
  <si>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</si>
  <si>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</si>
  <si>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</si>
  <si>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</si>
  <si>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</si>
  <si>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</si>
  <si>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</si>
  <si>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</si>
  <si>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</si>
  <si>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</si>
  <si>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</si>
  <si>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</si>
  <si>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</si>
  <si>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</si>
  <si>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</si>
  <si>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</si>
  <si>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</si>
  <si>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</si>
  <si>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</si>
  <si>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</si>
  <si>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</si>
  <si>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</si>
  <si>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</si>
  <si>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</si>
  <si>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</si>
  <si>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</si>
  <si>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</si>
  <si>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</si>
  <si>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</si>
  <si>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</si>
  <si>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</si>
  <si>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</si>
  <si>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</si>
  <si>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</si>
  <si>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</si>
  <si>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</si>
  <si>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</si>
  <si>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</si>
  <si>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</si>
  <si>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</si>
  <si>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</si>
  <si>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</si>
  <si>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</si>
  <si>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</si>
  <si>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</si>
  <si>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</si>
  <si>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</si>
  <si>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</si>
  <si>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</si>
  <si>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</si>
  <si>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</si>
  <si>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</si>
  <si>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</si>
  <si>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</si>
  <si>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</si>
  <si>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</si>
  <si>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</si>
  <si>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</si>
  <si>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</si>
  <si>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</si>
  <si>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</si>
  <si>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</si>
  <si>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</si>
  <si>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</si>
  <si>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</si>
  <si>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</si>
  <si>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</si>
  <si>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</si>
  <si>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</si>
  <si>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</si>
  <si>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</si>
  <si>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</si>
  <si>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</si>
  <si>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</si>
  <si>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</si>
  <si>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</si>
  <si>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</si>
  <si>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</si>
  <si>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</si>
  <si>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</si>
  <si>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</si>
  <si>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</si>
  <si>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</si>
  <si>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</si>
  <si>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</si>
  <si>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</si>
  <si>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</si>
  <si>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</si>
  <si>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</si>
  <si>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</si>
  <si>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</si>
  <si>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</si>
  <si>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</si>
  <si>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</si>
  <si>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</si>
  <si>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</si>
  <si>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</si>
  <si>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</si>
  <si>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</si>
  <si>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</si>
  <si>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</si>
  <si>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</si>
  <si>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</si>
  <si>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</si>
  <si>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</si>
  <si>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</si>
  <si>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</si>
  <si>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</si>
  <si>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</si>
  <si>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</si>
  <si>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</si>
  <si>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</si>
  <si>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</si>
  <si>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</si>
  <si>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</si>
  <si>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</si>
  <si>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</si>
  <si>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</si>
  <si>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</si>
  <si>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</si>
  <si>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</si>
  <si>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</si>
  <si>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</si>
  <si>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</si>
  <si>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</si>
  <si>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</si>
  <si>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</si>
  <si>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</si>
  <si>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</si>
  <si>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</si>
  <si>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</si>
  <si>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</si>
  <si>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</si>
  <si>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</si>
  <si>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</si>
  <si>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</si>
  <si>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</si>
  <si>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</si>
  <si>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</si>
  <si>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</si>
  <si>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</si>
  <si>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</si>
  <si>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</si>
  <si>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</si>
  <si>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</si>
  <si>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</si>
  <si>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</si>
  <si>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</si>
  <si>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</si>
  <si>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</si>
  <si>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</si>
  <si>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</si>
  <si>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</si>
  <si>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</si>
  <si>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</si>
  <si>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</si>
  <si>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</si>
  <si>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</si>
  <si>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</si>
  <si>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</si>
  <si>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</si>
  <si>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</si>
  <si>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</si>
  <si>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</si>
  <si>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</si>
  <si>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</si>
  <si>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</si>
  <si>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</si>
  <si>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</si>
  <si>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</si>
  <si>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</si>
  <si>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</si>
  <si>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</si>
  <si>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</si>
  <si>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</si>
  <si>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</si>
  <si>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</si>
  <si>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</si>
  <si>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</si>
  <si>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</si>
  <si>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</si>
  <si>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</si>
  <si>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</si>
  <si>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</si>
  <si>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</si>
  <si>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</si>
  <si>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</si>
  <si>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</si>
  <si>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</si>
  <si>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</si>
  <si>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</si>
  <si>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</si>
  <si>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</si>
  <si>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</si>
  <si>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</si>
  <si>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</si>
  <si>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</si>
  <si>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</si>
  <si>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</si>
  <si>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</si>
  <si>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</si>
  <si>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</si>
  <si>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</si>
  <si>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</si>
  <si>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</si>
  <si>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</si>
  <si>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</si>
  <si>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</si>
  <si>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</si>
  <si>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</si>
  <si>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</si>
  <si>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</si>
  <si>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</si>
  <si>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</si>
  <si>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</si>
  <si>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</si>
  <si>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</si>
  <si>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</si>
  <si>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</si>
  <si>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</si>
  <si>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</si>
  <si>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</si>
  <si>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</si>
  <si>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</si>
  <si>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</si>
  <si>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</si>
  <si>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</si>
  <si>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</si>
  <si>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</si>
  <si>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</si>
  <si>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</si>
  <si>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</si>
  <si>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</si>
  <si>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</si>
  <si>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</si>
  <si>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</si>
  <si>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</si>
  <si>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</si>
  <si>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</si>
  <si>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</si>
  <si>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</si>
  <si>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</si>
  <si>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</si>
  <si>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</si>
  <si>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</si>
  <si>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</si>
  <si>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</si>
  <si>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</si>
  <si>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</si>
  <si>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</si>
  <si>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</si>
  <si>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</si>
  <si>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</si>
  <si>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</si>
  <si>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</si>
  <si>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</si>
  <si>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</si>
  <si>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</si>
  <si>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</si>
  <si>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</si>
  <si>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</si>
  <si>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</si>
  <si>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</si>
  <si>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</si>
  <si>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</si>
  <si>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</si>
  <si>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</si>
  <si>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</si>
  <si>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</si>
  <si>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</si>
  <si>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</si>
  <si>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</si>
  <si>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</si>
  <si>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</si>
  <si>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</si>
  <si>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</si>
  <si>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</si>
  <si>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</si>
  <si>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</si>
  <si>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</si>
  <si>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</si>
  <si>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</si>
  <si>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</si>
  <si>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</si>
  <si>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</si>
  <si>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</si>
  <si>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</si>
  <si>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</si>
  <si>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</si>
  <si>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</si>
  <si>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</si>
  <si>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</si>
  <si>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</si>
  <si>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</si>
  <si>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</si>
  <si>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</si>
  <si>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</si>
  <si>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</si>
  <si>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</si>
  <si>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</si>
  <si>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</si>
  <si>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</si>
  <si>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</si>
  <si>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</si>
  <si>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</si>
  <si>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</si>
  <si>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</si>
  <si>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</si>
  <si>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</si>
  <si>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</si>
  <si>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</si>
  <si>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</si>
  <si>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</si>
  <si>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</si>
  <si>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</si>
  <si>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</si>
  <si>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</si>
  <si>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</si>
  <si>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</si>
  <si>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</si>
  <si>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</si>
  <si>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</si>
  <si>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</si>
  <si>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</si>
  <si>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</si>
  <si>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</si>
  <si>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</si>
  <si>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</si>
  <si>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</si>
  <si>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</si>
  <si>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</si>
  <si>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</si>
  <si>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</si>
  <si>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</si>
  <si>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</si>
  <si>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</si>
  <si>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</si>
  <si>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</si>
  <si>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</si>
  <si>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</si>
  <si>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</si>
  <si>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</si>
  <si>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</si>
  <si>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</si>
  <si>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</si>
  <si>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</si>
  <si>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</si>
  <si>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</si>
  <si>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</si>
  <si>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</si>
  <si>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</si>
  <si>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</si>
  <si>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</si>
  <si>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</si>
  <si>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</si>
  <si>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</si>
  <si>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</si>
  <si>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</si>
  <si>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</si>
  <si>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</si>
  <si>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</si>
  <si>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</si>
  <si>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</si>
  <si>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</si>
  <si>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</si>
  <si>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</si>
  <si>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</si>
  <si>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</si>
  <si>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</si>
  <si>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</si>
  <si>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</si>
  <si>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</si>
  <si>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</si>
  <si>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</si>
  <si>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</si>
  <si>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</si>
  <si>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</si>
  <si>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</si>
  <si>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</si>
  <si>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</si>
  <si>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</si>
  <si>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</si>
  <si>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</si>
  <si>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</si>
  <si>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</si>
  <si>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</si>
  <si>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</si>
  <si>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</si>
  <si>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</si>
  <si>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</si>
  <si>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</si>
  <si>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</si>
  <si>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</si>
  <si>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</si>
  <si>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</si>
  <si>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</si>
  <si>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</si>
  <si>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</si>
  <si>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</si>
  <si>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</si>
  <si>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</si>
  <si>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</si>
  <si>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</si>
  <si>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</si>
  <si>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</si>
  <si>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</si>
  <si>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</si>
  <si>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</si>
  <si>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</si>
  <si>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</si>
  <si>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</si>
  <si>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</si>
  <si>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</si>
  <si>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</si>
  <si>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</si>
  <si>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</si>
  <si>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</si>
  <si>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</si>
  <si>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</si>
  <si>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</si>
  <si>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</si>
  <si>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</si>
  <si>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</si>
  <si>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</si>
  <si>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</si>
  <si>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</si>
  <si>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</si>
  <si>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</si>
  <si>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</si>
  <si>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</si>
  <si>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</si>
  <si>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</si>
  <si>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</si>
  <si>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</si>
  <si>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</si>
  <si>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</si>
  <si>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</si>
  <si>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</si>
  <si>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</si>
  <si>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</si>
  <si>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</si>
  <si>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</si>
  <si>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</si>
  <si>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</si>
  <si>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</si>
  <si>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</si>
  <si>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</si>
  <si>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</si>
  <si>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</si>
  <si>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</si>
  <si>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</si>
  <si>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</si>
  <si>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</si>
  <si>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</si>
  <si>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</si>
  <si>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</si>
  <si>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</si>
  <si>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</si>
  <si>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</si>
  <si>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</si>
  <si>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</si>
  <si>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</si>
  <si>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</si>
  <si>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</si>
  <si>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</si>
  <si>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</si>
  <si>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</si>
  <si>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</si>
  <si>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</si>
  <si>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</si>
  <si>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</si>
  <si>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</si>
  <si>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</si>
  <si>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</si>
  <si>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</si>
  <si>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</si>
  <si>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</si>
  <si>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</si>
  <si>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</si>
  <si>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</si>
  <si>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</si>
  <si>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</si>
  <si>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</si>
  <si>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</si>
  <si>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</si>
  <si>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</si>
  <si>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</si>
  <si>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</si>
  <si>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</si>
  <si>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</si>
  <si>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</si>
  <si>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</si>
  <si>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</si>
  <si>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</si>
  <si>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</si>
  <si>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</si>
  <si>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</si>
  <si>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</si>
  <si>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</si>
  <si>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</si>
  <si>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</si>
  <si>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</si>
  <si>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</si>
  <si>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</si>
  <si>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</si>
  <si>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</si>
  <si>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</si>
  <si>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</si>
  <si>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</si>
  <si>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</si>
  <si>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</si>
  <si>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</si>
  <si>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</si>
  <si>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</si>
  <si>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</si>
  <si>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</si>
  <si>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</si>
  <si>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</si>
  <si>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</si>
  <si>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</si>
  <si>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</si>
  <si>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</si>
  <si>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</si>
  <si>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</si>
  <si>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</si>
  <si>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</si>
  <si>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</si>
  <si>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</si>
  <si>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</si>
  <si>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</si>
  <si>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</si>
  <si>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</si>
  <si>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</si>
  <si>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</si>
  <si>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</si>
  <si>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</si>
  <si>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</si>
  <si>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</si>
  <si>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</si>
  <si>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</si>
  <si>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</si>
  <si>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</si>
  <si>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</si>
  <si>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</si>
  <si>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</si>
  <si>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</si>
  <si>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</si>
  <si>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</si>
  <si>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</si>
  <si>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</si>
  <si>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</si>
  <si>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</si>
  <si>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</si>
  <si>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</si>
  <si>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</si>
  <si>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</si>
  <si>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</si>
  <si>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</si>
  <si>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</si>
  <si>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</si>
  <si>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</si>
  <si>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</si>
  <si>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</si>
  <si>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</si>
  <si>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</si>
  <si>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</si>
  <si>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</si>
  <si>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</si>
  <si>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</si>
  <si>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</si>
  <si>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</si>
  <si>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</si>
  <si>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</si>
  <si>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</si>
  <si>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</si>
  <si>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</si>
  <si>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</si>
  <si>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</si>
  <si>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</si>
  <si>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</si>
  <si>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</si>
  <si>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</si>
  <si>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</si>
  <si>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</si>
  <si>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</si>
  <si>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</si>
  <si>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</si>
  <si>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</si>
  <si>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</si>
  <si>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</si>
  <si>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</si>
  <si>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</si>
  <si>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</si>
  <si>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</si>
  <si>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</si>
  <si>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</si>
  <si>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</si>
  <si>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</si>
  <si>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</si>
  <si>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</si>
  <si>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</si>
  <si>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</si>
  <si>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</si>
  <si>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</si>
  <si>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</si>
  <si>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</si>
  <si>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</si>
  <si>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</si>
  <si>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</si>
  <si>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</si>
  <si>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</si>
  <si>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</si>
  <si>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</si>
  <si>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</si>
  <si>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</si>
  <si>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</si>
  <si>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</si>
  <si>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</si>
  <si>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</si>
  <si>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</si>
  <si>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</si>
  <si>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</si>
  <si>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</si>
  <si>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</si>
  <si>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</si>
  <si>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</si>
  <si>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</si>
  <si>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</si>
  <si>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</si>
  <si>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</si>
  <si>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</si>
  <si>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</si>
  <si>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</si>
  <si>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</si>
  <si>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</si>
  <si>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</si>
  <si>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</si>
  <si>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</si>
  <si>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</si>
  <si>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</si>
  <si>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</si>
  <si>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</si>
  <si>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</si>
  <si>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</si>
  <si>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</si>
  <si>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</si>
  <si>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</si>
  <si>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</si>
  <si>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</si>
  <si>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</si>
  <si>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</si>
  <si>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</si>
  <si>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</si>
  <si>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</si>
  <si>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</si>
  <si>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</si>
  <si>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</si>
  <si>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</si>
  <si>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</si>
  <si>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</si>
  <si>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</si>
  <si>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</si>
  <si>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</si>
  <si>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</si>
  <si>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</si>
  <si>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</si>
  <si>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</si>
  <si>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</si>
  <si>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</si>
  <si>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</si>
  <si>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</si>
  <si>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</si>
  <si>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</si>
  <si>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</si>
  <si>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</si>
  <si>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</si>
  <si>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</si>
  <si>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</si>
  <si>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</si>
  <si>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</si>
  <si>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</si>
  <si>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</si>
  <si>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</si>
  <si>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</si>
  <si>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</si>
  <si>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</si>
  <si>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</si>
  <si>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</si>
  <si>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</si>
  <si>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</si>
  <si>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</si>
  <si>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</si>
  <si>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</si>
  <si>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</si>
  <si>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</si>
  <si>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</si>
  <si>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</si>
  <si>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</si>
  <si>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</si>
  <si>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</si>
  <si>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</si>
  <si>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</si>
  <si>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</si>
  <si>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</si>
  <si>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</si>
  <si>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</si>
  <si>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</si>
  <si>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</si>
  <si>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</si>
  <si>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</si>
  <si>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</si>
  <si>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</si>
  <si>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</si>
  <si>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</si>
  <si>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</si>
  <si>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</si>
  <si>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</si>
  <si>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</si>
  <si>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</si>
  <si>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</si>
  <si>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</si>
  <si>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</si>
  <si>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</si>
  <si>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</si>
  <si>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</si>
  <si>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</si>
  <si>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</si>
  <si>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</si>
  <si>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</si>
  <si>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</si>
  <si>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</si>
  <si>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</si>
  <si>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</si>
  <si>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</si>
  <si>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</si>
  <si>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</si>
  <si>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</si>
  <si>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</si>
  <si>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</si>
  <si>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</si>
  <si>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</si>
  <si>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</si>
  <si>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</si>
  <si>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</si>
  <si>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</si>
  <si>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</si>
  <si>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</si>
  <si>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</si>
  <si>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</si>
  <si>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</si>
  <si>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</si>
  <si>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</si>
  <si>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</si>
  <si>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</si>
  <si>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</si>
  <si>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</si>
  <si>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</si>
  <si>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</si>
  <si>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</si>
  <si>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</si>
  <si>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</si>
  <si>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</si>
  <si>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</si>
  <si>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</si>
  <si>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</si>
  <si>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</si>
  <si>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</si>
  <si>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</si>
  <si>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</si>
  <si>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</si>
  <si>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</si>
  <si>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</si>
  <si>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</si>
  <si>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</si>
  <si>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</si>
  <si>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</si>
  <si>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</si>
  <si>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</si>
  <si>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</si>
  <si>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</si>
  <si>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</si>
  <si>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</si>
  <si>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</si>
  <si>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</si>
  <si>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</si>
  <si>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</si>
  <si>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</si>
  <si>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</si>
  <si>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</si>
  <si>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</si>
  <si>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</si>
  <si>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</si>
  <si>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</si>
  <si>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</si>
  <si>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</si>
  <si>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</si>
  <si>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</si>
  <si>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</si>
  <si>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</si>
  <si>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</si>
  <si>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</si>
  <si>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</si>
  <si>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</si>
  <si>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</si>
  <si>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</si>
  <si>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</si>
  <si>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</si>
  <si>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</si>
  <si>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</si>
  <si>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</si>
  <si>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</si>
  <si>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</si>
  <si>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</si>
  <si>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</si>
  <si>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</si>
  <si>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</si>
  <si>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</si>
  <si>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</si>
  <si>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</si>
  <si>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</si>
  <si>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</si>
  <si>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</si>
  <si>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</si>
  <si>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</si>
  <si>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</si>
  <si>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</si>
  <si>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</si>
  <si>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</si>
  <si>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</si>
  <si>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</si>
  <si>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</si>
  <si>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</si>
  <si>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</si>
  <si>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</si>
  <si>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</si>
  <si>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</si>
  <si>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</si>
  <si>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</si>
  <si>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</si>
  <si>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</si>
  <si>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</si>
  <si>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</si>
  <si>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</si>
  <si>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</si>
  <si>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</si>
  <si>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</si>
  <si>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</si>
  <si>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</si>
  <si>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</si>
  <si>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</si>
  <si>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</si>
  <si>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</si>
  <si>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</si>
  <si>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</si>
  <si>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</si>
  <si>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</si>
  <si>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</si>
  <si>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</si>
  <si>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</si>
  <si>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</si>
  <si>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</si>
  <si>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</si>
  <si>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</si>
  <si>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</si>
  <si>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</si>
  <si>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</si>
  <si>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</si>
  <si>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</si>
  <si>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</si>
  <si>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</si>
  <si>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</si>
  <si>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</si>
  <si>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</si>
  <si>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</si>
  <si>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</si>
  <si>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</si>
  <si>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</si>
  <si>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</si>
  <si>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</si>
  <si>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</si>
  <si>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</si>
  <si>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</si>
  <si>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</si>
  <si>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</si>
  <si>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</si>
  <si>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</si>
  <si>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</si>
  <si>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</si>
  <si>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</si>
  <si>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</si>
  <si>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</si>
  <si>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</si>
  <si>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</si>
  <si>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</si>
  <si>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大丰市常新璐西侧，疏港路北侧</t>
    <phoneticPr fontId="3" type="noConversion"/>
  </si>
  <si>
    <t>江苏省盐城市</t>
    <phoneticPr fontId="3" type="noConversion"/>
  </si>
  <si>
    <t>抵押</t>
  </si>
  <si>
    <t>抵押价格</t>
  </si>
  <si>
    <t>其他：</t>
  </si>
  <si>
    <t>企业</t>
  </si>
  <si>
    <t>一致</t>
  </si>
  <si>
    <t>出让</t>
  </si>
  <si>
    <t>地上</t>
  </si>
  <si>
    <t>平层住宅</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</si>
  <si>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</si>
  <si>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</si>
  <si>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</si>
  <si>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</si>
  <si>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</si>
  <si>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</si>
  <si>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</si>
  <si>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</si>
  <si>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</si>
  <si>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</si>
  <si>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</si>
  <si>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</si>
  <si>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</si>
  <si>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</si>
  <si>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开发区锦丰路东侧、反修河南侧地块</t>
  </si>
  <si>
    <t>盐城市</t>
  </si>
  <si>
    <t>住宅用地</t>
  </si>
  <si>
    <t>大丰市</t>
  </si>
  <si>
    <t>挂牌</t>
  </si>
  <si>
    <t>≥1.2,≤1.5</t>
  </si>
  <si>
    <t>2018-03-07</t>
  </si>
  <si>
    <t>江苏权健置业有限公司</t>
  </si>
  <si>
    <t>70年</t>
  </si>
  <si>
    <t>东郊公园东侧B地块</t>
  </si>
  <si>
    <t>＞1,≤1.8</t>
  </si>
  <si>
    <t>2018-01-07</t>
  </si>
  <si>
    <t>苏州升益房地产信息咨询有限公司</t>
  </si>
  <si>
    <t>南翔大道南侧B地块</t>
  </si>
  <si>
    <t>＞1,≤2.2</t>
  </si>
  <si>
    <t>宁波宁发投资有限公司</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</si>
  <si>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</si>
  <si>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</si>
  <si>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</si>
  <si>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</si>
  <si>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</si>
  <si>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</si>
  <si>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</si>
  <si>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</si>
  <si>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</si>
  <si>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</si>
  <si>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</si>
  <si>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≤2</t>
  </si>
  <si>
    <t>2017-07-06</t>
  </si>
  <si>
    <t>盐城大丰宏嘉旅游开发有限公司</t>
  </si>
  <si>
    <t>40年</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</si>
  <si>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</si>
  <si>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</si>
  <si>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</si>
  <si>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</si>
  <si>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</si>
  <si>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</si>
  <si>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</si>
  <si>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</si>
  <si>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</si>
  <si>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</si>
  <si>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</si>
  <si>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</si>
  <si>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</si>
  <si>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新丰镇226省道东侧、南环大道北侧地块</t>
  </si>
  <si>
    <t>＞1且≤2</t>
  </si>
  <si>
    <t>2017-01-16</t>
  </si>
  <si>
    <t>江苏郁金香旅游开发有限公司</t>
  </si>
  <si>
    <t>开发区原祥鸿服装地块</t>
  </si>
  <si>
    <t>≥1.2,≤2</t>
  </si>
  <si>
    <t>2016-01-29</t>
  </si>
  <si>
    <t>江西泰森实业有限公司</t>
  </si>
  <si>
    <t>南环大道南侧、经四路东侧地块</t>
  </si>
  <si>
    <t>2015-11-07</t>
  </si>
  <si>
    <t>大丰市裕丰城镇建设发展有限公司</t>
  </si>
  <si>
    <t>住宅</t>
    <phoneticPr fontId="26" type="noConversion"/>
  </si>
  <si>
    <t>正常</t>
  </si>
  <si>
    <t>一般</t>
  </si>
  <si>
    <t>楼面地价</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</si>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</sst>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7" fillId="0" borderId="0" xfId="0" applyFont="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江苏省盐城市大丰市常新璐西侧，疏港路北侧出让国有建设用地使用权抵押价格预评估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受贵公司委托，我公司对江苏省盐城市大丰市常新璐西侧，疏港路北侧出让国有建设用地使用权抵押价格进行了预评估。</v>
      </c>
      <c r="AM6" s="2904"/>
    </row>
    <row r="7" spans="1:55" s="2878" customFormat="1">
      <c r="A7" s="2879" t="s">
        <v>2660</v>
      </c>
      <c r="B7" s="2880" t="str">
        <f>'预评函-1'!A6</f>
        <v>估价对象为使用的、位于江苏省盐城市大丰市常新璐西侧，疏港路北侧出让国有建设用地使用权。根据《国有土地使用证》[]，估价对象（分摊）出让国有建设用地使用权面积为52337平方米。根据《建设工程规划许可证》[]、《出让合同》[]，估价对象规划建筑面积为104674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拟使用江苏省盐城市大丰市常新璐西侧，疏港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2662</v>
      </c>
      <c r="B10" s="2880" t="str">
        <f>'预评函-1'!A11</f>
        <v>2018年9月12日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根据《国有土地使用证》[]，估价对象（分摊）出让国有建设用地使用权面积为52337平方米。根据《建设工程规划许可证》[]、《出让合同》[]，估价对象规划建筑面积为104674平方米。</v>
      </c>
    </row>
    <row r="16" spans="1:55" s="2878" customFormat="1">
      <c r="A16" s="2879" t="s">
        <v>2672</v>
      </c>
      <c r="B16" s="2880" t="str">
        <f>'预评函-1'!A22</f>
        <v>本次估价对象为出让国有建设用地使用权，《国有土地使用证》[]证载土地终止日期为住宅2082年6月17日。截至估价期日，出让国有建设用地使用权剩余土地使用年限为。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9月12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估价期日：2018年9月12日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52337</v>
      </c>
    </row>
    <row r="44" spans="1:2">
      <c r="A44" s="2879" t="s">
        <v>2743</v>
      </c>
      <c r="B44" s="2880" t="str">
        <f>'预评函-2'!O3</f>
        <v>规划建筑面积/㎡</v>
      </c>
    </row>
    <row r="45" spans="1:2">
      <c r="A45" s="2879" t="s">
        <v>2725</v>
      </c>
      <c r="B45" s="2880">
        <f>'预评函-2'!O5</f>
        <v>104674</v>
      </c>
    </row>
    <row r="46" spans="1:2">
      <c r="A46" s="2879" t="s">
        <v>2726</v>
      </c>
      <c r="B46" s="2880">
        <f ca="1">'预评函-2'!P5</f>
        <v>6722</v>
      </c>
    </row>
    <row r="47" spans="1:2">
      <c r="A47" s="2879" t="s">
        <v>2727</v>
      </c>
      <c r="B47" s="2880">
        <f ca="1">'预评函-2'!Q5</f>
        <v>3361</v>
      </c>
    </row>
    <row r="48" spans="1:2">
      <c r="A48" s="2879" t="s">
        <v>2728</v>
      </c>
      <c r="B48" s="2880">
        <f ca="1">'预评函-2'!R5</f>
        <v>35181</v>
      </c>
    </row>
    <row r="49" spans="1:2">
      <c r="A49" s="2879" t="s">
        <v>2744</v>
      </c>
      <c r="B49" s="2880" t="str">
        <f>'预评函-2'!A6</f>
        <v>抵押价格</v>
      </c>
    </row>
    <row r="50" spans="1:2">
      <c r="A50" s="2879" t="s">
        <v>2729</v>
      </c>
      <c r="B50" s="2880">
        <f ca="1">'预评函-2'!R6</f>
        <v>35181</v>
      </c>
    </row>
    <row r="51" spans="1:2">
      <c r="A51" s="2879" t="s">
        <v>2745</v>
      </c>
      <c r="B51" s="2880" t="str">
        <f>'预评函-2'!A7</f>
        <v>——</v>
      </c>
    </row>
    <row r="52" spans="1:2">
      <c r="A52" s="2879" t="s">
        <v>2730</v>
      </c>
      <c r="B52" s="2880" t="str">
        <f>'预评函-2'!R7</f>
        <v>——</v>
      </c>
    </row>
    <row r="53" spans="1:2">
      <c r="A53" s="2879" t="s">
        <v>2746</v>
      </c>
      <c r="B53" s="2880">
        <f>'预评函-2'!A8</f>
        <v>0</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0" sqref="C1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3" t="str">
        <f>IF(B10="北京市","北京市",C10)&amp;F10&amp;B16&amp;"国有建设用地使用权"&amp;B9&amp;"预评估"</f>
        <v>江苏省盐城市大丰市常新璐西侧，疏港路北侧出让国有建设用地使用权抵押价格预评估</v>
      </c>
      <c r="C1" s="3214"/>
      <c r="D1" s="3214"/>
      <c r="E1" s="3214"/>
      <c r="F1" s="3214"/>
      <c r="G1" s="3214"/>
      <c r="H1" s="3214"/>
      <c r="I1" s="3215"/>
      <c r="J1" s="1694"/>
      <c r="K1" s="2456" t="str">
        <f>IF(B10="北京市","北京市",C10)&amp;F10&amp;B16&amp;"国有建设用地使用权"&amp;B9</f>
        <v>江苏省盐城市大丰市常新璐西侧，疏港路北侧出让国有建设用地使用权抵押价格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江苏省盐城市大丰市常新璐西侧，疏港路北侧出让国有建设用地使用权</v>
      </c>
      <c r="L2" s="1723"/>
      <c r="M2" s="1723"/>
      <c r="N2" s="1694"/>
      <c r="O2" s="1695"/>
      <c r="P2" s="1694"/>
      <c r="Q2" s="1694"/>
      <c r="R2" s="1694"/>
      <c r="S2" s="1694"/>
      <c r="T2" s="1694"/>
      <c r="U2" s="1694"/>
    </row>
    <row r="3" spans="1:21">
      <c r="A3" s="1661" t="s">
        <v>1942</v>
      </c>
      <c r="B3" s="1662"/>
      <c r="C3" s="1663" t="s">
        <v>1998</v>
      </c>
      <c r="D3" s="1662">
        <v>43355</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2990</v>
      </c>
      <c r="C8" s="1671"/>
      <c r="D8" s="3219" t="s">
        <v>1947</v>
      </c>
      <c r="E8" s="1844" t="s">
        <v>2991</v>
      </c>
      <c r="F8" s="1672"/>
      <c r="G8" s="1660"/>
      <c r="H8" s="1660"/>
      <c r="I8" s="1707"/>
      <c r="J8" s="1694"/>
      <c r="K8" s="1774"/>
      <c r="L8" s="1723"/>
      <c r="M8" s="1723"/>
      <c r="N8" s="1694"/>
      <c r="O8" s="1695"/>
      <c r="P8" s="1694"/>
      <c r="Q8" s="1694"/>
      <c r="R8" s="1694"/>
      <c r="S8" s="1694"/>
      <c r="T8" s="1694"/>
      <c r="U8" s="1694"/>
    </row>
    <row r="9" spans="1:21" ht="15" thickBot="1">
      <c r="A9" s="1673" t="s">
        <v>1946</v>
      </c>
      <c r="B9" s="1674" t="s">
        <v>2991</v>
      </c>
      <c r="C9" s="1675"/>
      <c r="D9" s="3220"/>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2992</v>
      </c>
      <c r="C10" s="1676" t="s">
        <v>2989</v>
      </c>
      <c r="D10" s="1667"/>
      <c r="E10" s="1677" t="s">
        <v>1949</v>
      </c>
      <c r="F10" s="1678" t="s">
        <v>2988</v>
      </c>
      <c r="G10" s="1745"/>
      <c r="H10" s="1746"/>
      <c r="I10" s="1667"/>
      <c r="J10" s="1694"/>
      <c r="K10" s="1774"/>
      <c r="L10" s="1723"/>
      <c r="M10" s="1723"/>
      <c r="N10" s="1694"/>
      <c r="O10" s="1695"/>
      <c r="P10" s="1694"/>
      <c r="Q10" s="1694"/>
      <c r="R10" s="1694"/>
      <c r="S10" s="1694"/>
      <c r="T10" s="1694"/>
      <c r="U10" s="1694"/>
    </row>
    <row r="11" spans="1:21">
      <c r="A11" s="1697" t="s">
        <v>2003</v>
      </c>
      <c r="B11" s="1698" t="s">
        <v>2993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6"/>
      <c r="C12" s="3217"/>
      <c r="D12" s="3218"/>
      <c r="E12" s="1699" t="s">
        <v>2064</v>
      </c>
      <c r="F12" s="3234" t="s">
        <v>2893</v>
      </c>
      <c r="G12" s="3235"/>
      <c r="H12" s="3235"/>
      <c r="I12" s="3236"/>
      <c r="J12" s="1694"/>
      <c r="K12" s="1774"/>
      <c r="L12" s="1723"/>
      <c r="M12" s="1723"/>
      <c r="N12" s="1694"/>
      <c r="O12" s="1695"/>
      <c r="P12" s="1694"/>
      <c r="Q12" s="1694"/>
      <c r="R12" s="1694"/>
      <c r="S12" s="1694"/>
      <c r="T12" s="1694"/>
      <c r="U12" s="1694"/>
    </row>
    <row r="13" spans="1:21">
      <c r="A13" s="1687" t="s">
        <v>2062</v>
      </c>
      <c r="B13" s="3216"/>
      <c r="C13" s="3217"/>
      <c r="D13" s="3218"/>
      <c r="E13" s="1699" t="s">
        <v>2064</v>
      </c>
      <c r="F13" s="3234" t="s">
        <v>2894</v>
      </c>
      <c r="G13" s="3235"/>
      <c r="H13" s="3235"/>
      <c r="I13" s="3236"/>
      <c r="J13" s="1694"/>
      <c r="K13" s="1774"/>
      <c r="L13" s="1723"/>
      <c r="M13" s="1723"/>
      <c r="N13" s="1694"/>
      <c r="O13" s="1695"/>
      <c r="P13" s="1694"/>
      <c r="Q13" s="1694"/>
      <c r="R13" s="1694"/>
      <c r="S13" s="1694"/>
      <c r="T13" s="1694"/>
      <c r="U13" s="1694"/>
    </row>
    <row r="14" spans="1:21">
      <c r="A14" s="1661" t="s">
        <v>2065</v>
      </c>
      <c r="B14" s="1699"/>
      <c r="C14" s="1845" t="s">
        <v>2994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2995</v>
      </c>
      <c r="C16" s="1699" t="s">
        <v>1951</v>
      </c>
      <c r="D16" s="2647" t="s">
        <v>1952</v>
      </c>
      <c r="E16" s="1722"/>
      <c r="F16" s="1722"/>
      <c r="G16" s="1722"/>
      <c r="H16" s="1722"/>
      <c r="I16" s="1686" t="s">
        <v>1957</v>
      </c>
      <c r="J16" s="1694"/>
      <c r="K16" s="2457" t="str">
        <f>IF(D17="","",D16&amp;TEXT(D17,"yyyy年m月d日;;"))</f>
        <v>住宅2082年6月17日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66644</v>
      </c>
      <c r="E17" s="1700"/>
      <c r="F17" s="1700"/>
      <c r="G17" s="1700"/>
      <c r="H17" s="1700"/>
      <c r="I17" s="1700"/>
      <c r="J17" s="1694"/>
      <c r="K17" s="2456" t="str">
        <f>CONCATENATE(K16,L16,M16,N16,O16,P16,Q16,R16,S16,T16,,U16)</f>
        <v>住宅2082年6月17日</v>
      </c>
      <c r="L17" s="1723"/>
      <c r="M17" s="1723"/>
      <c r="N17" s="1694"/>
      <c r="O17" s="1695"/>
      <c r="P17" s="1694"/>
      <c r="Q17" s="1694"/>
      <c r="R17" s="1694"/>
      <c r="S17" s="1694"/>
      <c r="T17" s="1694"/>
      <c r="U17" s="1694"/>
    </row>
    <row r="18" spans="1:21">
      <c r="A18" s="1763"/>
      <c r="B18" s="1682"/>
      <c r="C18" s="1683" t="s">
        <v>1959</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63.8</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1"/>
      <c r="E20" s="3232"/>
      <c r="F20" s="3232"/>
      <c r="G20" s="3232"/>
      <c r="H20" s="3232"/>
      <c r="I20" s="3233"/>
      <c r="J20" s="1694"/>
      <c r="K20" s="1774"/>
      <c r="L20" s="1723"/>
      <c r="M20" s="1723"/>
      <c r="N20" s="1694"/>
      <c r="O20" s="1695"/>
      <c r="P20" s="1694"/>
      <c r="Q20" s="1694"/>
      <c r="R20" s="1694"/>
      <c r="S20" s="1694"/>
      <c r="T20" s="1694"/>
      <c r="U20" s="1694"/>
    </row>
    <row r="21" spans="1:21">
      <c r="A21" s="1763" t="s">
        <v>1961</v>
      </c>
      <c r="B21" s="1764" t="s">
        <v>1962</v>
      </c>
      <c r="C21" s="1759">
        <f>'数据-汇总表'!E3</f>
        <v>104674</v>
      </c>
      <c r="D21" s="1760" t="s">
        <v>1963</v>
      </c>
      <c r="E21" s="3221" t="s">
        <v>2001</v>
      </c>
      <c r="F21" s="3222"/>
      <c r="G21" s="3222"/>
      <c r="H21" s="3222"/>
      <c r="I21" s="3223"/>
      <c r="J21" s="1694"/>
      <c r="K21" s="1774"/>
      <c r="L21" s="1723"/>
      <c r="M21" s="1723"/>
      <c r="N21" s="1694"/>
      <c r="O21" s="1695"/>
      <c r="P21" s="1694"/>
      <c r="Q21" s="1694"/>
      <c r="R21" s="1694"/>
      <c r="S21" s="1694"/>
      <c r="T21" s="1694"/>
      <c r="U21" s="1694"/>
    </row>
    <row r="22" spans="1:21">
      <c r="A22" s="3149" t="s">
        <v>952</v>
      </c>
      <c r="B22" s="1661" t="s">
        <v>1964</v>
      </c>
      <c r="C22" s="1686">
        <f>'数据-汇总表'!D3</f>
        <v>52337</v>
      </c>
      <c r="D22" s="1687" t="s">
        <v>1963</v>
      </c>
      <c r="E22" s="3221" t="s">
        <v>2895</v>
      </c>
      <c r="F22" s="3222"/>
      <c r="G22" s="3222"/>
      <c r="H22" s="3222"/>
      <c r="I22" s="3223"/>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4" t="s">
        <v>1969</v>
      </c>
      <c r="C24" s="3225"/>
      <c r="D24" s="3226" t="s">
        <v>1970</v>
      </c>
      <c r="E24" s="3227"/>
      <c r="F24" s="1708" t="s">
        <v>1971</v>
      </c>
      <c r="G24" s="1694"/>
      <c r="H24" s="1694"/>
      <c r="I24" s="1707"/>
      <c r="J24" s="1694"/>
      <c r="K24" s="3212"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2"/>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2"/>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9" t="s">
        <v>2004</v>
      </c>
      <c r="B31" s="1764" t="s">
        <v>2005</v>
      </c>
      <c r="C31" s="3237"/>
      <c r="D31" s="3238"/>
      <c r="E31" s="1694"/>
      <c r="F31" s="1694"/>
      <c r="G31" s="1694"/>
      <c r="H31" s="1694"/>
      <c r="I31" s="1707"/>
      <c r="J31" s="1694"/>
      <c r="K31" s="2459"/>
      <c r="L31" s="1694"/>
      <c r="M31" s="1694"/>
      <c r="N31" s="1694"/>
      <c r="O31" s="1694"/>
      <c r="P31" s="1694"/>
      <c r="Q31" s="1694"/>
      <c r="R31" s="1694"/>
      <c r="S31" s="1694"/>
      <c r="T31" s="1694"/>
      <c r="U31" s="1694"/>
    </row>
    <row r="32" spans="1:21">
      <c r="A32" s="3239"/>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9"/>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0"/>
      <c r="B34" s="1661" t="s">
        <v>2008</v>
      </c>
      <c r="C34" s="3241"/>
      <c r="D34" s="3242"/>
      <c r="E34" s="1694"/>
      <c r="F34" s="1694"/>
      <c r="G34" s="1694"/>
      <c r="H34" s="1694"/>
      <c r="I34" s="1707"/>
      <c r="J34" s="1694"/>
      <c r="K34" s="2459"/>
      <c r="L34" s="1694"/>
      <c r="M34" s="1694"/>
      <c r="N34" s="1694"/>
      <c r="O34" s="1694"/>
      <c r="P34" s="1694"/>
      <c r="Q34" s="1694"/>
      <c r="R34" s="1694"/>
      <c r="S34" s="1694"/>
      <c r="T34" s="1694"/>
      <c r="U34" s="1694"/>
    </row>
    <row r="35" spans="1:21">
      <c r="A35" s="3243" t="s">
        <v>847</v>
      </c>
      <c r="B35" s="1722"/>
      <c r="C35" s="1776" t="str">
        <f>IF(B35="场地平整","——","具体情况：")</f>
        <v>具体情况：</v>
      </c>
      <c r="D35" s="3245"/>
      <c r="E35" s="3246"/>
      <c r="F35" s="3246"/>
      <c r="G35" s="3246"/>
      <c r="H35" s="3246"/>
      <c r="I35" s="3247"/>
      <c r="J35" s="1694"/>
      <c r="K35" s="1775"/>
      <c r="L35" s="1723"/>
      <c r="M35" s="1723"/>
      <c r="N35" s="1694"/>
      <c r="O35" s="1695"/>
      <c r="P35" s="1694"/>
      <c r="Q35" s="1694"/>
      <c r="R35" s="1694"/>
      <c r="S35" s="1694"/>
      <c r="T35" s="1694"/>
      <c r="U35" s="1694"/>
    </row>
    <row r="36" spans="1:21">
      <c r="A36" s="3239"/>
      <c r="B36" s="3248" t="s">
        <v>2057</v>
      </c>
      <c r="C36" s="3249"/>
      <c r="D36" s="1792"/>
      <c r="E36" s="3250"/>
      <c r="F36" s="3250"/>
      <c r="G36" s="1687" t="str">
        <f>IF(B35="场地未平整","估价结果处理","")</f>
        <v/>
      </c>
      <c r="H36" s="3251"/>
      <c r="I36" s="3251"/>
      <c r="J36" s="1694"/>
      <c r="K36" s="1775"/>
      <c r="L36" s="1723"/>
      <c r="M36" s="1723"/>
      <c r="N36" s="1694"/>
      <c r="O36" s="1695"/>
      <c r="P36" s="1694"/>
      <c r="Q36" s="1694"/>
      <c r="R36" s="1694"/>
      <c r="S36" s="1694"/>
      <c r="T36" s="1694"/>
      <c r="U36" s="1694"/>
    </row>
    <row r="37" spans="1:21" ht="28.5">
      <c r="A37" s="3239"/>
      <c r="B37" s="3228"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9"/>
      <c r="B38" s="3229"/>
      <c r="C38" s="1669" t="s">
        <v>850</v>
      </c>
      <c r="D38" s="1791">
        <f>ROUNDDOWN(MIN(('数据-取费表'!$B$2-D37)/365,D34),1)</f>
        <v>118.7</v>
      </c>
      <c r="E38" s="1727" t="s">
        <v>851</v>
      </c>
      <c r="F38" s="1694"/>
      <c r="G38" s="1694"/>
      <c r="H38" s="1694"/>
      <c r="I38" s="1707"/>
      <c r="J38" s="1694"/>
      <c r="K38" s="1775"/>
      <c r="L38" s="1694"/>
      <c r="M38" s="1694"/>
      <c r="N38" s="1694"/>
      <c r="O38" s="1694"/>
      <c r="P38" s="1694"/>
      <c r="Q38" s="1694"/>
      <c r="R38" s="1694"/>
      <c r="S38" s="1694"/>
      <c r="T38" s="1694"/>
      <c r="U38" s="1694"/>
    </row>
    <row r="39" spans="1:21">
      <c r="A39" s="3240"/>
      <c r="B39" s="323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11" t="s">
        <v>1988</v>
      </c>
      <c r="T40" s="1731" t="str">
        <f>NUMBERSTRING(7-K40,1)&amp;"通"</f>
        <v>七通</v>
      </c>
      <c r="U40" s="1694"/>
    </row>
    <row r="41" spans="1:21" ht="28.5">
      <c r="A41" s="1663"/>
      <c r="B41" s="3244" t="s">
        <v>1722</v>
      </c>
      <c r="C41" s="3244"/>
      <c r="D41" s="3244"/>
      <c r="E41" s="3244"/>
      <c r="F41" s="1732" t="str">
        <f>C10</f>
        <v>江苏省盐城市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1"/>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52337</v>
      </c>
      <c r="B3" s="22">
        <f>IF(C3="否",G5-AT5,G5)</f>
        <v>104674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104674</v>
      </c>
      <c r="H5" s="27">
        <f t="shared" ref="H5:AT5" si="0">SUM(H13:H641)</f>
        <v>104674</v>
      </c>
      <c r="I5" s="27">
        <f t="shared" si="0"/>
        <v>104674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104674</v>
      </c>
      <c r="BA5" s="29">
        <f t="shared" si="1"/>
        <v>104674</v>
      </c>
      <c r="BB5" s="29">
        <f t="shared" si="1"/>
        <v>104674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52337</v>
      </c>
      <c r="F6" s="27" t="s">
        <v>1</v>
      </c>
      <c r="G6" s="27" t="s">
        <v>2</v>
      </c>
      <c r="H6" s="33">
        <f>SUMIF(I$12:AB$12,"总值",I6:AB6)</f>
        <v>52337</v>
      </c>
      <c r="I6" s="27">
        <f t="shared" ref="I6:AB6" si="2">ROUND($A$3*I5/$B$3,2)</f>
        <v>52337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52337</v>
      </c>
      <c r="AZ6" s="27" t="s">
        <v>3</v>
      </c>
      <c r="BA6" s="27">
        <f>ROUND($AY$6*BA5/$AZ$5,2)</f>
        <v>52337</v>
      </c>
      <c r="BB6" s="27">
        <f>ROUND($AY$6*BB5/$AZ$5,2)</f>
        <v>52337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2996</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c r="L10" s="51"/>
      <c r="M10" s="3021"/>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2997</v>
      </c>
      <c r="J11" s="71"/>
      <c r="K11" s="3020"/>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52337</v>
      </c>
      <c r="F13" s="81"/>
      <c r="G13" s="82">
        <f t="shared" ref="G13:G20" si="7">H13+AC13+AT13</f>
        <v>104674</v>
      </c>
      <c r="H13" s="33">
        <f t="shared" ref="H13:H20" si="8">SUMIF(I$12:AB$12,"总值",I13:AB13)</f>
        <v>104674</v>
      </c>
      <c r="I13" s="3018">
        <f>A3*2</f>
        <v>104674</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52337</v>
      </c>
      <c r="AZ13" s="27">
        <f t="shared" ref="AZ13:AZ20" si="12">BA13+BL13</f>
        <v>104674</v>
      </c>
      <c r="BA13" s="27">
        <f t="shared" ref="BA13:BA20" si="13">SUM(BB13:BK13)</f>
        <v>104674</v>
      </c>
      <c r="BB13" s="27">
        <f t="shared" ref="BB13:BB20" si="14">IF($D13="是",I13-J13,0)</f>
        <v>104674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3" t="s">
        <v>203</v>
      </c>
      <c r="B2" s="3263"/>
      <c r="C2" s="3263"/>
      <c r="D2" s="1976" t="s">
        <v>204</v>
      </c>
      <c r="E2" s="106" t="s">
        <v>205</v>
      </c>
      <c r="F2" s="1985"/>
      <c r="G2" s="1198"/>
      <c r="H2" s="1199"/>
      <c r="I2" s="1200" t="s">
        <v>857</v>
      </c>
      <c r="J2" s="1985"/>
      <c r="K2" s="1985"/>
      <c r="L2" s="1985"/>
    </row>
    <row r="3" spans="1:16" ht="15.75" thickBot="1">
      <c r="A3" s="3264" t="s">
        <v>206</v>
      </c>
      <c r="B3" s="3264"/>
      <c r="C3" s="3264"/>
      <c r="D3" s="107">
        <f>'数据-基础表'!AY6</f>
        <v>52337</v>
      </c>
      <c r="E3" s="107">
        <f>'数据-基础表'!AZ5</f>
        <v>104674</v>
      </c>
      <c r="F3" s="1985"/>
      <c r="G3" s="280" t="s">
        <v>858</v>
      </c>
      <c r="H3" s="275" t="s">
        <v>859</v>
      </c>
      <c r="I3" s="1977">
        <f>ROUND('数据-基础表'!B3/'数据-基础表'!A3,2)</f>
        <v>2</v>
      </c>
      <c r="J3" s="1985"/>
      <c r="K3" s="1985"/>
      <c r="L3" s="1985"/>
    </row>
    <row r="4" spans="1:16" ht="15">
      <c r="A4" s="3265"/>
      <c r="B4" s="3266"/>
      <c r="C4" s="3267"/>
      <c r="D4" s="108" t="s">
        <v>204</v>
      </c>
      <c r="E4" s="109" t="s">
        <v>205</v>
      </c>
      <c r="F4" s="1985"/>
      <c r="G4" s="1201"/>
      <c r="H4" s="275" t="s">
        <v>860</v>
      </c>
      <c r="I4" s="1977">
        <f>ROUND(SUMIF('数据-基础表'!I9:AS9,"地上",'数据-基础表'!I5:AS5)/'数据-基础表'!A3,2)</f>
        <v>2</v>
      </c>
      <c r="J4" s="1985"/>
      <c r="K4" s="1985"/>
      <c r="L4" s="1985"/>
    </row>
    <row r="5" spans="1:16">
      <c r="A5" s="110" t="s">
        <v>207</v>
      </c>
      <c r="B5" s="3268" t="s">
        <v>230</v>
      </c>
      <c r="C5" s="3268"/>
      <c r="D5" s="111">
        <f>ROUND($D$3*E5/$E$3,2)</f>
        <v>52337</v>
      </c>
      <c r="E5" s="112">
        <f>SUMIF('数据-基础表'!$11:$11,"住宅",'数据-基础表'!$5:$5)</f>
        <v>104674</v>
      </c>
      <c r="F5" s="1985"/>
      <c r="G5" s="280" t="s">
        <v>861</v>
      </c>
      <c r="H5" s="275" t="s">
        <v>859</v>
      </c>
      <c r="I5" s="1977">
        <f>ROUND(E31/D31,2)</f>
        <v>2</v>
      </c>
      <c r="J5" s="1985"/>
      <c r="K5" s="1985"/>
      <c r="L5" s="1985"/>
    </row>
    <row r="6" spans="1:16" ht="15" thickBot="1">
      <c r="A6" s="113"/>
      <c r="B6" s="3268" t="s">
        <v>208</v>
      </c>
      <c r="C6" s="3268"/>
      <c r="D6" s="111">
        <f>ROUND($D$3*E6/$E$3,2)</f>
        <v>0</v>
      </c>
      <c r="E6" s="112">
        <f>E3-E5</f>
        <v>0</v>
      </c>
      <c r="F6" s="1985"/>
      <c r="G6" s="1201"/>
      <c r="H6" s="275" t="s">
        <v>860</v>
      </c>
      <c r="I6" s="1977">
        <f>ROUND(F31/D31,2)</f>
        <v>2</v>
      </c>
      <c r="J6" s="1985"/>
      <c r="K6" s="1985"/>
      <c r="L6" s="1985"/>
    </row>
    <row r="7" spans="1:16" ht="15">
      <c r="A7" s="3260"/>
      <c r="B7" s="3261"/>
      <c r="C7" s="3262"/>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52337</v>
      </c>
      <c r="E8" s="116">
        <f>SUMIF('数据-基础表'!BB10:BK10,"地上",'数据-基础表'!BB5:BK5)</f>
        <v>104674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52337</v>
      </c>
      <c r="E16" s="120">
        <f>SUM(E8:E15)</f>
        <v>104674</v>
      </c>
      <c r="F16" s="1985"/>
      <c r="G16" s="1987"/>
      <c r="H16" s="968" t="s">
        <v>219</v>
      </c>
      <c r="I16" s="969"/>
      <c r="J16" s="1985"/>
      <c r="K16" s="3254" t="s">
        <v>2569</v>
      </c>
      <c r="L16" s="3255"/>
      <c r="M16" s="3255"/>
      <c r="N16" s="3255"/>
      <c r="O16" s="3255"/>
      <c r="P16" s="3256"/>
    </row>
    <row r="17" spans="1:19" ht="15">
      <c r="A17" s="121" t="s">
        <v>216</v>
      </c>
      <c r="B17" s="122" t="s">
        <v>217</v>
      </c>
      <c r="C17" s="2299" t="s">
        <v>2316</v>
      </c>
      <c r="D17" s="108" t="s">
        <v>204</v>
      </c>
      <c r="E17" s="124" t="s">
        <v>205</v>
      </c>
      <c r="F17" s="125"/>
      <c r="G17" s="1366"/>
      <c r="H17" s="970" t="s">
        <v>218</v>
      </c>
      <c r="I17" s="971" t="s">
        <v>2315</v>
      </c>
      <c r="J17" s="1985"/>
      <c r="K17" s="3257" t="s">
        <v>2570</v>
      </c>
      <c r="L17" s="3258"/>
      <c r="M17" s="3259"/>
      <c r="N17" s="3257" t="s">
        <v>2571</v>
      </c>
      <c r="O17" s="3258"/>
      <c r="P17" s="3259"/>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5" t="str">
        <f>'数据-基础表'!I11</f>
        <v>平层住宅</v>
      </c>
      <c r="D19" s="111">
        <f t="shared" ref="D19:D26" si="1">ROUND($D$3*E19/$E$3,2)</f>
        <v>52337</v>
      </c>
      <c r="E19" s="134">
        <f t="shared" ref="E19:E26" si="2">SUM(F19:G19)</f>
        <v>104674</v>
      </c>
      <c r="F19" s="135">
        <f>'数据-基础表'!I13</f>
        <v>104674</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52337</v>
      </c>
      <c r="S19" s="2302">
        <f t="shared" si="5"/>
        <v>104674</v>
      </c>
    </row>
    <row r="20" spans="1:19">
      <c r="A20" s="138"/>
      <c r="B20" s="115" t="s">
        <v>226</v>
      </c>
      <c r="C20" s="3025"/>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5"/>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52337</v>
      </c>
      <c r="E27" s="143">
        <f>IF(SUM(E19:E26)='数据-基础表'!BA5,SUM(E19:E26),IF(F27="地上面积有误","面积有误","地下面积有误"))</f>
        <v>104674</v>
      </c>
      <c r="F27" s="134">
        <f>IF(SUM(F19:F26)=E8,SUM(F19:F26),"地上面积有误")</f>
        <v>104674</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52337</v>
      </c>
      <c r="S27" s="275">
        <f>IF(SUM(S19:S26)=$E$3,SUM(S19:S26),SUM(S19:S26)&amp;"误差"&amp;ROUND(SUM(S19:S26)-E3,2))</f>
        <v>104674</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52337</v>
      </c>
      <c r="E31" s="1372">
        <f>E27+E30</f>
        <v>104674</v>
      </c>
      <c r="F31" s="1373">
        <f>F27+F30</f>
        <v>104674</v>
      </c>
      <c r="G31" s="1374">
        <f>G27+G30</f>
        <v>0</v>
      </c>
      <c r="H31" s="1985"/>
      <c r="I31" s="1985"/>
      <c r="J31" s="1985"/>
      <c r="K31" s="1985"/>
      <c r="L31" s="1985"/>
    </row>
    <row r="32" spans="1:19">
      <c r="A32" s="1985"/>
      <c r="B32" s="2364" t="s">
        <v>2324</v>
      </c>
      <c r="C32" s="2648"/>
      <c r="D32" s="1201"/>
      <c r="E32" s="1201">
        <f>SUMIF(C19:C26,"*住宅*",E19:E26)</f>
        <v>104674</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N12" sqref="N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43355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923</v>
      </c>
      <c r="D6" s="2309">
        <f>SUMIF(项目基本情况!D$15:I$15,C6,项目基本情况!D$18:I$18)</f>
        <v>70</v>
      </c>
      <c r="E6" s="2310">
        <f>IF(B6="","",SUMIF(项目基本情况!D$15:I$15,C6,项目基本情况!D$17:I$17))</f>
        <v>66644</v>
      </c>
      <c r="F6" s="174">
        <f>SUMIF(项目基本情况!D$15:I$15,C6,项目基本情况!D$19:I$19)</f>
        <v>63.8</v>
      </c>
      <c r="G6" s="175">
        <f>IF(ISERROR(ROUND(POWER(1+H6,D6-F6)*(POWER(1+H6,F6)-1)/(POWER(1+H6,D6)-1),3)),0,ROUND(POWER(1+H6,D6-F6)*(POWER(1+H6,F6)-1)/(POWER(1+H6,D6)-1),3))</f>
        <v>0.98499999999999999</v>
      </c>
      <c r="H6" s="3026">
        <v>4.4999999999999998E-2</v>
      </c>
      <c r="I6" s="3026">
        <v>0.05</v>
      </c>
      <c r="J6" s="176">
        <v>8.5000000000000006E-2</v>
      </c>
      <c r="K6" s="179">
        <f>SUMIF('数据-汇总表'!C$19:C$33,'数据-取费表'!A6,'数据-汇总表'!E$19:E$33)</f>
        <v>104674</v>
      </c>
      <c r="L6" s="3027">
        <v>2000</v>
      </c>
      <c r="M6" s="177">
        <f t="shared" ref="M6:M14" si="0">ROUND(K6*L6/10000,0)</f>
        <v>20935</v>
      </c>
      <c r="N6" s="3028">
        <v>0</v>
      </c>
      <c r="O6" s="177">
        <f>IF($N$5="成新度","——",ROUND(M6*N6,0))</f>
        <v>0</v>
      </c>
      <c r="P6" s="178">
        <f>IF($N$5="成新度","——",M6-O6)</f>
        <v>20935</v>
      </c>
      <c r="Q6" s="3029">
        <v>0.13</v>
      </c>
      <c r="R6" s="179">
        <f>SUMIF('数据-汇总表'!C$19:C$33,A6,'数据-汇总表'!R$19:R$33)</f>
        <v>52337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6"/>
      <c r="I7" s="3026"/>
      <c r="J7" s="176"/>
      <c r="K7" s="179">
        <f>SUMIF('数据-汇总表'!C$19:C$33,'数据-取费表'!A7,'数据-汇总表'!E$19:E$33)</f>
        <v>0</v>
      </c>
      <c r="L7" s="3027"/>
      <c r="M7" s="177">
        <f t="shared" si="0"/>
        <v>0</v>
      </c>
      <c r="N7" s="3028"/>
      <c r="O7" s="177">
        <f t="shared" ref="O7:O14" si="3">IF($N$5="成新度","——",ROUND(M7*N7,0))</f>
        <v>0</v>
      </c>
      <c r="P7" s="178">
        <f t="shared" ref="P7:P14" si="4">IF($N$5="成新度","——",M7-O7)</f>
        <v>0</v>
      </c>
      <c r="Q7" s="3029"/>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0.98499999999999999</v>
      </c>
      <c r="H16" s="203">
        <f>ROUND(SUMPRODUCT(H6:H13,K6:K13)/SUMPRODUCT((H6:H13&gt;0)*(K6:K13)),3)</f>
        <v>4.4999999999999998E-2</v>
      </c>
      <c r="I16" s="204"/>
      <c r="J16" s="204"/>
      <c r="K16" s="205">
        <f>SUM(K6:K15)</f>
        <v>104674</v>
      </c>
      <c r="L16" s="206">
        <f>ROUND(M16*10000/SUM(K6:K14),0)</f>
        <v>2000</v>
      </c>
      <c r="M16" s="206">
        <f>SUM(M6:M14)</f>
        <v>20935</v>
      </c>
      <c r="N16" s="207">
        <f>ROUND(SUMPRODUCT(M6:M14,N6:N14)/M16,3)</f>
        <v>0</v>
      </c>
      <c r="O16" s="206">
        <f>SUM(O6:O14)</f>
        <v>0</v>
      </c>
      <c r="P16" s="206">
        <f>SUM(P6:P14)</f>
        <v>20935</v>
      </c>
      <c r="Q16" s="208">
        <f>ROUND(SUMPRODUCT(Q6:Q13,K6:K13)/SUMPRODUCT((Q6:Q13&gt;0)*(K6:K13)),2)</f>
        <v>0.13</v>
      </c>
      <c r="R16" s="2312">
        <f>SUM(R6:R13)</f>
        <v>52337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100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80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120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077" t="s">
        <v>2908</v>
      </c>
      <c r="D53" s="3078" t="s">
        <v>3074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v>2</v>
      </c>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9" t="s">
        <v>1664</v>
      </c>
      <c r="B1" s="3270"/>
      <c r="C1" s="3270"/>
      <c r="D1" s="3270"/>
      <c r="E1" s="3270"/>
      <c r="F1" s="3270"/>
      <c r="G1" s="3270"/>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2549</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2550</v>
      </c>
      <c r="G6" s="3084" t="s">
        <v>2919</v>
      </c>
      <c r="H6" s="2009"/>
      <c r="I6" s="2009"/>
      <c r="J6" s="2009"/>
      <c r="K6" s="2009"/>
      <c r="L6" s="2009"/>
      <c r="M6" s="2009"/>
      <c r="N6" s="2009"/>
      <c r="O6" s="2009"/>
      <c r="P6" s="2009"/>
      <c r="Q6" s="2009"/>
      <c r="R6" s="2009"/>
    </row>
    <row r="7" spans="1:18" ht="41.25" thickBot="1">
      <c r="A7" s="1229"/>
      <c r="B7" s="1231" t="s">
        <v>2549</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2550</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8"/>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104674</v>
      </c>
      <c r="C1" s="3047"/>
      <c r="D1" s="3047"/>
      <c r="E1" s="3047"/>
      <c r="F1" s="3047"/>
    </row>
    <row r="2" spans="1:9" ht="16.5">
      <c r="A2" s="3046" t="s">
        <v>2848</v>
      </c>
      <c r="B2" s="3046">
        <f>SUM(C14:C23)</f>
        <v>52337</v>
      </c>
      <c r="C2" s="3047"/>
      <c r="D2" s="3047"/>
      <c r="E2" s="3047"/>
      <c r="F2" s="3047"/>
    </row>
    <row r="3" spans="1:9" ht="16.5">
      <c r="A3" s="3046" t="s">
        <v>2849</v>
      </c>
      <c r="B3" s="3048">
        <f>项目基本情况!D3</f>
        <v>43355</v>
      </c>
      <c r="C3" s="3047"/>
      <c r="D3" s="3047"/>
      <c r="E3" s="3047"/>
      <c r="F3" s="3047"/>
    </row>
    <row r="4" spans="1:9" ht="33">
      <c r="A4" s="3046" t="s">
        <v>2850</v>
      </c>
      <c r="B4" s="3046" t="s">
        <v>2851</v>
      </c>
      <c r="C4" s="3046" t="s">
        <v>2852</v>
      </c>
      <c r="D4" s="3046" t="s">
        <v>2853</v>
      </c>
      <c r="E4" s="3047"/>
      <c r="F4" s="3047"/>
    </row>
    <row r="5" spans="1:9" ht="16.5">
      <c r="A5" s="3046" t="s">
        <v>2854</v>
      </c>
      <c r="B5" s="3046">
        <f ca="1">SUM(D14:D23)</f>
        <v>35181</v>
      </c>
      <c r="C5" s="3046">
        <f ca="1">ROUND(B5*10000/$B$1,0)</f>
        <v>3361</v>
      </c>
      <c r="D5" s="3046">
        <f ca="1">ROUND(B5*10000/$B$2,0)</f>
        <v>6722</v>
      </c>
      <c r="E5" s="3047"/>
      <c r="F5" s="3047"/>
    </row>
    <row r="6" spans="1:9" ht="16.5">
      <c r="A6" s="3046" t="s">
        <v>2855</v>
      </c>
      <c r="B6" s="3046">
        <f ca="1">SUM(G14:G23)</f>
        <v>35181</v>
      </c>
      <c r="C6" s="3046">
        <f t="shared" ref="C6:C8" ca="1" si="0">ROUND(B6*10000/$B$1,0)</f>
        <v>3361</v>
      </c>
      <c r="D6" s="3046">
        <f t="shared" ref="D6:D8" ca="1" si="1">ROUND(B6*10000/$B$2,0)</f>
        <v>6722</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104674</v>
      </c>
      <c r="C14" s="3050">
        <f>结果表!K38</f>
        <v>52337</v>
      </c>
      <c r="D14" s="3050">
        <f ca="1">结果表!C42</f>
        <v>35181</v>
      </c>
      <c r="E14" s="3050">
        <f ca="1">ROUND(D14*10000/B14,0)</f>
        <v>3361</v>
      </c>
      <c r="F14" s="3050">
        <f ca="1">ROUND(D14*10000/C14,0)</f>
        <v>6722</v>
      </c>
      <c r="G14" s="3050">
        <f ca="1">结果表!C44</f>
        <v>35181</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5" sqref="C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16" t="str">
        <f>项目基本情况!K2</f>
        <v>江苏省盐城市大丰市常新璐西侧，疏港路北侧出让国有建设用地使用权</v>
      </c>
      <c r="B2" s="3317"/>
      <c r="C2" s="3318"/>
      <c r="D2" s="3318"/>
      <c r="E2" s="3318"/>
      <c r="F2" s="3318"/>
      <c r="G2" s="3317"/>
      <c r="H2" s="3317"/>
      <c r="I2" s="3319"/>
      <c r="J2" s="2031"/>
      <c r="K2" s="2030"/>
      <c r="L2" s="2030"/>
      <c r="M2" s="2030"/>
      <c r="N2" s="2030"/>
      <c r="O2" s="2030"/>
      <c r="P2" s="2030"/>
      <c r="Q2" s="2030"/>
      <c r="R2" s="2030"/>
      <c r="S2" s="2030"/>
      <c r="T2" s="2030"/>
      <c r="U2" s="2030"/>
      <c r="V2" s="2030"/>
    </row>
    <row r="3" spans="1:22" ht="14.25">
      <c r="A3" s="3327" t="s">
        <v>298</v>
      </c>
      <c r="B3" s="3328"/>
      <c r="C3" s="3328"/>
      <c r="D3" s="3328"/>
      <c r="E3" s="3328"/>
      <c r="F3" s="3328"/>
      <c r="G3" s="3328"/>
      <c r="H3" s="3328"/>
      <c r="I3" s="3328"/>
      <c r="J3" s="2031"/>
      <c r="K3" s="2030"/>
      <c r="L3" s="2030"/>
      <c r="M3" s="2030"/>
      <c r="N3" s="2030"/>
      <c r="O3" s="2030"/>
      <c r="P3" s="2030"/>
      <c r="Q3" s="2030"/>
      <c r="R3" s="2030"/>
      <c r="S3" s="2030"/>
      <c r="T3" s="2030"/>
      <c r="U3" s="2030"/>
      <c r="V3" s="2030"/>
    </row>
    <row r="4" spans="1:22" ht="14.25">
      <c r="A4" s="258" t="s">
        <v>299</v>
      </c>
      <c r="B4" s="259" t="s">
        <v>300</v>
      </c>
      <c r="C4" s="260" t="s">
        <v>3071</v>
      </c>
      <c r="D4" s="260" t="s">
        <v>3072</v>
      </c>
      <c r="E4" s="3291" t="s">
        <v>301</v>
      </c>
      <c r="F4" s="3333"/>
      <c r="G4" s="3333"/>
      <c r="H4" s="3333"/>
      <c r="I4" s="329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0" t="s">
        <v>302</v>
      </c>
      <c r="B5" s="3321">
        <v>25</v>
      </c>
      <c r="C5" s="3329"/>
      <c r="D5" s="3332"/>
      <c r="E5" s="261" t="s">
        <v>303</v>
      </c>
      <c r="F5" s="262"/>
      <c r="G5" s="262"/>
      <c r="H5" s="262"/>
      <c r="I5" s="263"/>
      <c r="J5" s="2031"/>
      <c r="K5" s="2030"/>
      <c r="L5" s="2030"/>
      <c r="M5" s="2030"/>
      <c r="N5" s="2030"/>
      <c r="O5" s="2030"/>
      <c r="P5" s="2030"/>
      <c r="Q5" s="2030"/>
      <c r="R5" s="2030"/>
      <c r="S5" s="2030"/>
      <c r="T5" s="2030"/>
      <c r="U5" s="2030"/>
      <c r="V5" s="2030"/>
    </row>
    <row r="6" spans="1:22" ht="14.25">
      <c r="A6" s="3320"/>
      <c r="B6" s="3321"/>
      <c r="C6" s="3330"/>
      <c r="D6" s="3332"/>
      <c r="E6" s="261" t="s">
        <v>304</v>
      </c>
      <c r="F6" s="262"/>
      <c r="G6" s="262"/>
      <c r="H6" s="262"/>
      <c r="I6" s="263"/>
      <c r="J6" s="2031"/>
      <c r="K6" s="2030"/>
      <c r="L6" s="2030"/>
      <c r="M6" s="2030"/>
      <c r="N6" s="2030"/>
      <c r="O6" s="2030"/>
      <c r="P6" s="2030"/>
      <c r="Q6" s="2030"/>
      <c r="R6" s="2030"/>
      <c r="S6" s="2030"/>
      <c r="T6" s="2030"/>
      <c r="U6" s="2030"/>
      <c r="V6" s="2030"/>
    </row>
    <row r="7" spans="1:22" ht="14.25">
      <c r="A7" s="3320"/>
      <c r="B7" s="3321"/>
      <c r="C7" s="3331"/>
      <c r="D7" s="3332"/>
      <c r="E7" s="261" t="s">
        <v>305</v>
      </c>
      <c r="F7" s="262"/>
      <c r="G7" s="262"/>
      <c r="H7" s="262"/>
      <c r="I7" s="263"/>
      <c r="J7" s="2031"/>
      <c r="K7" s="2030"/>
      <c r="L7" s="2030"/>
      <c r="M7" s="2030"/>
      <c r="N7" s="2030"/>
      <c r="O7" s="2030"/>
      <c r="P7" s="2030"/>
      <c r="Q7" s="2030"/>
      <c r="R7" s="2030"/>
      <c r="S7" s="2030"/>
      <c r="T7" s="2030"/>
      <c r="U7" s="2030"/>
      <c r="V7" s="2030"/>
    </row>
    <row r="8" spans="1:22" ht="14.25">
      <c r="A8" s="3320" t="s">
        <v>306</v>
      </c>
      <c r="B8" s="3321">
        <v>15</v>
      </c>
      <c r="C8" s="3329"/>
      <c r="D8" s="3332"/>
      <c r="E8" s="261" t="s">
        <v>307</v>
      </c>
      <c r="F8" s="262"/>
      <c r="G8" s="262"/>
      <c r="H8" s="262"/>
      <c r="I8" s="263"/>
      <c r="J8" s="2031"/>
      <c r="K8" s="2030"/>
      <c r="L8" s="2030"/>
      <c r="M8" s="2030"/>
      <c r="N8" s="2030"/>
      <c r="O8" s="2030"/>
      <c r="P8" s="2030"/>
      <c r="Q8" s="2030"/>
      <c r="R8" s="2030"/>
      <c r="S8" s="2030"/>
      <c r="T8" s="2030"/>
      <c r="U8" s="2030"/>
      <c r="V8" s="2030"/>
    </row>
    <row r="9" spans="1:22" ht="14.25">
      <c r="A9" s="3320"/>
      <c r="B9" s="3321"/>
      <c r="C9" s="3331"/>
      <c r="D9" s="3332"/>
      <c r="E9" s="261" t="s">
        <v>308</v>
      </c>
      <c r="F9" s="262"/>
      <c r="G9" s="262"/>
      <c r="H9" s="262"/>
      <c r="I9" s="263"/>
      <c r="J9" s="2031"/>
      <c r="K9" s="2030"/>
      <c r="L9" s="2030"/>
      <c r="M9" s="2030"/>
      <c r="N9" s="2030"/>
      <c r="O9" s="2030"/>
      <c r="P9" s="2030"/>
      <c r="Q9" s="2030"/>
      <c r="R9" s="2030"/>
      <c r="S9" s="2030"/>
      <c r="T9" s="2030"/>
      <c r="U9" s="2030"/>
      <c r="V9" s="2030"/>
    </row>
    <row r="10" spans="1:22" ht="14.25">
      <c r="A10" s="3320" t="s">
        <v>309</v>
      </c>
      <c r="B10" s="3321">
        <v>15</v>
      </c>
      <c r="C10" s="3329"/>
      <c r="D10" s="3332"/>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0"/>
      <c r="B11" s="3321"/>
      <c r="C11" s="3331"/>
      <c r="D11" s="3332"/>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0" t="s">
        <v>312</v>
      </c>
      <c r="B12" s="3321">
        <v>15</v>
      </c>
      <c r="C12" s="3329"/>
      <c r="D12" s="3332"/>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0"/>
      <c r="B13" s="3321"/>
      <c r="C13" s="3331"/>
      <c r="D13" s="3332"/>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0" t="s">
        <v>315</v>
      </c>
      <c r="B14" s="3321">
        <v>30</v>
      </c>
      <c r="C14" s="3329">
        <v>5</v>
      </c>
      <c r="D14" s="333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0"/>
      <c r="B15" s="3321"/>
      <c r="C15" s="3330"/>
      <c r="D15" s="3332"/>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0"/>
      <c r="B16" s="3321"/>
      <c r="C16" s="3331"/>
      <c r="D16" s="333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33579</v>
      </c>
      <c r="D19" s="271">
        <f ca="1">SUMIF(INDIRECT("'"&amp;D4&amp;"'"&amp;"!A:A"),结果表!B19,INDIRECT("'"&amp;D4&amp;"'"&amp;"!B:B"))</f>
        <v>36783</v>
      </c>
      <c r="E19" s="268" t="s">
        <v>323</v>
      </c>
      <c r="F19" s="269" t="s">
        <v>322</v>
      </c>
      <c r="G19" s="272">
        <f ca="1">ROUND(C19*$C$18+D19*$D$18,0)</f>
        <v>35181</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3208</v>
      </c>
      <c r="D20" s="277">
        <f ca="1">SUMIF(INDIRECT("'"&amp;D4&amp;"'"&amp;"!A:A"),结果表!B20,INDIRECT("'"&amp;D4&amp;"'"&amp;"!B:B"))</f>
        <v>3514</v>
      </c>
      <c r="E20" s="274"/>
      <c r="F20" s="275" t="s">
        <v>325</v>
      </c>
      <c r="G20" s="278">
        <f ca="1">ROUND(C20*$C$18+D20*$D$18,0)</f>
        <v>3361</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6416</v>
      </c>
      <c r="D21" s="151">
        <f ca="1">SUMIF(INDIRECT("'"&amp;D4&amp;"'"&amp;"!A:A"),结果表!B21,INDIRECT("'"&amp;D4&amp;"'"&amp;"!B:B"))</f>
        <v>7028</v>
      </c>
      <c r="E21" s="274"/>
      <c r="F21" s="280" t="s">
        <v>327</v>
      </c>
      <c r="G21" s="282">
        <f ca="1">ROUND(C21*$C$18+D21*$D$18,0)</f>
        <v>6722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9.5416778343607511E-2</v>
      </c>
      <c r="E22" s="284"/>
      <c r="F22" s="285"/>
      <c r="G22" s="286">
        <f ca="1">ROUND(G19/('数据-汇总表'!D3/666.67),0)</f>
        <v>448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5"/>
      <c r="B25" s="1321" t="s">
        <v>331</v>
      </c>
      <c r="C25" s="290">
        <f>IF(B30=0,0,C30)</f>
        <v>0</v>
      </c>
      <c r="D25" s="291"/>
      <c r="E25" s="311"/>
      <c r="F25" s="311"/>
      <c r="G25" s="311"/>
      <c r="H25" s="311"/>
      <c r="I25" s="311"/>
      <c r="J25" s="2030"/>
      <c r="K25" s="1255" t="str">
        <f ca="1">项目基本情况!B16&amp;"国有建设用地使用权价格："&amp;O38&amp;"万元"</f>
        <v>出让国有建设用地使用权价格：35181万元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大写金额：人民币叁亿伍仟壹佰捌拾壹万元整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单位面积地价：6722元/平方米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楼面地价：3361元/平方米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抵押价格：35181万元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大写金额：人民币叁亿伍仟壹佰捌拾壹万元整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35181</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3361</v>
      </c>
      <c r="D33" s="1386" t="s">
        <v>1692</v>
      </c>
      <c r="E33" s="329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6722</v>
      </c>
      <c r="D34" s="1388" t="s">
        <v>1692</v>
      </c>
      <c r="E34" s="329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448</v>
      </c>
      <c r="D35" s="1391" t="s">
        <v>1694</v>
      </c>
      <c r="E35" s="3295"/>
      <c r="F35" s="301" t="s">
        <v>342</v>
      </c>
      <c r="G35" s="982"/>
      <c r="H35" s="981" t="s">
        <v>343</v>
      </c>
      <c r="I35" s="311"/>
      <c r="J35" s="2030"/>
      <c r="K35" s="3299" t="s">
        <v>350</v>
      </c>
      <c r="L35" s="3299" t="s">
        <v>351</v>
      </c>
      <c r="M35" s="1264" t="s">
        <v>352</v>
      </c>
      <c r="N35" s="3299" t="s">
        <v>353</v>
      </c>
      <c r="O35" s="3299" t="s">
        <v>354</v>
      </c>
      <c r="P35" s="2030"/>
      <c r="V35" s="2030"/>
    </row>
    <row r="36" spans="1:26" ht="16.5" customHeight="1">
      <c r="A36" s="303" t="s">
        <v>344</v>
      </c>
      <c r="B36" s="304" t="s">
        <v>333</v>
      </c>
      <c r="C36" s="305" t="s">
        <v>345</v>
      </c>
      <c r="D36" s="305" t="s">
        <v>346</v>
      </c>
      <c r="E36" s="306" t="s">
        <v>347</v>
      </c>
      <c r="F36" s="311"/>
      <c r="G36" s="311"/>
      <c r="H36" s="311"/>
      <c r="I36" s="311"/>
      <c r="J36" s="2032"/>
      <c r="K36" s="3300"/>
      <c r="L36" s="3300"/>
      <c r="M36" s="1266" t="s">
        <v>355</v>
      </c>
      <c r="N36" s="3300"/>
      <c r="O36" s="3300"/>
      <c r="P36" s="2030"/>
      <c r="V36" s="2030"/>
    </row>
    <row r="37" spans="1:26" ht="16.5" customHeight="1" thickBot="1">
      <c r="A37" s="1260" t="s">
        <v>348</v>
      </c>
      <c r="B37" s="307"/>
      <c r="C37" s="294"/>
      <c r="D37" s="294"/>
      <c r="E37" s="295"/>
      <c r="F37" s="311"/>
      <c r="G37" s="311"/>
      <c r="H37" s="311"/>
      <c r="I37" s="311"/>
      <c r="J37" s="2032"/>
      <c r="K37" s="3301"/>
      <c r="L37" s="3301"/>
      <c r="M37" s="1267"/>
      <c r="N37" s="3301"/>
      <c r="O37" s="3301"/>
      <c r="P37" s="2030"/>
      <c r="V37" s="2030"/>
    </row>
    <row r="38" spans="1:26" ht="16.5" customHeight="1" thickBot="1">
      <c r="A38" s="1260" t="s">
        <v>349</v>
      </c>
      <c r="B38" s="307"/>
      <c r="C38" s="294"/>
      <c r="D38" s="294"/>
      <c r="E38" s="295"/>
      <c r="F38" s="311"/>
      <c r="G38" s="311"/>
      <c r="H38" s="311"/>
      <c r="I38" s="311"/>
      <c r="J38" s="2032"/>
      <c r="K38" s="1268">
        <f>'数据-汇总表'!D3</f>
        <v>52337</v>
      </c>
      <c r="L38" s="1269">
        <f>'数据-汇总表'!E3</f>
        <v>104674</v>
      </c>
      <c r="M38" s="1269">
        <f ca="1">C34</f>
        <v>6722</v>
      </c>
      <c r="N38" s="1269">
        <f ca="1">C33</f>
        <v>3361</v>
      </c>
      <c r="O38" s="1270">
        <f ca="1">C32</f>
        <v>35181</v>
      </c>
      <c r="P38" s="2030"/>
      <c r="V38" s="2030"/>
    </row>
    <row r="39" spans="1:26" ht="16.5" customHeight="1" thickBot="1">
      <c r="A39" s="1265"/>
      <c r="B39" s="308"/>
      <c r="C39" s="309"/>
      <c r="D39" s="309"/>
      <c r="E39" s="310"/>
      <c r="F39" s="311"/>
      <c r="G39" s="311"/>
      <c r="H39" s="311"/>
      <c r="I39" s="311"/>
      <c r="J39" s="2032"/>
      <c r="K39" s="3276" t="str">
        <f>MID(A44,3,LEN(A44)-2)</f>
        <v>抵押价格</v>
      </c>
      <c r="L39" s="3277"/>
      <c r="M39" s="3277"/>
      <c r="N39" s="3278"/>
      <c r="O39" s="1393">
        <f ca="1">C44</f>
        <v>35181</v>
      </c>
      <c r="P39" s="2030"/>
      <c r="V39" s="2030"/>
    </row>
    <row r="40" spans="1:26" ht="19.5" thickBot="1">
      <c r="A40" s="104" t="s">
        <v>873</v>
      </c>
      <c r="B40" s="311"/>
      <c r="C40" s="311"/>
      <c r="D40" s="311"/>
      <c r="E40" s="311"/>
      <c r="F40" s="311"/>
      <c r="G40" s="311"/>
      <c r="H40" s="311"/>
      <c r="I40" s="311"/>
      <c r="J40" s="2032"/>
      <c r="K40" s="3276" t="str">
        <f t="shared" ref="K40:K41" si="0">MID(A45,3,LEN(A45)-2)</f>
        <v/>
      </c>
      <c r="L40" s="3277"/>
      <c r="M40" s="3277"/>
      <c r="N40" s="3278"/>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6" t="str">
        <f t="shared" si="0"/>
        <v/>
      </c>
      <c r="L41" s="3277"/>
      <c r="M41" s="3277"/>
      <c r="N41" s="3278"/>
      <c r="O41" s="1393" t="str">
        <f>C46</f>
        <v>——</v>
      </c>
      <c r="P41" s="2030"/>
      <c r="V41" s="2030"/>
    </row>
    <row r="42" spans="1:26" ht="29.25">
      <c r="A42" s="3336" t="s">
        <v>2070</v>
      </c>
      <c r="B42" s="3337"/>
      <c r="C42" s="264">
        <f ca="1">C32</f>
        <v>35181</v>
      </c>
      <c r="D42" s="317">
        <f ca="1">C33</f>
        <v>3361</v>
      </c>
      <c r="E42" s="317">
        <f ca="1">C34</f>
        <v>6722</v>
      </c>
      <c r="F42" s="318">
        <f ca="1">C35</f>
        <v>448</v>
      </c>
      <c r="G42" s="311"/>
      <c r="H42" s="311"/>
      <c r="I42" s="319"/>
      <c r="J42" s="2032"/>
      <c r="K42" s="1271" t="s">
        <v>361</v>
      </c>
      <c r="L42" s="2049" t="s">
        <v>362</v>
      </c>
      <c r="M42" s="1272" t="s">
        <v>363</v>
      </c>
      <c r="N42" s="2050" t="s">
        <v>364</v>
      </c>
      <c r="O42" s="2051" t="s">
        <v>365</v>
      </c>
      <c r="P42" s="2030"/>
      <c r="V42" s="2030"/>
    </row>
    <row r="43" spans="1:26" ht="30">
      <c r="A43" s="3346" t="s">
        <v>2733</v>
      </c>
      <c r="B43" s="3347"/>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33579</v>
      </c>
      <c r="M43" s="1275">
        <f>C18</f>
        <v>0.5</v>
      </c>
      <c r="N43" s="1276">
        <f ca="1">IF(N42="测算结果/万元",G19,G20)</f>
        <v>35181</v>
      </c>
      <c r="O43" s="1277">
        <f ca="1">IF(O42="最终结果/万元",C32,C33)</f>
        <v>35181</v>
      </c>
      <c r="P43" s="2030"/>
      <c r="V43" s="2030"/>
    </row>
    <row r="44" spans="1:26" ht="30.75" thickBot="1">
      <c r="A44" s="3336" t="str">
        <f>IF(OR(项目基本情况!E8="抵押价格",项目基本情况!E8="已注销及未注销"),"3.抵押价格","——")</f>
        <v>3.抵押价格</v>
      </c>
      <c r="B44" s="3337"/>
      <c r="C44" s="264">
        <f ca="1">IF(A44="——","——",C42-C43)</f>
        <v>35181</v>
      </c>
      <c r="D44" s="317">
        <f ca="1">ROUND(C44*10000/'数据-汇总表'!E3,0)</f>
        <v>3361</v>
      </c>
      <c r="E44" s="317">
        <f ca="1">ROUND(C44*10000/'数据-汇总表'!D3,0)</f>
        <v>6722</v>
      </c>
      <c r="F44" s="318">
        <f ca="1">ROUND(C44/('数据-汇总表'!D3/666.67),0)</f>
        <v>448</v>
      </c>
      <c r="G44" s="311"/>
      <c r="H44" s="311"/>
      <c r="I44" s="319"/>
      <c r="J44" s="2032"/>
      <c r="K44" s="1278" t="str">
        <f>D4</f>
        <v>剩余法-待开发</v>
      </c>
      <c r="L44" s="1279">
        <f ca="1">IF(L42="估价结果/万元",D19,D20)</f>
        <v>36783</v>
      </c>
      <c r="M44" s="1280">
        <f>D18</f>
        <v>0.5</v>
      </c>
      <c r="N44" s="1281"/>
      <c r="O44" s="1282"/>
      <c r="P44" s="2030"/>
      <c r="V44" s="2030"/>
    </row>
    <row r="45" spans="1:26" ht="15">
      <c r="A45" s="3341" t="str">
        <f>IF(项目基本情况!E8="已注销及未注销","4.抵押担保权已注销时的抵押价格",IF(项目基本情况!E8="已注销","3.抵押担保权已注销时的抵押价格","——"))</f>
        <v>——</v>
      </c>
      <c r="B45" s="334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4" t="s">
        <v>374</v>
      </c>
      <c r="B63" s="3305"/>
      <c r="C63" s="3306"/>
      <c r="D63" s="341">
        <f ca="1">ROUND(C42*F63,0)</f>
        <v>21109</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3" t="s">
        <v>378</v>
      </c>
      <c r="B64" s="3344"/>
      <c r="C64" s="3344"/>
      <c r="D64" s="3344"/>
      <c r="E64" s="3344"/>
      <c r="F64" s="3344"/>
      <c r="G64" s="334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0" t="s">
        <v>386</v>
      </c>
      <c r="B66" s="3311"/>
      <c r="C66" s="3311"/>
      <c r="D66" s="261">
        <f ca="1">IF(H66="情况1",0,IF(H66="情况2",D70,IF(H66="情况3",D71,IF(H66="情况4",D72))))</f>
        <v>1126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80" t="s">
        <v>385</v>
      </c>
      <c r="M66" s="3281"/>
      <c r="N66" s="2460"/>
      <c r="O66" s="2461"/>
      <c r="P66" s="2462"/>
      <c r="Q66" s="2030"/>
      <c r="R66" s="2030"/>
      <c r="S66" s="2030"/>
      <c r="T66" s="2030"/>
      <c r="U66" s="2030"/>
      <c r="V66" s="2030"/>
    </row>
    <row r="67" spans="1:22" ht="25.5" customHeight="1">
      <c r="A67" s="352" t="s">
        <v>390</v>
      </c>
      <c r="B67" s="3323" t="s">
        <v>391</v>
      </c>
      <c r="C67" s="3323"/>
      <c r="D67" s="353">
        <v>0</v>
      </c>
      <c r="E67" s="41" t="s">
        <v>392</v>
      </c>
      <c r="F67" s="62" t="s">
        <v>21</v>
      </c>
      <c r="G67" s="3307"/>
      <c r="H67" s="311"/>
      <c r="I67" s="1292"/>
      <c r="J67" s="2037"/>
      <c r="K67" s="1978">
        <v>2</v>
      </c>
      <c r="L67" s="3279" t="s">
        <v>389</v>
      </c>
      <c r="M67" s="3279"/>
      <c r="N67" s="1325">
        <f>'数据-取费表'!B2</f>
        <v>43355</v>
      </c>
      <c r="O67" s="1325"/>
      <c r="P67" s="1325"/>
      <c r="Q67" s="2030"/>
      <c r="R67" s="2030"/>
      <c r="S67" s="2030"/>
      <c r="T67" s="2030"/>
      <c r="U67" s="2030"/>
      <c r="V67" s="2030"/>
    </row>
    <row r="68" spans="1:22" ht="25.5" customHeight="1">
      <c r="A68" s="354"/>
      <c r="B68" s="3323" t="s">
        <v>394</v>
      </c>
      <c r="C68" s="3323"/>
      <c r="D68" s="355"/>
      <c r="E68" s="77"/>
      <c r="F68" s="356"/>
      <c r="G68" s="3308"/>
      <c r="H68" s="311"/>
      <c r="I68" s="1292"/>
      <c r="J68" s="2037"/>
      <c r="K68" s="1978">
        <v>3</v>
      </c>
      <c r="L68" s="3279" t="s">
        <v>393</v>
      </c>
      <c r="M68" s="3279"/>
      <c r="N68" s="1293">
        <f ca="1">C42</f>
        <v>35181</v>
      </c>
      <c r="O68" s="1293"/>
      <c r="P68" s="1293"/>
      <c r="Q68" s="2030"/>
      <c r="R68" s="2030"/>
      <c r="S68" s="2030"/>
      <c r="T68" s="2030"/>
      <c r="U68" s="2030"/>
      <c r="V68" s="2030"/>
    </row>
    <row r="69" spans="1:22" ht="12" customHeight="1">
      <c r="A69" s="357"/>
      <c r="B69" s="3323" t="s">
        <v>395</v>
      </c>
      <c r="C69" s="3323"/>
      <c r="D69" s="358"/>
      <c r="E69" s="73"/>
      <c r="F69" s="356"/>
      <c r="G69" s="3309"/>
      <c r="H69" s="311"/>
      <c r="I69" s="1292"/>
      <c r="J69" s="2037"/>
      <c r="K69" s="1294">
        <v>4</v>
      </c>
      <c r="L69" s="3285" t="s">
        <v>2886</v>
      </c>
      <c r="M69" s="3286"/>
      <c r="N69" s="1295">
        <f ca="1">C44</f>
        <v>35181</v>
      </c>
      <c r="O69" s="1295"/>
      <c r="P69" s="1295"/>
      <c r="Q69" s="2030"/>
      <c r="R69" s="2030"/>
      <c r="S69" s="2030"/>
      <c r="T69" s="2030"/>
      <c r="U69" s="2030"/>
      <c r="V69" s="2030"/>
    </row>
    <row r="70" spans="1:22" ht="24" customHeight="1">
      <c r="A70" s="359" t="s">
        <v>396</v>
      </c>
      <c r="B70" s="3323" t="s">
        <v>397</v>
      </c>
      <c r="C70" s="3323"/>
      <c r="D70" s="358">
        <f ca="1">ROUND(D63*'数据-取费表'!B41/(1+'数据-取费表'!C42),0)</f>
        <v>1126</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22" t="s">
        <v>405</v>
      </c>
      <c r="C71" s="3334"/>
      <c r="D71" s="358">
        <f ca="1">ROUND(D63*'数据-取费表'!B41/(1+'数据-取费表'!C42),0)</f>
        <v>1126</v>
      </c>
      <c r="E71" s="17" t="s">
        <v>398</v>
      </c>
      <c r="F71" s="360">
        <f>'数据-取费表'!B41</f>
        <v>5.6000000000000001E-2</v>
      </c>
      <c r="G71" s="361"/>
      <c r="H71" s="311"/>
      <c r="I71" s="1292"/>
      <c r="J71" s="2037"/>
      <c r="K71" s="3062" t="s">
        <v>399</v>
      </c>
      <c r="L71" s="3287" t="s">
        <v>400</v>
      </c>
      <c r="M71" s="3287"/>
      <c r="N71" s="3062" t="s">
        <v>401</v>
      </c>
      <c r="O71" s="3062" t="s">
        <v>402</v>
      </c>
      <c r="P71" s="3062" t="s">
        <v>403</v>
      </c>
      <c r="Q71" s="2030"/>
      <c r="R71" s="2030"/>
      <c r="S71" s="2030"/>
      <c r="T71" s="2030"/>
      <c r="U71" s="2030"/>
      <c r="V71" s="2030"/>
    </row>
    <row r="72" spans="1:22" ht="12" customHeight="1">
      <c r="A72" s="359" t="s">
        <v>407</v>
      </c>
      <c r="B72" s="3322" t="s">
        <v>408</v>
      </c>
      <c r="C72" s="3334"/>
      <c r="D72" s="358">
        <f ca="1">C86</f>
        <v>1014</v>
      </c>
      <c r="E72" s="73" t="s">
        <v>409</v>
      </c>
      <c r="F72" s="360">
        <f>'数据-取费表'!B41</f>
        <v>5.6000000000000001E-2</v>
      </c>
      <c r="G72" s="361"/>
      <c r="H72" s="1298"/>
      <c r="I72" s="1292"/>
      <c r="J72" s="2037"/>
      <c r="K72" s="1978">
        <v>1</v>
      </c>
      <c r="L72" s="3284" t="s">
        <v>406</v>
      </c>
      <c r="M72" s="3284"/>
      <c r="N72" s="1296">
        <f ca="1">D66</f>
        <v>1126</v>
      </c>
      <c r="O72" s="1861" t="str">
        <f>E66</f>
        <v>销售额×税（费）率</v>
      </c>
      <c r="P72" s="1297">
        <f>F66</f>
        <v>5.6000000000000001E-2</v>
      </c>
      <c r="Q72" s="2030"/>
      <c r="R72" s="2030"/>
      <c r="S72" s="2030"/>
      <c r="T72" s="2030"/>
      <c r="U72" s="2030"/>
      <c r="V72" s="2030"/>
    </row>
    <row r="73" spans="1:22" ht="24" customHeight="1">
      <c r="A73" s="3310" t="s">
        <v>411</v>
      </c>
      <c r="B73" s="3311"/>
      <c r="C73" s="3311"/>
      <c r="D73" s="362">
        <f>IF(H73="个人住宅",0,ROUND(D63*I73,0))</f>
        <v>0</v>
      </c>
      <c r="E73" s="17" t="s">
        <v>412</v>
      </c>
      <c r="F73" s="360" t="str">
        <f>IF(H73="正常",I73,"免征")</f>
        <v>免征</v>
      </c>
      <c r="G73" s="361"/>
      <c r="H73" s="191" t="s">
        <v>2458</v>
      </c>
      <c r="I73" s="360">
        <f>'数据-取费表'!B49</f>
        <v>5.0000000000000001E-4</v>
      </c>
      <c r="J73" s="2037"/>
      <c r="K73" s="1978">
        <v>2</v>
      </c>
      <c r="L73" s="3284" t="s">
        <v>410</v>
      </c>
      <c r="M73" s="3284"/>
      <c r="N73" s="1296">
        <f t="shared" ref="N73:P74" si="1">D73</f>
        <v>0</v>
      </c>
      <c r="O73" s="1861" t="str">
        <f t="shared" si="1"/>
        <v>销售额×税（费）率</v>
      </c>
      <c r="P73" s="1297" t="str">
        <f t="shared" si="1"/>
        <v>免征</v>
      </c>
      <c r="Q73" s="2030"/>
      <c r="R73" s="2030"/>
      <c r="S73" s="2030"/>
      <c r="T73" s="2030"/>
      <c r="U73" s="2030"/>
      <c r="V73" s="2030"/>
    </row>
    <row r="74" spans="1:22" ht="24.75">
      <c r="A74" s="3310" t="s">
        <v>415</v>
      </c>
      <c r="B74" s="3311"/>
      <c r="C74" s="3311"/>
      <c r="D74" s="362">
        <f ca="1">IF(H74="个人住宅",D75,D76)</f>
        <v>11292</v>
      </c>
      <c r="E74" s="17" t="s">
        <v>416</v>
      </c>
      <c r="F74" s="360" t="str">
        <f>IF(H74="正常",F76,"免征")</f>
        <v>——</v>
      </c>
      <c r="G74" s="983" t="s">
        <v>417</v>
      </c>
      <c r="H74" s="363" t="s">
        <v>413</v>
      </c>
      <c r="I74" s="42"/>
      <c r="J74" s="2037"/>
      <c r="K74" s="1978">
        <v>3</v>
      </c>
      <c r="L74" s="3284" t="s">
        <v>414</v>
      </c>
      <c r="M74" s="3284"/>
      <c r="N74" s="1296">
        <f t="shared" ca="1" si="1"/>
        <v>11292</v>
      </c>
      <c r="O74" s="1861" t="str">
        <f t="shared" si="1"/>
        <v>增值额×税（费）率</v>
      </c>
      <c r="P74" s="1299" t="str">
        <f t="shared" si="1"/>
        <v>——</v>
      </c>
      <c r="Q74" s="2030"/>
      <c r="R74" s="2030"/>
      <c r="S74" s="2030"/>
      <c r="T74" s="2030"/>
      <c r="U74" s="2030"/>
      <c r="V74" s="2030"/>
    </row>
    <row r="75" spans="1:22" ht="24">
      <c r="A75" s="359" t="s">
        <v>418</v>
      </c>
      <c r="B75" s="3291" t="s">
        <v>419</v>
      </c>
      <c r="C75" s="3292"/>
      <c r="D75" s="364">
        <v>0</v>
      </c>
      <c r="E75" s="41" t="s">
        <v>420</v>
      </c>
      <c r="F75" s="365"/>
      <c r="G75" s="361"/>
      <c r="H75" s="42"/>
      <c r="I75" s="42"/>
      <c r="J75" s="2037"/>
      <c r="K75" s="3055">
        <f>IF(H77="非个人房产","",4)</f>
        <v>4</v>
      </c>
      <c r="L75" s="3284" t="str">
        <f>IF(H77="非个人房产","——","个人所得税")</f>
        <v>个人所得税</v>
      </c>
      <c r="M75" s="3284"/>
      <c r="N75" s="1300">
        <f ca="1">D77</f>
        <v>211</v>
      </c>
      <c r="O75" s="1874" t="str">
        <f>E77</f>
        <v>销售额×税（费）率</v>
      </c>
      <c r="P75" s="1301">
        <f>F77</f>
        <v>0.01</v>
      </c>
      <c r="Q75" s="2030"/>
      <c r="R75" s="2030"/>
      <c r="S75" s="2030"/>
      <c r="T75" s="2030"/>
      <c r="U75" s="2030"/>
      <c r="V75" s="2030"/>
    </row>
    <row r="76" spans="1:22" ht="24.75">
      <c r="A76" s="359" t="s">
        <v>396</v>
      </c>
      <c r="B76" s="3291" t="s">
        <v>422</v>
      </c>
      <c r="C76" s="3333"/>
      <c r="D76" s="362">
        <f ca="1">IF(H76="转让取得",C99,C115)</f>
        <v>11292</v>
      </c>
      <c r="E76" s="17" t="s">
        <v>423</v>
      </c>
      <c r="F76" s="53" t="s">
        <v>21</v>
      </c>
      <c r="G76" s="361"/>
      <c r="H76" s="363" t="s">
        <v>424</v>
      </c>
      <c r="I76" s="42"/>
      <c r="J76" s="2037"/>
      <c r="K76" s="3055"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30"/>
      <c r="R76" s="2030"/>
      <c r="S76" s="2030"/>
      <c r="T76" s="2030"/>
      <c r="U76" s="2030"/>
      <c r="V76" s="2030"/>
    </row>
    <row r="77" spans="1:22" ht="26.25" thickBot="1">
      <c r="A77" s="3302" t="s">
        <v>426</v>
      </c>
      <c r="B77" s="3303"/>
      <c r="C77" s="3303"/>
      <c r="D77" s="366">
        <f ca="1">IF(H77="非个人房产","——",IF(H77="个人住宅",0,ROUND(D63*I77,0)))</f>
        <v>211</v>
      </c>
      <c r="E77" s="367" t="str">
        <f>IF(H77="非个人房产","——","销售额×税（费）率")</f>
        <v>销售额×税（费）率</v>
      </c>
      <c r="F77" s="368">
        <f>IF(H77="非个人房产","——",IF(H77="个人住宅","免征",I77))</f>
        <v>0.01</v>
      </c>
      <c r="G77" s="984" t="s">
        <v>417</v>
      </c>
      <c r="H77" s="363" t="s">
        <v>2887</v>
      </c>
      <c r="I77" s="369">
        <v>0.01</v>
      </c>
      <c r="J77" s="2037"/>
      <c r="K77" s="3298">
        <f>IF(AND(K75="",K76=""),4,IF(项目基本情况!K6="上海银行",K76+1,K75+1))</f>
        <v>5</v>
      </c>
      <c r="L77" s="3284" t="s">
        <v>2888</v>
      </c>
      <c r="M77" s="3061" t="s">
        <v>421</v>
      </c>
      <c r="N77" s="1302"/>
      <c r="O77" s="1303">
        <f ca="1">SUMIF(N72:N76,"&lt;9e307")</f>
        <v>12629</v>
      </c>
      <c r="P77" s="1304"/>
      <c r="Q77" s="3059">
        <f ca="1">O77/N69</f>
        <v>0.35897217247946334</v>
      </c>
      <c r="R77" s="2030"/>
      <c r="S77" s="2030"/>
      <c r="T77" s="2030"/>
      <c r="U77" s="2030"/>
      <c r="V77" s="2030"/>
    </row>
    <row r="78" spans="1:22" ht="12" customHeight="1">
      <c r="A78" s="1305"/>
      <c r="B78" s="311"/>
      <c r="C78" s="311"/>
      <c r="D78" s="311"/>
      <c r="E78" s="42"/>
      <c r="F78" s="42"/>
      <c r="G78" s="42"/>
      <c r="H78" s="1003"/>
      <c r="I78" s="311"/>
      <c r="J78" s="2037"/>
      <c r="K78" s="3298"/>
      <c r="L78" s="3284"/>
      <c r="M78" s="3061" t="s">
        <v>425</v>
      </c>
      <c r="N78" s="1302"/>
      <c r="O78" s="1303" t="str">
        <f ca="1">NUMBERSTRING(INT(O77*10000),2)&amp;"元整"</f>
        <v>壹亿贰仟陆佰贰拾玖万元整</v>
      </c>
      <c r="P78" s="1304"/>
      <c r="Q78" s="2030"/>
      <c r="R78" s="2030"/>
      <c r="S78" s="2030"/>
      <c r="T78" s="2030"/>
      <c r="U78" s="2030"/>
      <c r="V78" s="2030"/>
    </row>
    <row r="79" spans="1:22" ht="13.5" thickBot="1">
      <c r="A79" s="3288" t="s">
        <v>427</v>
      </c>
      <c r="B79" s="3288"/>
      <c r="C79" s="3288"/>
      <c r="D79" s="3288"/>
      <c r="E79" s="3288"/>
      <c r="F79" s="42"/>
      <c r="G79" s="42"/>
      <c r="H79" s="1003"/>
      <c r="I79" s="311"/>
      <c r="J79" s="2037"/>
      <c r="K79" s="3282">
        <f>K77+1</f>
        <v>6</v>
      </c>
      <c r="L79" s="3284" t="s">
        <v>2889</v>
      </c>
      <c r="M79" s="3061" t="s">
        <v>421</v>
      </c>
      <c r="N79" s="1302"/>
      <c r="O79" s="1303">
        <f ca="1">N69-O77</f>
        <v>22552</v>
      </c>
      <c r="P79" s="1304"/>
      <c r="Q79" s="2030"/>
      <c r="R79" s="2030"/>
      <c r="S79" s="2030"/>
      <c r="T79" s="2030"/>
      <c r="U79" s="2030"/>
      <c r="V79" s="2030"/>
    </row>
    <row r="80" spans="1:22" ht="25.5">
      <c r="A80" s="3289" t="s">
        <v>428</v>
      </c>
      <c r="B80" s="3290"/>
      <c r="C80" s="994"/>
      <c r="D80" s="994" t="s">
        <v>429</v>
      </c>
      <c r="E80" s="370" t="s">
        <v>430</v>
      </c>
      <c r="F80" s="42"/>
      <c r="G80" s="42"/>
      <c r="H80" s="1003"/>
      <c r="I80" s="311"/>
      <c r="J80" s="2030"/>
      <c r="K80" s="3283"/>
      <c r="L80" s="3284"/>
      <c r="M80" s="3061" t="s">
        <v>425</v>
      </c>
      <c r="N80" s="1302"/>
      <c r="O80" s="1303" t="str">
        <f ca="1">NUMBERSTRING(INT(O79*10000),2)&amp;"元整"</f>
        <v>贰亿贰仟伍佰伍拾贰万元整</v>
      </c>
      <c r="P80" s="1304"/>
      <c r="Q80" s="2030"/>
      <c r="R80" s="2030"/>
      <c r="S80" s="2030"/>
      <c r="T80" s="2030"/>
      <c r="U80" s="2030"/>
      <c r="V80" s="2030"/>
    </row>
    <row r="81" spans="1:26" ht="13.5" thickBot="1">
      <c r="A81" s="381" t="s">
        <v>1824</v>
      </c>
      <c r="B81" s="371" t="s">
        <v>431</v>
      </c>
      <c r="C81" s="372">
        <f ca="1">ROUND((C82+C83)/(1+'数据-取费表'!C42),0)</f>
        <v>20104</v>
      </c>
      <c r="D81" s="373"/>
      <c r="E81" s="374"/>
      <c r="F81" s="42"/>
      <c r="G81" s="42"/>
      <c r="H81" s="1003"/>
      <c r="I81" s="311"/>
      <c r="J81" s="2030"/>
      <c r="K81" s="3055">
        <f>K79+1</f>
        <v>7</v>
      </c>
      <c r="L81" s="3296" t="s">
        <v>2890</v>
      </c>
      <c r="M81" s="3297"/>
      <c r="N81" s="1306"/>
      <c r="O81" s="1307">
        <f ca="1">ROUND(O79*10000/'数据-汇总表'!E3,0)</f>
        <v>2154</v>
      </c>
      <c r="P81" s="1308"/>
      <c r="Q81" s="2030"/>
      <c r="R81" s="2030"/>
      <c r="S81" s="2030"/>
      <c r="T81" s="2030"/>
      <c r="U81" s="2030"/>
      <c r="V81" s="2030"/>
    </row>
    <row r="82" spans="1:26" ht="13.5" thickTop="1">
      <c r="A82" s="375" t="s">
        <v>1825</v>
      </c>
      <c r="B82" s="376" t="s">
        <v>432</v>
      </c>
      <c r="C82" s="377">
        <f ca="1">D63</f>
        <v>21109</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71" t="s">
        <v>2877</v>
      </c>
      <c r="L83" s="3067" t="s">
        <v>2878</v>
      </c>
      <c r="M83" s="3057">
        <f ca="1">IF(N69&gt;10000,N69*0.5%,IF(AND(N69&gt;1000,N69&lt;=10000),N69*1%,IF(AND(N69&gt;100,N69&lt;=1000),N69*3%,IF(AND(N69&gt;10,N69&lt;=100),N69*5%,N69*8%))))</f>
        <v>175.905</v>
      </c>
      <c r="N83" s="53">
        <f ca="1">ROUND(M83,1)</f>
        <v>175.9</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271"/>
      <c r="L84" s="3067" t="s">
        <v>2879</v>
      </c>
      <c r="M84" s="3057">
        <f ca="1">IF(N69&gt;2000,N69*0.5%,IF(AND(N69&gt;1000,N69&lt;=2000),N69*0.6%,IF(AND(N69&gt;500,N69&lt;=1000),N69*0.7%,IF(AND(N69&gt;200,N69&lt;=500),N69*0.8%,IF(AND(N69&gt;100,N69&lt;=200),N69*0.9%,IF(AND(N69&gt;50,N69&lt;=100),N69*1%,IF(AND(N69&gt;20,N69&lt;=50),N69*1.5%,IF(AND(N69&gt;10,N69&lt;=20),N69*2%,IF(AND(N69&gt;1,N69&lt;=10),N69*2.5%)))))))))</f>
        <v>175.905</v>
      </c>
      <c r="N84" s="53">
        <f t="shared" ref="N84:N85" ca="1" si="2">ROUND(M84,1)</f>
        <v>175.9</v>
      </c>
      <c r="O84" s="2030" t="s">
        <v>2880</v>
      </c>
      <c r="P84" s="2030"/>
      <c r="Q84" s="2030"/>
      <c r="R84" s="2030"/>
      <c r="S84" s="2030"/>
      <c r="T84" s="2030"/>
      <c r="U84" s="2030"/>
      <c r="V84" s="2030"/>
    </row>
    <row r="85" spans="1:26" ht="12.75">
      <c r="A85" s="381" t="s">
        <v>1828</v>
      </c>
      <c r="B85" s="382" t="s">
        <v>435</v>
      </c>
      <c r="C85" s="385">
        <f ca="1">C81-C84</f>
        <v>18104</v>
      </c>
      <c r="D85" s="378" t="s">
        <v>19</v>
      </c>
      <c r="E85" s="379"/>
      <c r="F85" s="42"/>
      <c r="G85" s="42"/>
      <c r="H85" s="1003"/>
      <c r="I85" s="311"/>
      <c r="J85" s="2030"/>
      <c r="K85" s="3271"/>
      <c r="L85" s="3067" t="s">
        <v>2881</v>
      </c>
      <c r="M85" s="3057">
        <f ca="1">IF(N69&gt;1000,N69*0.1%,IF(AND(N69&gt;500,N69&lt;=1000),N69*0.5%,IF(AND(N69&gt;50,N69&lt;=500),N69*1%,IF(AND(N69&gt;1,N69&lt;=50),N69*1.5%))))</f>
        <v>35.180999999999997</v>
      </c>
      <c r="N85" s="53">
        <f t="shared" ca="1" si="2"/>
        <v>35.200000000000003</v>
      </c>
      <c r="O85" s="2030" t="s">
        <v>2880</v>
      </c>
      <c r="P85" s="2030"/>
      <c r="Q85" s="2030"/>
      <c r="R85" s="2030"/>
      <c r="S85" s="2030"/>
      <c r="T85" s="2030"/>
      <c r="U85" s="2030"/>
      <c r="V85" s="2030"/>
    </row>
    <row r="86" spans="1:26" ht="13.5" thickBot="1">
      <c r="A86" s="386" t="s">
        <v>1829</v>
      </c>
      <c r="B86" s="387" t="s">
        <v>436</v>
      </c>
      <c r="C86" s="388">
        <f ca="1">IF(C85&lt;=0,0,ROUND(C85*D86,0))</f>
        <v>1014</v>
      </c>
      <c r="D86" s="389">
        <f>'数据-取费表'!B41</f>
        <v>5.6000000000000001E-2</v>
      </c>
      <c r="E86" s="390"/>
      <c r="F86" s="42"/>
      <c r="G86" s="42"/>
      <c r="H86" s="1003"/>
      <c r="I86" s="311"/>
      <c r="J86" s="2030"/>
      <c r="K86" s="3271"/>
      <c r="L86" s="3067" t="s">
        <v>2882</v>
      </c>
      <c r="M86" s="3057">
        <f ca="1">N69*0.5%</f>
        <v>175.905</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1"/>
      <c r="L87" s="3067" t="s">
        <v>2884</v>
      </c>
      <c r="M87" s="3057">
        <f ca="1">IF(N69&gt;=10000,(8.25+(N69-10000)*0.01%),IF(AND(N69&gt;=8000,N69&lt;10000),(7.85+(N69-8000)*0.02%),IF(AND(N69&gt;=5000,N69&lt;8000),(6.65+(N69-5000)*0.04%),IF(AND(N69&gt;=2000,N69&lt;5000),(4.25+(PN69-2000)*0.08%),IF(AND(N69&gt;=1000,N69&lt;2000),(2.75+(N69-1000)*0.15%),IF(AND(N69&gt;=100,N69&lt;1000),(0.5+(N69-100)*0.25%),IF(AND(N69&gt;0,N69&lt;100),N69*0.5%)))))))</f>
        <v>10.7681</v>
      </c>
      <c r="N87" s="53">
        <f ca="1">ROUND(M87*0.9,1)</f>
        <v>9.6999999999999993</v>
      </c>
      <c r="O87" s="3060"/>
      <c r="P87" s="311"/>
      <c r="Q87" s="2030"/>
      <c r="R87" s="2030"/>
      <c r="S87" s="2030"/>
      <c r="T87" s="2030"/>
      <c r="U87" s="2030"/>
      <c r="V87" s="2030"/>
      <c r="W87" s="292"/>
      <c r="X87" s="292"/>
      <c r="Y87" s="292"/>
      <c r="Z87" s="292"/>
    </row>
    <row r="88" spans="1:26" s="1314" customFormat="1" ht="15" thickBot="1">
      <c r="A88" s="3325" t="s">
        <v>437</v>
      </c>
      <c r="B88" s="3326"/>
      <c r="C88" s="3326"/>
      <c r="D88" s="3326"/>
      <c r="E88" s="3326"/>
      <c r="F88" s="3326"/>
      <c r="G88" s="3326"/>
      <c r="H88" s="3326"/>
      <c r="I88" s="1315"/>
      <c r="J88" s="2038"/>
      <c r="K88" s="3271"/>
      <c r="L88" s="3067" t="s">
        <v>2885</v>
      </c>
      <c r="M88" s="3057">
        <f ca="1">IF(N69&gt;10000,N69*0.5%,IF(AND(N69&gt;5000,N69&lt;=10000),N69*1%,IF(AND(N69&gt;1000,N69&lt;=5000),N69*2%,IF(AND(N69&gt;200,N69&lt;=1000),N69*3%,N69*5%))))</f>
        <v>175.905</v>
      </c>
      <c r="N88" s="53">
        <f ca="1">ROUND(M88,1)</f>
        <v>175.9</v>
      </c>
      <c r="O88" s="3060"/>
      <c r="P88" s="11"/>
      <c r="Q88" s="2035"/>
      <c r="R88" s="2035"/>
      <c r="S88" s="2035"/>
      <c r="T88" s="2035"/>
      <c r="U88" s="2035"/>
      <c r="V88" s="2035"/>
      <c r="W88" s="2039"/>
      <c r="X88" s="2039"/>
      <c r="Y88" s="2039"/>
      <c r="Z88" s="2039"/>
    </row>
    <row r="89" spans="1:26" s="1314" customFormat="1" ht="14.25">
      <c r="A89" s="3289" t="s">
        <v>428</v>
      </c>
      <c r="B89" s="3290"/>
      <c r="C89" s="994"/>
      <c r="D89" s="994" t="s">
        <v>429</v>
      </c>
      <c r="E89" s="391" t="s">
        <v>438</v>
      </c>
      <c r="F89" s="392"/>
      <c r="G89" s="392"/>
      <c r="H89" s="393"/>
      <c r="I89" s="1316"/>
      <c r="J89" s="2040"/>
      <c r="K89" s="3271"/>
      <c r="L89" s="3067" t="s">
        <v>27</v>
      </c>
      <c r="M89" s="3058"/>
      <c r="N89" s="53">
        <f ca="1">ROUND(SUM(N83:N88),0)</f>
        <v>573</v>
      </c>
      <c r="O89" s="3068">
        <f ca="1">N89/N69</f>
        <v>1.6287200477530486E-2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20104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2682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2" t="s">
        <v>447</v>
      </c>
      <c r="F94" s="3323"/>
      <c r="G94" s="3323"/>
      <c r="H94" s="332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121</v>
      </c>
      <c r="D96" s="406">
        <f>'数据-取费表'!B43</f>
        <v>6.000000000000001E-3</v>
      </c>
      <c r="E96" s="3312" t="s">
        <v>2431</v>
      </c>
      <c r="F96" s="3313"/>
      <c r="G96" s="3313"/>
      <c r="H96" s="331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17422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6.4958985831469054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9515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5" t="s">
        <v>454</v>
      </c>
      <c r="B101" s="3326"/>
      <c r="C101" s="3326"/>
      <c r="D101" s="3326"/>
      <c r="E101" s="3326"/>
      <c r="F101" s="3326"/>
      <c r="G101" s="3326"/>
      <c r="H101" s="332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9" t="s">
        <v>428</v>
      </c>
      <c r="B102" s="3290"/>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20104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811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5" t="s">
        <v>462</v>
      </c>
      <c r="F109" s="3313"/>
      <c r="G109" s="331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5" t="s">
        <v>464</v>
      </c>
      <c r="F110" s="3313"/>
      <c r="G110" s="3313"/>
      <c r="H110" s="331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121</v>
      </c>
      <c r="D111" s="406">
        <f>'数据-取费表'!B43</f>
        <v>6.000000000000001E-3</v>
      </c>
      <c r="E111" s="3312" t="s">
        <v>2431</v>
      </c>
      <c r="F111" s="3313"/>
      <c r="G111" s="3313"/>
      <c r="H111" s="331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5" t="s">
        <v>2456</v>
      </c>
      <c r="F112" s="3313"/>
      <c r="G112" s="3313"/>
      <c r="H112" s="331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19293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23.789149198520345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11292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20935</v>
      </c>
      <c r="D13" s="451"/>
      <c r="E13" s="365"/>
      <c r="F13" s="452"/>
      <c r="G13" s="444"/>
      <c r="H13" s="447"/>
      <c r="I13" s="447"/>
      <c r="J13" s="447"/>
      <c r="K13" s="448"/>
    </row>
    <row r="14" spans="1:41" s="2118" customFormat="1" ht="13.5" customHeight="1">
      <c r="A14" s="1634" t="s">
        <v>1850</v>
      </c>
      <c r="B14" s="449" t="s">
        <v>480</v>
      </c>
      <c r="C14" s="53">
        <f ca="1">ROUND(C13*F14,0)</f>
        <v>628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628</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2093</v>
      </c>
      <c r="D16" s="451">
        <f ca="1">IF(B1="",'数据-汇总表'!E3,INDIRECT("'数据-取费表'!K"&amp;$K$1)+INDIRECT("'数据-取费表'!S"&amp;$K$1))</f>
        <v>104674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314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24598</v>
      </c>
      <c r="D18" s="461"/>
      <c r="E18" s="462"/>
      <c r="F18" s="462"/>
      <c r="G18" s="1327" t="s">
        <v>2435</v>
      </c>
      <c r="H18" s="447"/>
      <c r="I18" s="447"/>
      <c r="J18" s="447"/>
      <c r="K18" s="448"/>
    </row>
    <row r="19" spans="1:14" s="2121" customFormat="1" ht="13.5" customHeight="1">
      <c r="A19" s="1635" t="s">
        <v>1855</v>
      </c>
      <c r="B19" s="459" t="s">
        <v>493</v>
      </c>
      <c r="C19" s="460">
        <f ca="1">ROUND(C18*F19,0)</f>
        <v>369</v>
      </c>
      <c r="D19" s="462"/>
      <c r="E19" s="462"/>
      <c r="F19" s="466">
        <f>'数据-取费表'!B37</f>
        <v>1.4999999999999999E-2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884</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884</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3246</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3246</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31511</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M27" sqref="M2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33579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3208</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6416</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428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5"/>
      <c r="M6" s="2134"/>
      <c r="N6" s="2134"/>
      <c r="O6" s="2136"/>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1" t="s">
        <v>2933</v>
      </c>
      <c r="D7" s="3382"/>
      <c r="E7" s="3381" t="str">
        <f>Sheet1!A5</f>
        <v>双拥路西侧地块</v>
      </c>
      <c r="F7" s="3382"/>
      <c r="G7" s="3381" t="str">
        <f>Sheet1!E3</f>
        <v>东郊公园东侧B地块</v>
      </c>
      <c r="H7" s="3382"/>
      <c r="I7" s="3381" t="str">
        <f>Sheet1!E7</f>
        <v>东郊公园东侧A地块</v>
      </c>
      <c r="J7" s="3382"/>
      <c r="K7" s="514"/>
      <c r="L7" s="2135"/>
      <c r="M7" s="2134"/>
      <c r="N7" s="2134"/>
      <c r="O7" s="2136"/>
      <c r="P7" s="3374"/>
      <c r="Q7" s="3375"/>
      <c r="R7" s="3360"/>
      <c r="S7" s="3361"/>
      <c r="T7" s="3360"/>
      <c r="U7" s="3361"/>
      <c r="V7" s="3378"/>
      <c r="W7" s="3378"/>
      <c r="X7" s="1568"/>
      <c r="Y7" s="3360"/>
      <c r="Z7" s="3361"/>
      <c r="AA7" s="3354"/>
      <c r="AB7" s="3354"/>
      <c r="AC7" s="3354"/>
    </row>
    <row r="8" spans="1:30" ht="21" thickBot="1">
      <c r="A8" s="515"/>
      <c r="B8" s="516"/>
      <c r="C8" s="3383" t="s">
        <v>2937</v>
      </c>
      <c r="D8" s="3384"/>
      <c r="E8" s="3383" t="s">
        <v>2937</v>
      </c>
      <c r="F8" s="3384"/>
      <c r="G8" s="3379" t="s">
        <v>2937</v>
      </c>
      <c r="H8" s="3380"/>
      <c r="I8" s="3379" t="s">
        <v>2937</v>
      </c>
      <c r="J8" s="3380"/>
      <c r="K8" s="514" t="s">
        <v>528</v>
      </c>
      <c r="L8" s="2135"/>
      <c r="M8" s="2134"/>
      <c r="N8" s="2134"/>
      <c r="O8" s="2136"/>
      <c r="P8" s="3376"/>
      <c r="Q8" s="3377"/>
      <c r="R8" s="3360"/>
      <c r="S8" s="3361"/>
      <c r="T8" s="3362"/>
      <c r="U8" s="3363"/>
      <c r="V8" s="3378"/>
      <c r="W8" s="3378"/>
      <c r="X8" s="1568"/>
      <c r="Y8" s="3362"/>
      <c r="Z8" s="3363"/>
      <c r="AA8" s="3355"/>
      <c r="AB8" s="3355"/>
      <c r="AC8" s="3355"/>
    </row>
    <row r="9" spans="1:30" s="1220" customFormat="1" ht="21" thickBot="1">
      <c r="A9" s="2913"/>
      <c r="B9" s="2920" t="s">
        <v>529</v>
      </c>
      <c r="C9" s="2912">
        <f>'数据-取费表'!B2</f>
        <v>43355</v>
      </c>
      <c r="D9" s="520">
        <v>100</v>
      </c>
      <c r="E9" s="521" t="str">
        <f>Sheet1!J5</f>
        <v>2018-01-07</v>
      </c>
      <c r="F9" s="522">
        <f>SUMIF(72:72,YEAR(E9)&amp;"-"&amp;INT((MONTH(E9)+2)/3),73:73)</f>
        <v>98</v>
      </c>
      <c r="G9" s="523" t="str">
        <f>Sheet1!J3</f>
        <v>2018-01-07</v>
      </c>
      <c r="H9" s="520">
        <f>SUMIF(72:72,YEAR(G9)&amp;"-"&amp;INT((MONTH(G9)+2)/3),73:73)</f>
        <v>98</v>
      </c>
      <c r="I9" s="523" t="str">
        <f>Sheet1!J7</f>
        <v>2018-01-07</v>
      </c>
      <c r="J9" s="520">
        <f>SUMIF(72:72,YEAR(I9)&amp;"-"&amp;INT((MONTH(I9)+2)/3),73:73)</f>
        <v>98</v>
      </c>
      <c r="K9" s="524"/>
      <c r="L9" s="2137"/>
      <c r="M9" s="2134"/>
      <c r="N9" s="2134"/>
      <c r="O9" s="2138"/>
      <c r="P9" s="3356" t="s">
        <v>530</v>
      </c>
      <c r="Q9" s="3365"/>
      <c r="R9" s="1569" t="s">
        <v>8</v>
      </c>
      <c r="S9" s="1570">
        <f t="shared" ref="S9:S17" si="0">F9</f>
        <v>98</v>
      </c>
      <c r="T9" s="1569" t="s">
        <v>8</v>
      </c>
      <c r="U9" s="1570">
        <f t="shared" ref="U9:U17" si="1">H9</f>
        <v>98</v>
      </c>
      <c r="V9" s="1569" t="s">
        <v>8</v>
      </c>
      <c r="W9" s="1570">
        <f t="shared" ref="W9:W17" si="2">J9</f>
        <v>98</v>
      </c>
      <c r="X9" s="1571"/>
      <c r="Y9" s="3356" t="s">
        <v>530</v>
      </c>
      <c r="Z9" s="3357"/>
      <c r="AA9" s="1572">
        <f>D9/F9</f>
        <v>1.0204081632653061</v>
      </c>
      <c r="AB9" s="1572">
        <f>D9/H9</f>
        <v>1.0204081632653061</v>
      </c>
      <c r="AC9" s="1572">
        <f>D9/J9</f>
        <v>1.0204081632653061</v>
      </c>
    </row>
    <row r="10" spans="1:30" s="1220" customFormat="1" ht="21" thickBot="1">
      <c r="A10" s="2914"/>
      <c r="B10" s="2921" t="s">
        <v>531</v>
      </c>
      <c r="C10" s="856" t="s">
        <v>532</v>
      </c>
      <c r="D10" s="520">
        <v>100</v>
      </c>
      <c r="E10" s="525" t="s">
        <v>3068</v>
      </c>
      <c r="F10" s="522">
        <f>SUMIF(75:75,E10,76:76)-SUMIF(75:75,C10,76:76)+100</f>
        <v>100</v>
      </c>
      <c r="G10" s="525" t="s">
        <v>3068</v>
      </c>
      <c r="H10" s="520">
        <f>SUMIF(75:75,G10,76:76)-SUMIF(75:75,C10,76:76)+100</f>
        <v>100</v>
      </c>
      <c r="I10" s="525" t="s">
        <v>3068</v>
      </c>
      <c r="J10" s="520">
        <f>SUMIF(75:75,I10,76:76)-SUMIF(75:75,C10,76:76)+100</f>
        <v>100</v>
      </c>
      <c r="K10" s="524"/>
      <c r="L10" s="2137"/>
      <c r="M10" s="2134"/>
      <c r="N10" s="2134"/>
      <c r="O10" s="2138"/>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7" si="3">D10/F10</f>
        <v>1</v>
      </c>
      <c r="AB10" s="1572">
        <f t="shared" ref="AB10:AB47" si="4">D10/H10</f>
        <v>1</v>
      </c>
      <c r="AC10" s="1572">
        <f t="shared" ref="AC10:AC47" si="5">D10/J10</f>
        <v>1</v>
      </c>
    </row>
    <row r="11" spans="1:30" s="1220" customFormat="1" ht="20.25">
      <c r="A11" s="2915"/>
      <c r="B11" s="2922" t="s">
        <v>2759</v>
      </c>
      <c r="C11" s="3180"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7"/>
      <c r="M11" s="2134"/>
      <c r="N11" s="2134"/>
      <c r="O11" s="2139"/>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916"/>
      <c r="B12" s="2921" t="s">
        <v>2760</v>
      </c>
      <c r="C12" s="910"/>
      <c r="D12" s="255">
        <v>100</v>
      </c>
      <c r="E12" s="529"/>
      <c r="F12" s="255">
        <f>ROUND(100/'数据-取费表'!G16,0)</f>
        <v>102</v>
      </c>
      <c r="G12" s="530"/>
      <c r="H12" s="255">
        <f>ROUND(100/'数据-取费表'!G16,0)</f>
        <v>102</v>
      </c>
      <c r="I12" s="530"/>
      <c r="J12" s="255">
        <f>ROUND(100/'数据-取费表'!G16,0)</f>
        <v>102</v>
      </c>
      <c r="K12" s="531"/>
      <c r="L12" s="2140"/>
      <c r="M12" s="2134"/>
      <c r="N12" s="2134"/>
      <c r="O12" s="2141"/>
      <c r="P12" s="3364"/>
      <c r="Q12" s="1151" t="str">
        <f t="shared" si="6"/>
        <v>土地使用年限（年）</v>
      </c>
      <c r="R12" s="1569" t="s">
        <v>8</v>
      </c>
      <c r="S12" s="1570">
        <f t="shared" si="0"/>
        <v>102</v>
      </c>
      <c r="T12" s="1569" t="s">
        <v>8</v>
      </c>
      <c r="U12" s="1570">
        <f t="shared" si="1"/>
        <v>102</v>
      </c>
      <c r="V12" s="1569" t="s">
        <v>8</v>
      </c>
      <c r="W12" s="1570">
        <f t="shared" si="2"/>
        <v>102</v>
      </c>
      <c r="X12" s="1571"/>
      <c r="Y12" s="3321"/>
      <c r="Z12" s="1150" t="str">
        <f t="shared" si="7"/>
        <v>土地使用年限（年）</v>
      </c>
      <c r="AA12" s="1572">
        <f t="shared" si="3"/>
        <v>0.98039215686274506</v>
      </c>
      <c r="AB12" s="1572">
        <f t="shared" si="4"/>
        <v>0.98039215686274506</v>
      </c>
      <c r="AC12" s="1572">
        <f t="shared" si="5"/>
        <v>0.98039215686274506</v>
      </c>
    </row>
    <row r="13" spans="1:30" ht="20.25">
      <c r="A13" s="2917"/>
      <c r="B13" s="2921" t="s">
        <v>2761</v>
      </c>
      <c r="C13" s="534">
        <v>2</v>
      </c>
      <c r="D13" s="255">
        <v>100</v>
      </c>
      <c r="E13" s="533">
        <v>2.2999999999999998</v>
      </c>
      <c r="F13" s="255">
        <f>LOOKUP(E13,82:82,83:83)-LOOKUP(C13,82:82,83:83)+100</f>
        <v>97</v>
      </c>
      <c r="G13" s="534">
        <v>1.8</v>
      </c>
      <c r="H13" s="255">
        <f>LOOKUP(G13,82:82,83:83)-LOOKUP(C13,82:82,83:83)+100</f>
        <v>102</v>
      </c>
      <c r="I13" s="533">
        <v>1.4</v>
      </c>
      <c r="J13" s="255">
        <f>LOOKUP(I13,82:82,83:83)-LOOKUP(C13,82:82,83:83)+100</f>
        <v>106</v>
      </c>
      <c r="K13" s="535">
        <v>1</v>
      </c>
      <c r="L13" s="2142"/>
      <c r="M13" s="2134"/>
      <c r="N13" s="2134"/>
      <c r="O13" s="2143"/>
      <c r="P13" s="3364"/>
      <c r="Q13" s="1151" t="str">
        <f t="shared" si="6"/>
        <v>容积率</v>
      </c>
      <c r="R13" s="1569" t="s">
        <v>8</v>
      </c>
      <c r="S13" s="1570">
        <f t="shared" si="0"/>
        <v>97</v>
      </c>
      <c r="T13" s="1569" t="s">
        <v>8</v>
      </c>
      <c r="U13" s="1570">
        <f t="shared" si="1"/>
        <v>102</v>
      </c>
      <c r="V13" s="1569" t="s">
        <v>8</v>
      </c>
      <c r="W13" s="1570">
        <f t="shared" si="2"/>
        <v>106</v>
      </c>
      <c r="X13" s="1571"/>
      <c r="Y13" s="3321"/>
      <c r="Z13" s="1150" t="str">
        <f t="shared" si="7"/>
        <v>容积率</v>
      </c>
      <c r="AA13" s="1572">
        <f t="shared" si="3"/>
        <v>1.0309278350515463</v>
      </c>
      <c r="AB13" s="1572">
        <f t="shared" si="4"/>
        <v>0.98039215686274506</v>
      </c>
      <c r="AC13" s="1572">
        <f t="shared" si="5"/>
        <v>0.94339622641509435</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100</v>
      </c>
      <c r="I17" s="552"/>
      <c r="J17" s="549">
        <f>SUMIF(90:90,I18,91:91)-SUMIF(90:90,C18,91:91)+100</f>
        <v>100</v>
      </c>
      <c r="K17" s="535">
        <v>2</v>
      </c>
      <c r="L17" s="2144"/>
      <c r="M17" s="2134"/>
      <c r="N17" s="2134"/>
      <c r="O17" s="2143"/>
      <c r="P17" s="3366" t="s">
        <v>540</v>
      </c>
      <c r="Q17" s="1573" t="str">
        <f t="shared" si="6"/>
        <v>居住社区成熟度</v>
      </c>
      <c r="R17" s="1574" t="s">
        <v>8</v>
      </c>
      <c r="S17" s="1575">
        <f t="shared" si="0"/>
        <v>102</v>
      </c>
      <c r="T17" s="1574" t="s">
        <v>8</v>
      </c>
      <c r="U17" s="1575">
        <f t="shared" si="1"/>
        <v>100</v>
      </c>
      <c r="V17" s="1574" t="s">
        <v>8</v>
      </c>
      <c r="W17" s="1575">
        <f t="shared" si="2"/>
        <v>100</v>
      </c>
      <c r="X17" s="1568"/>
      <c r="Y17" s="3366" t="s">
        <v>540</v>
      </c>
      <c r="Z17" s="1576" t="str">
        <f t="shared" si="7"/>
        <v>居住社区成熟度</v>
      </c>
      <c r="AA17" s="1577">
        <f t="shared" si="3"/>
        <v>0.98039215686274506</v>
      </c>
      <c r="AB17" s="1577">
        <f t="shared" si="4"/>
        <v>1</v>
      </c>
      <c r="AC17" s="1577">
        <f t="shared" si="5"/>
        <v>1</v>
      </c>
    </row>
    <row r="18" spans="1:29" ht="20.25">
      <c r="A18" s="532"/>
      <c r="B18" s="553"/>
      <c r="C18" s="554" t="s">
        <v>3073</v>
      </c>
      <c r="D18" s="557"/>
      <c r="E18" s="558" t="s">
        <v>3069</v>
      </c>
      <c r="F18" s="555"/>
      <c r="G18" s="556" t="s">
        <v>3073</v>
      </c>
      <c r="H18" s="559"/>
      <c r="I18" s="558" t="s">
        <v>3073</v>
      </c>
      <c r="J18" s="555"/>
      <c r="K18" s="531"/>
      <c r="L18" s="2144"/>
      <c r="M18" s="2134"/>
      <c r="N18" s="2134"/>
      <c r="O18" s="2143"/>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44"/>
      <c r="M27" s="2134"/>
      <c r="N27" s="2134"/>
      <c r="O27" s="2143"/>
      <c r="P27" s="3367"/>
      <c r="Q27" s="1573" t="str">
        <f t="shared" si="8"/>
        <v>自然及人文环境状况</v>
      </c>
      <c r="R27" s="1574" t="s">
        <v>8</v>
      </c>
      <c r="S27" s="1575">
        <f>F27</f>
        <v>100</v>
      </c>
      <c r="T27" s="1574" t="s">
        <v>8</v>
      </c>
      <c r="U27" s="1575">
        <f>H27</f>
        <v>102</v>
      </c>
      <c r="V27" s="1574" t="s">
        <v>8</v>
      </c>
      <c r="W27" s="1575">
        <f>J27</f>
        <v>102</v>
      </c>
      <c r="X27" s="1568"/>
      <c r="Y27" s="3367"/>
      <c r="Z27" s="1576" t="str">
        <f>Q27</f>
        <v>自然及人文环境状况</v>
      </c>
      <c r="AA27" s="1577">
        <f t="shared" si="3"/>
        <v>1</v>
      </c>
      <c r="AB27" s="1577">
        <f t="shared" si="4"/>
        <v>0.98039215686274506</v>
      </c>
      <c r="AC27" s="1577">
        <f t="shared" si="5"/>
        <v>0.98039215686274506</v>
      </c>
    </row>
    <row r="28" spans="1:29" ht="20.25">
      <c r="A28" s="515"/>
      <c r="B28" s="566"/>
      <c r="C28" s="554" t="s">
        <v>3073</v>
      </c>
      <c r="D28" s="557"/>
      <c r="E28" s="576" t="s">
        <v>3073</v>
      </c>
      <c r="F28" s="555"/>
      <c r="G28" s="554" t="s">
        <v>3069</v>
      </c>
      <c r="H28" s="555"/>
      <c r="I28" s="576" t="s">
        <v>3069</v>
      </c>
      <c r="J28" s="555"/>
      <c r="K28" s="531"/>
      <c r="L28" s="2144"/>
      <c r="M28" s="2134"/>
      <c r="N28" s="2134"/>
      <c r="O28" s="2143"/>
      <c r="P28" s="3367"/>
      <c r="Q28" s="1573"/>
      <c r="R28" s="1574"/>
      <c r="S28" s="1575"/>
      <c r="T28" s="1574"/>
      <c r="U28" s="1575"/>
      <c r="V28" s="1574"/>
      <c r="W28" s="1575"/>
      <c r="X28" s="1568"/>
      <c r="Y28" s="3367"/>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67"/>
      <c r="Q30" s="1151"/>
      <c r="R30" s="1569"/>
      <c r="S30" s="1570"/>
      <c r="T30" s="1569"/>
      <c r="U30" s="1570"/>
      <c r="V30" s="1569"/>
      <c r="W30" s="1570"/>
      <c r="X30" s="1571"/>
      <c r="Y30" s="3367"/>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67"/>
      <c r="Q31" s="2580" t="str">
        <f t="shared" ref="Q31" si="9">B31</f>
        <v>基础设施水平</v>
      </c>
      <c r="R31" s="1569" t="s">
        <v>8</v>
      </c>
      <c r="S31" s="1570">
        <f>F31</f>
        <v>100</v>
      </c>
      <c r="T31" s="1569" t="s">
        <v>8</v>
      </c>
      <c r="U31" s="1570">
        <f>H31</f>
        <v>100</v>
      </c>
      <c r="V31" s="1569" t="s">
        <v>8</v>
      </c>
      <c r="W31" s="1570">
        <f>J31</f>
        <v>100</v>
      </c>
      <c r="X31" s="1571"/>
      <c r="Y31" s="3367"/>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67"/>
      <c r="Q32" s="2580"/>
      <c r="R32" s="1569"/>
      <c r="S32" s="1570"/>
      <c r="T32" s="1569"/>
      <c r="U32" s="1570"/>
      <c r="V32" s="1569"/>
      <c r="W32" s="1570"/>
      <c r="X32" s="1571"/>
      <c r="Y32" s="3367"/>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909" t="s">
        <v>2758</v>
      </c>
      <c r="B40" s="595" t="s">
        <v>552</v>
      </c>
      <c r="C40" s="596">
        <f>'数据-基础表'!A3</f>
        <v>52337</v>
      </c>
      <c r="D40" s="597">
        <v>100</v>
      </c>
      <c r="E40" s="596">
        <f>Sheet1!G5</f>
        <v>72028</v>
      </c>
      <c r="F40" s="597">
        <f>LOOKUP(E40,119:119,120:120)-LOOKUP(C40,119:119,120:120)+100</f>
        <v>100</v>
      </c>
      <c r="G40" s="596">
        <f>Sheet1!G3</f>
        <v>85558</v>
      </c>
      <c r="H40" s="597">
        <f>LOOKUP(G40,119:119,120:120)-LOOKUP(C40,119:119,120:120)+100</f>
        <v>100</v>
      </c>
      <c r="I40" s="598">
        <f>Sheet1!G7</f>
        <v>67668</v>
      </c>
      <c r="J40" s="597">
        <f>LOOKUP(I40,119:119,120:120)-LOOKUP(C40,119:119,120:120)+100</f>
        <v>100</v>
      </c>
      <c r="K40" s="581"/>
      <c r="L40" s="2144"/>
      <c r="M40" s="2134"/>
      <c r="N40" s="2134"/>
      <c r="O40" s="2143"/>
      <c r="P40" s="3369"/>
      <c r="Q40" s="1573" t="str">
        <f>B40</f>
        <v>宗地面积</v>
      </c>
      <c r="R40" s="1574" t="s">
        <v>8</v>
      </c>
      <c r="S40" s="1575">
        <f t="shared" si="10"/>
        <v>100</v>
      </c>
      <c r="T40" s="1574" t="s">
        <v>8</v>
      </c>
      <c r="U40" s="1575">
        <f t="shared" si="11"/>
        <v>100</v>
      </c>
      <c r="V40" s="1574" t="s">
        <v>8</v>
      </c>
      <c r="W40" s="1575">
        <f t="shared" si="12"/>
        <v>100</v>
      </c>
      <c r="X40" s="1568"/>
      <c r="Y40" s="3369"/>
      <c r="Z40" s="1576" t="str">
        <f t="shared" si="13"/>
        <v>宗地面积</v>
      </c>
      <c r="AA40" s="1577">
        <f t="shared" si="3"/>
        <v>1</v>
      </c>
      <c r="AB40" s="1577">
        <f t="shared" si="4"/>
        <v>1</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3070</v>
      </c>
      <c r="C48" s="609" t="s">
        <v>1</v>
      </c>
      <c r="D48" s="610"/>
      <c r="E48" s="611">
        <f>Sheet1!M8</f>
        <v>3125.53</v>
      </c>
      <c r="F48" s="612"/>
      <c r="G48" s="613">
        <f>Sheet1!M3</f>
        <v>3238.21</v>
      </c>
      <c r="H48" s="614"/>
      <c r="I48" s="611">
        <f>Sheet1!M7</f>
        <v>3621.67</v>
      </c>
      <c r="J48" s="614"/>
      <c r="K48" s="1340"/>
      <c r="L48" s="2146"/>
      <c r="M48" s="2134"/>
      <c r="N48" s="2134"/>
      <c r="O48" s="2147"/>
      <c r="P48" s="3364" t="str">
        <f>A48</f>
        <v>成交单价</v>
      </c>
      <c r="Q48" s="3364"/>
      <c r="R48" s="3378">
        <f>E48</f>
        <v>3125.53</v>
      </c>
      <c r="S48" s="3378"/>
      <c r="T48" s="3378">
        <f>G48</f>
        <v>3238.21</v>
      </c>
      <c r="U48" s="3378"/>
      <c r="V48" s="3378">
        <f>I48</f>
        <v>3621.67</v>
      </c>
      <c r="W48" s="3378"/>
      <c r="X48" s="1560"/>
      <c r="Y48" s="1582"/>
      <c r="Z48" s="1560"/>
      <c r="AA48" s="1560"/>
      <c r="AB48" s="1560"/>
      <c r="AC48" s="1560"/>
    </row>
    <row r="49" spans="1:29" ht="21" thickBot="1">
      <c r="A49" s="615" t="s">
        <v>2696</v>
      </c>
      <c r="B49" s="616"/>
      <c r="C49" s="617">
        <f>R50</f>
        <v>3208</v>
      </c>
      <c r="D49" s="618"/>
      <c r="E49" s="617">
        <f>R49</f>
        <v>3160</v>
      </c>
      <c r="F49" s="619"/>
      <c r="G49" s="620">
        <f>T49</f>
        <v>3114</v>
      </c>
      <c r="H49" s="618"/>
      <c r="I49" s="617">
        <f>V49</f>
        <v>3351</v>
      </c>
      <c r="J49" s="618"/>
      <c r="K49" s="1341"/>
      <c r="L49" s="2146"/>
      <c r="M49" s="2134"/>
      <c r="N49" s="2134"/>
      <c r="O49" s="2147"/>
      <c r="P49" s="3364" t="str">
        <f>A49</f>
        <v>比较价格（元/平方米）</v>
      </c>
      <c r="Q49" s="3364"/>
      <c r="R49" s="3388">
        <f>ROUND(PRODUCT(R48,AA9:AA47),0)</f>
        <v>3160</v>
      </c>
      <c r="S49" s="3388"/>
      <c r="T49" s="3388">
        <f>ROUND(PRODUCT(T48,AB9:AB47),0)</f>
        <v>3114</v>
      </c>
      <c r="U49" s="3388"/>
      <c r="V49" s="3388">
        <f>ROUND(PRODUCT(V48,AC9:AC47),0)</f>
        <v>3351</v>
      </c>
      <c r="W49" s="3388"/>
      <c r="X49" s="1560"/>
      <c r="Y49" s="1560"/>
      <c r="Z49" s="1560"/>
      <c r="AA49" s="1560"/>
      <c r="AB49" s="1560"/>
      <c r="AC49" s="1560"/>
    </row>
    <row r="50" spans="1:29" ht="21" thickBot="1">
      <c r="A50" s="621" t="s">
        <v>2939</v>
      </c>
      <c r="B50" s="622"/>
      <c r="C50" s="623">
        <f>R50</f>
        <v>3208</v>
      </c>
      <c r="D50" s="623"/>
      <c r="E50" s="623"/>
      <c r="F50" s="623"/>
      <c r="G50" s="623"/>
      <c r="H50" s="623"/>
      <c r="I50" s="623"/>
      <c r="J50" s="623"/>
      <c r="K50" s="1342"/>
      <c r="L50" s="2146"/>
      <c r="M50" s="2134"/>
      <c r="N50" s="2134"/>
      <c r="O50" s="2147"/>
      <c r="P50" s="3385" t="str">
        <f>A50</f>
        <v>估价对象XX用房的比较价格（楼面单价，元/平方米）</v>
      </c>
      <c r="Q50" s="3386"/>
      <c r="R50" s="3387">
        <f>ROUND(AVERAGE(R49:V49),0)</f>
        <v>3208</v>
      </c>
      <c r="S50" s="3387"/>
      <c r="T50" s="3387"/>
      <c r="U50" s="3387"/>
      <c r="V50" s="3387"/>
      <c r="W50" s="338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1.1028529561386335E-2</v>
      </c>
      <c r="F53" s="627" t="str">
        <f>IF(OR(E53&gt;=0.3,E53&lt;=-0.3),"超过30%","")</f>
        <v/>
      </c>
      <c r="G53" s="626">
        <f>IF(G48&lt;G49,G49/G48-1,G48/G49-1)</f>
        <v>3.9887604367373264E-2</v>
      </c>
      <c r="H53" s="627" t="str">
        <f>IF(OR(G53&gt;=0.3,G53&lt;=-0.3),"超过30%","")</f>
        <v/>
      </c>
      <c r="I53" s="626">
        <f>IF(I48&lt;I49,I49/I48-1,I48/I49-1)</f>
        <v>8.0772903610862423E-2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1.4771997430957029E-2</v>
      </c>
      <c r="F54" s="627" t="str">
        <f>IF(OR(E54&gt;=0.2,E54&lt;=-0.2),"超过20%","")</f>
        <v/>
      </c>
      <c r="G54" s="626">
        <f>IF(G49&lt;I49,I49/G49-1,G49/I49-1)</f>
        <v>7.6107899807321688E-2</v>
      </c>
      <c r="H54" s="627" t="str">
        <f>IF(OR(G54&gt;=0.2,G54&lt;=-0.2),"超过20%","")</f>
        <v/>
      </c>
      <c r="I54" s="626">
        <f>IF(I49&lt;E49,E49/I49-1,I49/E49-1)</f>
        <v>6.0443037974683644E-2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3.6051485668030736E-2</v>
      </c>
      <c r="F55" s="627" t="str">
        <f>IF(OR(E55&gt;=0.3,E55&lt;=-0.3),"超过30%","")</f>
        <v/>
      </c>
      <c r="G55" s="626">
        <f>IF(G48&lt;I48,I48/G48-1,G48/I48-1)</f>
        <v>0.1184172737407394</v>
      </c>
      <c r="H55" s="627" t="str">
        <f>IF(OR(G55&gt;=0.3,G55&lt;=-0.3),"超过30%","")</f>
        <v/>
      </c>
      <c r="I55" s="626">
        <f>IF(I48&lt;E48,E48/I48-1,I48/E48-1)</f>
        <v>0.15873787805588169</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48" t="s">
        <v>2284</v>
      </c>
      <c r="H57" s="3349"/>
      <c r="I57" s="1556" t="s">
        <v>1723</v>
      </c>
      <c r="J57" s="1556" t="str">
        <f>项目基本情况!F41</f>
        <v>江苏省盐城市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3208</v>
      </c>
      <c r="C58" s="635">
        <v>1</v>
      </c>
      <c r="D58" s="2230">
        <v>1</v>
      </c>
      <c r="E58" s="635">
        <f>'数据-汇总表'!E8+'数据-汇总表'!E9</f>
        <v>104674</v>
      </c>
      <c r="F58" s="636">
        <f t="shared" ref="F58:F67" si="15">ROUND(B58*E58/10000,0)</f>
        <v>33579</v>
      </c>
      <c r="G58" s="3350"/>
      <c r="H58" s="335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52"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5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5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5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104674</v>
      </c>
      <c r="F68" s="644">
        <f>IF(B48="楼面地价",SUM(F58:F67),ROUND(C50*E68/10000,0))</f>
        <v>33579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北京市平均增长率2.23%</v>
      </c>
      <c r="C73" s="894">
        <v>100</v>
      </c>
      <c r="D73" s="730">
        <v>99</v>
      </c>
      <c r="E73" s="730">
        <v>98</v>
      </c>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3067</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1.4（含）-1.5</v>
      </c>
      <c r="D81" s="682" t="str">
        <f t="shared" ref="D81:L81" si="20">D82&amp;"（含）"&amp;"-"&amp;E82</f>
        <v>1.5（含）-1.6</v>
      </c>
      <c r="E81" s="682" t="str">
        <f t="shared" si="20"/>
        <v>1.6（含）-1.7</v>
      </c>
      <c r="F81" s="682" t="str">
        <f t="shared" si="20"/>
        <v>1.7（含）-1.8</v>
      </c>
      <c r="G81" s="682" t="str">
        <f t="shared" si="20"/>
        <v>1.8（含）-1.9</v>
      </c>
      <c r="H81" s="682" t="str">
        <f t="shared" si="20"/>
        <v>1.9（含）-2</v>
      </c>
      <c r="I81" s="682" t="str">
        <f t="shared" si="20"/>
        <v>2（含）-2.1</v>
      </c>
      <c r="J81" s="682" t="str">
        <f t="shared" si="20"/>
        <v>2.1（含）-2.2</v>
      </c>
      <c r="K81" s="682" t="str">
        <f t="shared" si="20"/>
        <v>2.2（含）-2.3</v>
      </c>
      <c r="L81" s="682" t="str">
        <f t="shared" si="20"/>
        <v>2.3（含）-2.4</v>
      </c>
      <c r="M81" s="555" t="str">
        <f>M82&amp;"（含）"&amp;"-"&amp;P82</f>
        <v>2.4（含）-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1.4</v>
      </c>
      <c r="D82" s="541">
        <v>1.5</v>
      </c>
      <c r="E82" s="541">
        <v>1.6</v>
      </c>
      <c r="F82" s="541">
        <v>1.7</v>
      </c>
      <c r="G82" s="541">
        <v>1.8</v>
      </c>
      <c r="H82" s="541">
        <v>1.9</v>
      </c>
      <c r="I82" s="541">
        <v>2</v>
      </c>
      <c r="J82" s="541">
        <v>2.1</v>
      </c>
      <c r="K82" s="541">
        <v>2.2000000000000002</v>
      </c>
      <c r="L82" s="541">
        <v>2.2999999999999998</v>
      </c>
      <c r="M82" s="541">
        <v>2.4</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00">
        <v>104</v>
      </c>
      <c r="H120" s="726">
        <v>105</v>
      </c>
      <c r="I120" s="700">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江苏省盐城市大丰市常新璐西侧，疏港路北侧出让国有建设用地使用权抵押价格预评估</v>
      </c>
      <c r="C37" s="3183"/>
      <c r="D37" s="3183"/>
      <c r="E37" s="3183"/>
      <c r="F37" s="3183"/>
      <c r="G37" s="3183"/>
      <c r="H37" s="3183"/>
      <c r="I37" s="3183"/>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0" t="s">
        <v>522</v>
      </c>
      <c r="D6" s="3371"/>
      <c r="E6" s="3394" t="s">
        <v>523</v>
      </c>
      <c r="F6" s="3395"/>
      <c r="G6" s="3370" t="s">
        <v>524</v>
      </c>
      <c r="H6" s="3371"/>
      <c r="I6" s="3370" t="s">
        <v>525</v>
      </c>
      <c r="J6" s="3371"/>
      <c r="K6" s="514" t="s">
        <v>526</v>
      </c>
      <c r="L6" s="2135"/>
      <c r="M6" s="2136"/>
      <c r="N6" s="2136"/>
      <c r="O6" s="2136"/>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1" t="s">
        <v>2933</v>
      </c>
      <c r="D7" s="3382"/>
      <c r="E7" s="3396" t="s">
        <v>2934</v>
      </c>
      <c r="F7" s="3397"/>
      <c r="G7" s="3381" t="s">
        <v>2935</v>
      </c>
      <c r="H7" s="3382"/>
      <c r="I7" s="3381" t="s">
        <v>2936</v>
      </c>
      <c r="J7" s="3382"/>
      <c r="K7" s="514"/>
      <c r="L7" s="2135"/>
      <c r="M7" s="2136"/>
      <c r="N7" s="2136"/>
      <c r="O7" s="2136"/>
      <c r="P7" s="3374"/>
      <c r="Q7" s="3375"/>
      <c r="R7" s="3360"/>
      <c r="S7" s="3361"/>
      <c r="T7" s="3360"/>
      <c r="U7" s="3361"/>
      <c r="V7" s="3378"/>
      <c r="W7" s="3378"/>
      <c r="X7" s="1568"/>
      <c r="Y7" s="3360"/>
      <c r="Z7" s="3361"/>
      <c r="AA7" s="3354"/>
      <c r="AB7" s="3354"/>
      <c r="AC7" s="3354"/>
    </row>
    <row r="8" spans="1:29" ht="15.75" thickBot="1">
      <c r="A8" s="517"/>
      <c r="B8" s="518"/>
      <c r="C8" s="3379" t="s">
        <v>2937</v>
      </c>
      <c r="D8" s="3380"/>
      <c r="E8" s="3398" t="s">
        <v>2937</v>
      </c>
      <c r="F8" s="3399"/>
      <c r="G8" s="3379" t="s">
        <v>2937</v>
      </c>
      <c r="H8" s="3380"/>
      <c r="I8" s="3379" t="s">
        <v>2937</v>
      </c>
      <c r="J8" s="3380"/>
      <c r="K8" s="514" t="s">
        <v>528</v>
      </c>
      <c r="L8" s="2135"/>
      <c r="M8" s="2136"/>
      <c r="N8" s="2136"/>
      <c r="O8" s="2136"/>
      <c r="P8" s="3376"/>
      <c r="Q8" s="3377"/>
      <c r="R8" s="3360"/>
      <c r="S8" s="3361"/>
      <c r="T8" s="3362"/>
      <c r="U8" s="3363"/>
      <c r="V8" s="3378"/>
      <c r="W8" s="3378"/>
      <c r="X8" s="1568"/>
      <c r="Y8" s="3362"/>
      <c r="Z8" s="3363"/>
      <c r="AA8" s="3355"/>
      <c r="AB8" s="3355"/>
      <c r="AC8" s="3355"/>
    </row>
    <row r="9" spans="1:29" s="1220" customFormat="1" ht="15.75" thickBot="1">
      <c r="A9" s="2913"/>
      <c r="B9" s="2920" t="s">
        <v>529</v>
      </c>
      <c r="C9" s="519">
        <f>'数据-取费表'!B2</f>
        <v>43355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64"/>
      <c r="Q12" s="1151" t="str">
        <f t="shared" si="6"/>
        <v>土地使用年限（年）</v>
      </c>
      <c r="R12" s="1569" t="s">
        <v>8</v>
      </c>
      <c r="S12" s="1570">
        <f t="shared" si="0"/>
        <v>102</v>
      </c>
      <c r="T12" s="1569" t="s">
        <v>8</v>
      </c>
      <c r="U12" s="1570">
        <f t="shared" si="1"/>
        <v>102</v>
      </c>
      <c r="V12" s="1569" t="s">
        <v>8</v>
      </c>
      <c r="W12" s="1570">
        <f t="shared" si="2"/>
        <v>102</v>
      </c>
      <c r="X12" s="1571"/>
      <c r="Y12" s="3321"/>
      <c r="Z12" s="1150" t="str">
        <f t="shared" si="7"/>
        <v>土地使用年限（年）</v>
      </c>
      <c r="AA12" s="1572">
        <f t="shared" si="3"/>
        <v>0.98039215686274506</v>
      </c>
      <c r="AB12" s="1572">
        <f t="shared" si="4"/>
        <v>0.98039215686274506</v>
      </c>
      <c r="AC12" s="1572">
        <f t="shared" si="5"/>
        <v>0.98039215686274506</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7"/>
      <c r="Q24" s="1573"/>
      <c r="R24" s="1574"/>
      <c r="S24" s="1575"/>
      <c r="T24" s="1574"/>
      <c r="U24" s="1575"/>
      <c r="V24" s="1574"/>
      <c r="W24" s="1575"/>
      <c r="X24" s="1568"/>
      <c r="Y24" s="3367"/>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67"/>
      <c r="Q26" s="1151"/>
      <c r="R26" s="1569"/>
      <c r="S26" s="1570"/>
      <c r="T26" s="1569"/>
      <c r="U26" s="1570"/>
      <c r="V26" s="1569"/>
      <c r="W26" s="1570"/>
      <c r="X26" s="1571"/>
      <c r="Y26" s="3367"/>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7"/>
      <c r="Q27" s="2580" t="str">
        <f t="shared" ref="Q27" si="9">B27</f>
        <v>基础设施水平</v>
      </c>
      <c r="R27" s="1569" t="s">
        <v>8</v>
      </c>
      <c r="S27" s="1570">
        <f>F27</f>
        <v>100</v>
      </c>
      <c r="T27" s="1569" t="s">
        <v>8</v>
      </c>
      <c r="U27" s="1570">
        <f>H27</f>
        <v>100</v>
      </c>
      <c r="V27" s="1569" t="s">
        <v>8</v>
      </c>
      <c r="W27" s="1570">
        <f>J27</f>
        <v>100</v>
      </c>
      <c r="X27" s="1571"/>
      <c r="Y27" s="3367"/>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67"/>
      <c r="Q28" s="2580"/>
      <c r="R28" s="1569"/>
      <c r="S28" s="1570"/>
      <c r="T28" s="1569"/>
      <c r="U28" s="1570"/>
      <c r="V28" s="1569"/>
      <c r="W28" s="1570"/>
      <c r="X28" s="1571"/>
      <c r="Y28" s="3367"/>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67"/>
      <c r="Q31" s="1573"/>
      <c r="R31" s="1574"/>
      <c r="S31" s="1575"/>
      <c r="T31" s="1574"/>
      <c r="U31" s="1575"/>
      <c r="V31" s="1574"/>
      <c r="W31" s="1575"/>
      <c r="X31" s="1568"/>
      <c r="Y31" s="3367"/>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9"/>
      <c r="Q36" s="1573" t="str">
        <f>B36</f>
        <v>宗地面积</v>
      </c>
      <c r="R36" s="1574" t="s">
        <v>8</v>
      </c>
      <c r="S36" s="1575" t="e">
        <f t="shared" si="10"/>
        <v>#N/A</v>
      </c>
      <c r="T36" s="1574" t="s">
        <v>8</v>
      </c>
      <c r="U36" s="1575" t="e">
        <f t="shared" si="11"/>
        <v>#N/A</v>
      </c>
      <c r="V36" s="1574" t="s">
        <v>8</v>
      </c>
      <c r="W36" s="1575" t="e">
        <f t="shared" si="12"/>
        <v>#N/A</v>
      </c>
      <c r="X36" s="1568"/>
      <c r="Y36" s="336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64" t="str">
        <f>A43</f>
        <v>成交单价</v>
      </c>
      <c r="Q43" s="3364"/>
      <c r="R43" s="3378">
        <f>E43</f>
        <v>0</v>
      </c>
      <c r="S43" s="3378"/>
      <c r="T43" s="3378">
        <f>G43</f>
        <v>0</v>
      </c>
      <c r="U43" s="3378"/>
      <c r="V43" s="3378">
        <f>I43</f>
        <v>0</v>
      </c>
      <c r="W43" s="3378"/>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64" t="str">
        <f>A44</f>
        <v>比较价格（元/平方米）</v>
      </c>
      <c r="Q44" s="3364"/>
      <c r="R44" s="3388" t="e">
        <f>ROUND(PRODUCT(R43,AA9:AA42),0)</f>
        <v>#DIV/0!</v>
      </c>
      <c r="S44" s="3388"/>
      <c r="T44" s="3388" t="e">
        <f>ROUND(PRODUCT(T43,AB9:AB42),0)</f>
        <v>#DIV/0!</v>
      </c>
      <c r="U44" s="3388"/>
      <c r="V44" s="3388" t="e">
        <f>ROUND(PRODUCT(V43,AC9:AC42),0)</f>
        <v>#DIV/0!</v>
      </c>
      <c r="W44" s="3388"/>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85" t="str">
        <f>A45</f>
        <v>估价对象XX用房的比较价格（楼面单价，元/平方米）</v>
      </c>
      <c r="Q45" s="3386"/>
      <c r="R45" s="3387" t="e">
        <f>ROUND(AVERAGE(R44:V44),0)</f>
        <v>#DIV/0!</v>
      </c>
      <c r="S45" s="3387"/>
      <c r="T45" s="3387"/>
      <c r="U45" s="3387"/>
      <c r="V45" s="3387"/>
      <c r="W45" s="338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89" t="s">
        <v>2287</v>
      </c>
      <c r="H52" s="3390"/>
      <c r="I52" s="1954" t="s">
        <v>1948</v>
      </c>
      <c r="J52" s="1556" t="str">
        <f>项目基本情况!F41</f>
        <v>江苏省盐城市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104674</v>
      </c>
      <c r="F53" s="1952" t="e">
        <f t="shared" ref="F53:F62" si="15">ROUND(B53*E53/10000,0)</f>
        <v>#DIV/0!</v>
      </c>
      <c r="G53" s="3391"/>
      <c r="H53" s="339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52337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2</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2</v>
      </c>
      <c r="AA7" s="2194"/>
      <c r="AB7" s="2194"/>
      <c r="AC7" s="2195"/>
      <c r="AD7" s="2930"/>
      <c r="AE7" s="2930"/>
      <c r="AF7" s="2930"/>
      <c r="AG7" s="2930"/>
      <c r="AH7" s="2930"/>
      <c r="AI7" s="2930"/>
      <c r="AJ7" s="2931"/>
    </row>
    <row r="8" spans="1:39" ht="15">
      <c r="A8" s="3402"/>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11" t="s">
        <v>2786</v>
      </c>
      <c r="X8" s="3412"/>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02"/>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10"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10"/>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10" t="s">
        <v>2784</v>
      </c>
      <c r="X11" s="1048" t="s">
        <v>2769</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01"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10"/>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10"/>
      <c r="X13" s="2935"/>
      <c r="Y13" s="2934">
        <f>(-0.163*(Y12^2)-0.59*Y12+7617)*(10^(-4))/Y11</f>
        <v>0.38085000000000002</v>
      </c>
      <c r="Z13" s="2934">
        <f t="shared" ref="Z13:AJ13" si="5">(-0.163*(Z12^2)-0.59*Z12+7617)*(10^(-4))/Z11</f>
        <v>0.38085000000000002</v>
      </c>
      <c r="AA13" s="2934">
        <f t="shared" si="5"/>
        <v>0.38085000000000002</v>
      </c>
      <c r="AB13" s="2934">
        <f t="shared" si="5"/>
        <v>0.38085000000000002</v>
      </c>
      <c r="AC13" s="2934">
        <f t="shared" si="5"/>
        <v>0.38085000000000002</v>
      </c>
      <c r="AD13" s="2934">
        <f t="shared" si="5"/>
        <v>0.38085000000000002</v>
      </c>
      <c r="AE13" s="2934">
        <f t="shared" si="5"/>
        <v>0.38085000000000002</v>
      </c>
      <c r="AF13" s="2934">
        <f t="shared" si="5"/>
        <v>0.38085000000000002</v>
      </c>
      <c r="AG13" s="2934">
        <f t="shared" si="5"/>
        <v>0.38085000000000002</v>
      </c>
      <c r="AH13" s="2934">
        <f t="shared" si="5"/>
        <v>0.38085000000000002</v>
      </c>
      <c r="AI13" s="2934">
        <f t="shared" si="5"/>
        <v>0.38085000000000002</v>
      </c>
      <c r="AJ13" s="2934">
        <f t="shared" si="5"/>
        <v>0.38085000000000002</v>
      </c>
    </row>
    <row r="14" spans="1:39" ht="12.75" customHeight="1" thickBot="1">
      <c r="A14" s="3403"/>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43355</v>
      </c>
      <c r="H19" s="1476" t="s">
        <v>2941</v>
      </c>
      <c r="I19" s="2786" t="str">
        <f>IF(H19="季度增幅（自定义）",SUMIF(N21:N24,E2,O21:O24),"")</f>
        <v/>
      </c>
      <c r="J19" s="1472"/>
      <c r="K19" s="1482"/>
      <c r="L19" s="3041" t="s">
        <v>2844</v>
      </c>
      <c r="M19" s="3042">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2845</v>
      </c>
      <c r="M20" s="3044">
        <f>ROUND(SUMPRODUCT((地价!A4:A23=YEAR(G19)&amp;"-"&amp;ROUNDUP(MONTH(G19)/3,0))*(地价!B2:F2=E2)*(地价!B4:F23)),0)</f>
        <v>0</v>
      </c>
      <c r="N20" s="2791" t="s">
        <v>2648</v>
      </c>
      <c r="O20" s="2789" t="s">
        <v>2647</v>
      </c>
      <c r="P20" s="2790"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7"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05" t="s">
        <v>1634</v>
      </c>
      <c r="B90" s="3405"/>
      <c r="C90" s="3405"/>
      <c r="D90" s="3405"/>
      <c r="E90" s="3405"/>
      <c r="F90" s="3405"/>
      <c r="G90" s="3405"/>
      <c r="H90" s="3405"/>
      <c r="I90" s="3405"/>
      <c r="J90" s="3405"/>
      <c r="K90" s="2452"/>
      <c r="L90" s="2452"/>
      <c r="M90" s="2452"/>
      <c r="N90" s="2452"/>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13"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14"/>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14"/>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14"/>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14"/>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14"/>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14"/>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00" t="s">
        <v>1640</v>
      </c>
      <c r="B110" s="3400"/>
      <c r="C110" s="3400"/>
      <c r="D110" s="3400"/>
      <c r="E110" s="3400"/>
      <c r="F110" s="3400"/>
      <c r="G110" s="3400"/>
      <c r="H110" s="3400"/>
      <c r="I110" s="3400"/>
      <c r="J110" s="3400"/>
      <c r="K110" s="2450"/>
      <c r="L110" s="2450"/>
      <c r="M110" s="2450"/>
      <c r="N110" s="2450"/>
    </row>
    <row r="112" spans="1:14" ht="12.75" thickBot="1"/>
    <row r="113" spans="1:13" ht="25.5" thickBot="1">
      <c r="A113" s="1016" t="s">
        <v>896</v>
      </c>
      <c r="B113" s="2453">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2" t="s">
        <v>2082</v>
      </c>
      <c r="B1" s="3422"/>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2081</v>
      </c>
      <c r="D3" s="3108" t="s">
        <v>2952</v>
      </c>
      <c r="E3" s="3109">
        <f ca="1">SUMIF(E7:E14,"&lt;&gt;#ref!",E7:E14)</f>
        <v>0</v>
      </c>
      <c r="F3" s="3107"/>
    </row>
    <row r="4" spans="1:6" ht="14.25">
      <c r="A4" s="3108" t="s">
        <v>2959</v>
      </c>
      <c r="B4" s="3109" t="e">
        <f ca="1">ROUND(B2*10000/E4,0)</f>
        <v>#DIV/0!</v>
      </c>
      <c r="C4" s="3108" t="s">
        <v>2081</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-1.5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24" t="s">
        <v>2466</v>
      </c>
      <c r="C8" s="1827">
        <f ca="1">ROUND(F8*F10*F9*(1-F11)/10000,0)</f>
        <v>0</v>
      </c>
      <c r="D8" s="1824" t="s">
        <v>2537</v>
      </c>
      <c r="E8" s="61" t="s">
        <v>637</v>
      </c>
      <c r="F8" s="785">
        <f ca="1">INDIRECT("'数据-取费表'!u"&amp;$G$1)</f>
        <v>0</v>
      </c>
      <c r="G8" s="1593"/>
      <c r="H8" s="2506" t="s">
        <v>1825</v>
      </c>
      <c r="I8" s="3424" t="s">
        <v>2466</v>
      </c>
      <c r="J8" s="783">
        <f ca="1">ROUND(M8*M10*M9*(1-M11)/10000,0)</f>
        <v>0</v>
      </c>
      <c r="K8" s="341" t="s">
        <v>2537</v>
      </c>
      <c r="L8" s="784" t="s">
        <v>1739</v>
      </c>
      <c r="M8" s="785">
        <f ca="1">INDIRECT("'数据-取费表'!z"&amp;$G$1)</f>
        <v>0</v>
      </c>
    </row>
    <row r="9" spans="1:25" ht="18" customHeight="1">
      <c r="A9" s="2502"/>
      <c r="B9" s="3425"/>
      <c r="C9" s="1828"/>
      <c r="D9" s="1825"/>
      <c r="E9" s="61" t="s">
        <v>638</v>
      </c>
      <c r="F9" s="785">
        <f ca="1">IF(INDIRECT("'数据-取费表'!ah"&amp;$G$1)="",INDIRECT("'数据-取费表'!k"&amp;$G$1),INDIRECT("'数据-取费表'!ah"&amp;$G$1))</f>
        <v>0</v>
      </c>
      <c r="G9" s="1593"/>
      <c r="H9" s="2491"/>
      <c r="I9" s="3425"/>
      <c r="J9" s="788"/>
      <c r="K9" s="789"/>
      <c r="L9" s="784" t="s">
        <v>1740</v>
      </c>
      <c r="M9" s="785">
        <f ca="1">F9</f>
        <v>0</v>
      </c>
    </row>
    <row r="10" spans="1:25" ht="18" customHeight="1">
      <c r="A10" s="2495"/>
      <c r="B10" s="3426"/>
      <c r="C10" s="1828"/>
      <c r="D10" s="1825"/>
      <c r="E10" s="61" t="s">
        <v>639</v>
      </c>
      <c r="F10" s="785">
        <f ca="1">INDIRECT("'数据-取费表'!ai"&amp;$G$1)</f>
        <v>0</v>
      </c>
      <c r="G10" s="1593"/>
      <c r="H10" s="2491"/>
      <c r="I10" s="3426"/>
      <c r="J10" s="788"/>
      <c r="K10" s="789"/>
      <c r="L10" s="784" t="s">
        <v>1741</v>
      </c>
      <c r="M10" s="785">
        <f ca="1">INDIRECT("'数据-取费表'!ai"&amp;$G$1)</f>
        <v>0</v>
      </c>
    </row>
    <row r="11" spans="1:25" ht="18" customHeight="1">
      <c r="A11" s="786"/>
      <c r="B11" s="3427"/>
      <c r="C11" s="1828"/>
      <c r="D11" s="1825"/>
      <c r="E11" s="61" t="s">
        <v>640</v>
      </c>
      <c r="F11" s="794">
        <f ca="1">INDIRECT("'数据-取费表'!w"&amp;$G$1)</f>
        <v>0</v>
      </c>
      <c r="G11" s="1593"/>
      <c r="H11" s="2507"/>
      <c r="I11" s="3426"/>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2980</v>
      </c>
      <c r="E12" s="2500" t="s">
        <v>2467</v>
      </c>
      <c r="F12" s="2623"/>
      <c r="G12" s="1593"/>
      <c r="H12" s="2563" t="s">
        <v>1826</v>
      </c>
      <c r="I12" s="2568" t="s">
        <v>2462</v>
      </c>
      <c r="J12" s="783">
        <f ca="1">ROUND(IF(M12="押一",J8/12*M13,IF(M12="押二",J8/12*2*M13,IF(M12="押三",J8/12*3*M13,J13*M13))),0)</f>
        <v>0</v>
      </c>
      <c r="K12" s="2503" t="s">
        <v>2980</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1.4999999999999999E-2</v>
      </c>
      <c r="G22" s="1594"/>
      <c r="H22" s="1834" t="s">
        <v>1851</v>
      </c>
      <c r="I22" s="1824" t="s">
        <v>668</v>
      </c>
      <c r="J22" s="54">
        <f ca="1">ROUND(M22*M23/10000,0)</f>
        <v>0</v>
      </c>
      <c r="K22" s="814" t="s">
        <v>669</v>
      </c>
      <c r="L22" s="784" t="s">
        <v>670</v>
      </c>
      <c r="M22" s="640">
        <f>'数据-取费表'!B52</f>
        <v>2</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6.9999999999999999E-4</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2</v>
      </c>
      <c r="G36" s="2064"/>
      <c r="H36" s="2067"/>
      <c r="I36" s="3423"/>
      <c r="J36" s="2081"/>
      <c r="K36" s="2082"/>
      <c r="L36" s="2081"/>
      <c r="M36" s="2081"/>
    </row>
    <row r="37" spans="1:18" ht="18" customHeight="1">
      <c r="A37" s="815"/>
      <c r="B37" s="793"/>
      <c r="C37" s="69"/>
      <c r="D37" s="816"/>
      <c r="E37" s="784" t="s">
        <v>674</v>
      </c>
      <c r="F37" s="785">
        <f ca="1">INDIRECT("'数据-取费表'!r"&amp;$G$1)</f>
        <v>0</v>
      </c>
      <c r="G37" s="2064"/>
      <c r="H37" s="2067"/>
      <c r="I37" s="3423"/>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2" t="str">
        <f ca="1">IF(M48="住宅",0,IF(L49&gt;J52,L61,J61))</f>
        <v>0</v>
      </c>
      <c r="O47" s="2396" t="s">
        <v>2413</v>
      </c>
      <c r="P47" s="1593"/>
      <c r="Q47" s="1605"/>
      <c r="R47" s="1593"/>
    </row>
    <row r="48" spans="1:18" s="2061" customFormat="1" ht="18" customHeight="1" thickBot="1">
      <c r="A48" s="2086"/>
      <c r="C48" s="2089"/>
      <c r="D48" s="2090"/>
      <c r="E48" s="2090"/>
      <c r="F48" s="2091"/>
      <c r="G48" s="2092"/>
      <c r="I48" s="3152" t="s">
        <v>2347</v>
      </c>
      <c r="J48" s="2383"/>
      <c r="K48" s="3159" t="s">
        <v>2352</v>
      </c>
      <c r="L48" s="3163">
        <f ca="1">INDIRECT("'数据-取费表'!d"&amp;$G$1)</f>
        <v>0</v>
      </c>
      <c r="M48" s="3123"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8" t="s">
        <v>2348</v>
      </c>
      <c r="J49" s="2384"/>
      <c r="K49" s="3160"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8" t="s">
        <v>2349</v>
      </c>
      <c r="J50" s="2385"/>
      <c r="K50" s="3161"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8" t="s">
        <v>2350</v>
      </c>
      <c r="J51" s="3156">
        <f>SUMPRODUCT((I64:I66=J48)*(J63:L63=J49)*(J64:L66))</f>
        <v>0</v>
      </c>
      <c r="K51" s="3161" t="s">
        <v>2356</v>
      </c>
      <c r="L51" s="2386"/>
      <c r="O51" s="2403" t="s">
        <v>2386</v>
      </c>
      <c r="P51" s="2401" t="s">
        <v>2410</v>
      </c>
      <c r="Q51" s="2402">
        <f ca="1">C31</f>
        <v>0</v>
      </c>
      <c r="R51" s="2401"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3" t="s">
        <v>2387</v>
      </c>
      <c r="P52" s="2401" t="s">
        <v>2388</v>
      </c>
      <c r="Q52" s="2404" t="e">
        <f ca="1">J59</f>
        <v>#VALUE!</v>
      </c>
      <c r="R52" s="2405"/>
    </row>
    <row r="53" spans="1:18" s="2061" customFormat="1" ht="18" customHeight="1" thickBot="1">
      <c r="A53" s="2098"/>
      <c r="F53" s="2087"/>
      <c r="I53" s="3154" t="s">
        <v>2424</v>
      </c>
      <c r="J53" s="2387"/>
      <c r="K53" s="3154" t="s">
        <v>2423</v>
      </c>
      <c r="L53" s="2387"/>
      <c r="O53" s="2403" t="s">
        <v>2389</v>
      </c>
      <c r="P53" s="2401" t="s">
        <v>2390</v>
      </c>
      <c r="Q53" s="2404">
        <f>J53</f>
        <v>0</v>
      </c>
      <c r="R53" s="2405"/>
    </row>
    <row r="54" spans="1:18" s="2061" customFormat="1" ht="29.25" thickBot="1">
      <c r="A54" s="2098"/>
      <c r="I54" s="3155" t="s">
        <v>2985</v>
      </c>
      <c r="J54" s="3158">
        <f ca="1">IF(M48="住宅",MAX(J52,L49-'数据-取费表'!B20),MIN(J52,L49-'数据-取费表'!B20))</f>
        <v>-1.5</v>
      </c>
      <c r="K54" s="3428"/>
      <c r="L54" s="3429"/>
      <c r="O54" s="2403" t="s">
        <v>2391</v>
      </c>
      <c r="P54" s="2401" t="s">
        <v>2392</v>
      </c>
      <c r="Q54" s="2402">
        <f ca="1">J54</f>
        <v>-1.5</v>
      </c>
      <c r="R54" s="2401"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2394</v>
      </c>
      <c r="P55" s="2401" t="s">
        <v>2411</v>
      </c>
      <c r="Q55" s="2402">
        <f ca="1">Q49+Q50</f>
        <v>0</v>
      </c>
      <c r="R55" s="2405" t="s">
        <v>2395</v>
      </c>
    </row>
    <row r="56" spans="1:18" s="2061" customFormat="1" ht="16.5" thickBot="1">
      <c r="A56" s="2098"/>
      <c r="B56" s="2099"/>
      <c r="C56" s="2099"/>
      <c r="I56" s="3167" t="s">
        <v>2358</v>
      </c>
      <c r="J56" s="3103" t="e">
        <f ca="1">ROUND(IF(J48="钢混",J58/J51,1-(1-2%)*(J51-J58)/J51),3)</f>
        <v>#VALUE!</v>
      </c>
      <c r="K56" s="3168" t="s">
        <v>2359</v>
      </c>
      <c r="L56" s="2388"/>
      <c r="O56" s="2406" t="s">
        <v>2414</v>
      </c>
      <c r="P56" s="1593"/>
      <c r="Q56" s="1605"/>
      <c r="R56" s="1593"/>
    </row>
    <row r="57" spans="1:18" s="2061" customFormat="1" ht="43.5" thickBot="1">
      <c r="A57" s="2098"/>
      <c r="B57" s="2099"/>
      <c r="C57" s="2099"/>
      <c r="I57" s="3169" t="s">
        <v>2360</v>
      </c>
      <c r="J57" s="3179" t="s">
        <v>1679</v>
      </c>
      <c r="K57" s="3128" t="s">
        <v>2365</v>
      </c>
      <c r="L57" s="1910">
        <f ca="1">IF(L49&lt;J52,"——",L49-J52)</f>
        <v>0</v>
      </c>
      <c r="O57" s="2397" t="s">
        <v>2378</v>
      </c>
      <c r="P57" s="2398" t="s">
        <v>2379</v>
      </c>
      <c r="Q57" s="2399" t="s">
        <v>2380</v>
      </c>
      <c r="R57" s="2398"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5" t="s">
        <v>2370</v>
      </c>
      <c r="J63" s="3176" t="s">
        <v>2371</v>
      </c>
      <c r="K63" s="3176" t="s">
        <v>2372</v>
      </c>
      <c r="L63" s="3176" t="s">
        <v>2353</v>
      </c>
      <c r="M63" s="3177" t="s">
        <v>2948</v>
      </c>
      <c r="O63" s="2403" t="s">
        <v>2391</v>
      </c>
      <c r="P63" s="2401" t="s">
        <v>2399</v>
      </c>
      <c r="Q63" s="2402">
        <f ca="1">L60</f>
        <v>0</v>
      </c>
      <c r="R63" s="2405" t="s">
        <v>2400</v>
      </c>
    </row>
    <row r="64" spans="1:18" s="2061" customFormat="1" ht="15.75" thickBot="1">
      <c r="A64" s="2098"/>
      <c r="B64" s="2099"/>
      <c r="C64" s="2099"/>
      <c r="I64" s="3175" t="s">
        <v>2373</v>
      </c>
      <c r="J64" s="3176">
        <v>70</v>
      </c>
      <c r="K64" s="3176">
        <v>50</v>
      </c>
      <c r="L64" s="3176">
        <v>80</v>
      </c>
      <c r="M64" s="3178">
        <v>0.02</v>
      </c>
      <c r="O64" s="2400" t="s">
        <v>2394</v>
      </c>
      <c r="P64" s="2401" t="s">
        <v>2411</v>
      </c>
      <c r="Q64" s="2402" t="e">
        <f ca="1">Q58+Q59</f>
        <v>#DIV/0!</v>
      </c>
      <c r="R64" s="2405" t="s">
        <v>2395</v>
      </c>
    </row>
    <row r="65" spans="1:18" s="2061" customFormat="1" ht="16.5" thickBot="1">
      <c r="A65" s="2098"/>
      <c r="B65" s="2099"/>
      <c r="C65" s="2099"/>
      <c r="I65" s="3175" t="s">
        <v>2374</v>
      </c>
      <c r="J65" s="3176">
        <v>50</v>
      </c>
      <c r="K65" s="3176">
        <v>35</v>
      </c>
      <c r="L65" s="3176">
        <v>60</v>
      </c>
      <c r="M65" s="846">
        <v>0</v>
      </c>
      <c r="O65" s="2406" t="s">
        <v>2418</v>
      </c>
      <c r="P65" s="1593"/>
      <c r="Q65" s="1605"/>
      <c r="R65" s="1593"/>
    </row>
    <row r="66" spans="1:18" s="2061" customFormat="1" ht="15.75" thickBot="1">
      <c r="A66" s="2098"/>
      <c r="B66" s="2099"/>
      <c r="C66" s="2099"/>
      <c r="I66" s="3175" t="s">
        <v>2375</v>
      </c>
      <c r="J66" s="3176">
        <v>40</v>
      </c>
      <c r="K66" s="3176">
        <v>30</v>
      </c>
      <c r="L66" s="3176">
        <v>50</v>
      </c>
      <c r="M66" s="3178">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32" t="s">
        <v>2579</v>
      </c>
      <c r="C1" s="3432"/>
      <c r="D1" s="3432"/>
      <c r="E1" s="3432"/>
      <c r="F1" s="3432"/>
      <c r="G1" s="3431" t="s">
        <v>2580</v>
      </c>
      <c r="H1" s="3431"/>
      <c r="I1" s="3431"/>
      <c r="J1" s="3431"/>
      <c r="K1" s="3431"/>
      <c r="L1" s="3431"/>
      <c r="N1" s="3431" t="s">
        <v>2581</v>
      </c>
      <c r="O1" s="3431"/>
      <c r="P1" s="3431"/>
      <c r="Q1" s="3431"/>
      <c r="R1" s="2656"/>
      <c r="S1" s="3431" t="s">
        <v>2582</v>
      </c>
      <c r="T1" s="3431"/>
      <c r="U1" s="3431"/>
      <c r="V1" s="3431"/>
      <c r="X1" s="3430" t="s">
        <v>2642</v>
      </c>
      <c r="Y1" s="3431"/>
      <c r="Z1" s="3431"/>
      <c r="AA1" s="3431"/>
      <c r="AB1" s="3431"/>
      <c r="AD1" s="3430" t="s">
        <v>2646</v>
      </c>
      <c r="AE1" s="3431"/>
      <c r="AF1" s="3431"/>
      <c r="AG1" s="3431"/>
      <c r="AH1" s="3431"/>
    </row>
    <row r="2" spans="1:34" s="2758" customFormat="1" ht="14.25" thickBot="1">
      <c r="B2" s="2766" t="s">
        <v>2583</v>
      </c>
      <c r="C2" s="2766" t="s">
        <v>2644</v>
      </c>
      <c r="D2" s="2759" t="s">
        <v>1645</v>
      </c>
      <c r="E2" s="2759" t="s">
        <v>1952</v>
      </c>
      <c r="F2" s="2766" t="s">
        <v>2645</v>
      </c>
      <c r="G2" s="2762"/>
      <c r="H2" s="2761"/>
      <c r="I2" s="2766" t="s">
        <v>2962</v>
      </c>
      <c r="J2" s="2759" t="s">
        <v>2964</v>
      </c>
      <c r="K2" s="2759" t="s">
        <v>2965</v>
      </c>
      <c r="L2" s="2766" t="s">
        <v>2966</v>
      </c>
      <c r="N2" s="2766" t="s">
        <v>2583</v>
      </c>
      <c r="O2" s="2759" t="s">
        <v>2963</v>
      </c>
      <c r="P2" s="2759" t="s">
        <v>1952</v>
      </c>
      <c r="Q2" s="2766" t="s">
        <v>2645</v>
      </c>
      <c r="R2" s="2760"/>
      <c r="S2" s="2766" t="s">
        <v>2583</v>
      </c>
      <c r="T2" s="2759" t="s">
        <v>2963</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6" customFormat="1" ht="14.25">
      <c r="A3" s="3148" t="s">
        <v>2975</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2986</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6">
        <v>3</v>
      </c>
      <c r="I5" s="3130">
        <v>1.49</v>
      </c>
      <c r="J5" s="3130">
        <v>0.96</v>
      </c>
      <c r="K5" s="3130">
        <v>1.58</v>
      </c>
      <c r="L5" s="3130">
        <v>2.44</v>
      </c>
      <c r="N5" s="2764">
        <f t="shared" ref="N5" si="6">I5/100</f>
        <v>1.49E-2</v>
      </c>
      <c r="O5" s="2764">
        <f t="shared" ref="O5" si="7">J5/100</f>
        <v>9.5999999999999992E-3</v>
      </c>
      <c r="P5" s="2764">
        <f t="shared" ref="P5" si="8">K5/100</f>
        <v>1.5800000000000002E-2</v>
      </c>
      <c r="Q5" s="2764">
        <f t="shared" ref="Q5" si="9">L5/100</f>
        <v>2.4399999999999998E-2</v>
      </c>
      <c r="R5" s="3118"/>
      <c r="S5" s="3119"/>
      <c r="T5" s="3118"/>
      <c r="U5" s="3118"/>
      <c r="V5" s="3118"/>
      <c r="W5" s="3146" t="s">
        <v>2976</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3" customFormat="1" ht="13.5" thickBot="1">
      <c r="A6" s="2657" t="s">
        <v>2987</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5"/>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2982</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5"/>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2973</v>
      </c>
      <c r="B8" s="3150">
        <v>439</v>
      </c>
      <c r="C8" s="3150">
        <v>327</v>
      </c>
      <c r="D8" s="3150">
        <f t="shared" si="23"/>
        <v>327</v>
      </c>
      <c r="E8" s="3150">
        <v>627</v>
      </c>
      <c r="F8" s="3151">
        <v>283</v>
      </c>
      <c r="G8" s="3133">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2977</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5"/>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4"/>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5"/>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39">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34"/>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34"/>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35"/>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33">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34"/>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34"/>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35"/>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33">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34"/>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34"/>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35"/>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2586</v>
      </c>
      <c r="B24" s="2663">
        <v>299</v>
      </c>
      <c r="C24" s="2663">
        <v>252</v>
      </c>
      <c r="D24" s="2663">
        <f t="shared" si="45"/>
        <v>252</v>
      </c>
      <c r="E24" s="2663">
        <v>409</v>
      </c>
      <c r="F24" s="2664">
        <v>227</v>
      </c>
      <c r="G24" s="3436">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37"/>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37"/>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38"/>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33">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34"/>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34"/>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35"/>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33">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34">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34">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35">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33">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34">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34">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35">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33">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34">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34">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35">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33">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34">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34">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35">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33">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34">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34">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35">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33">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34">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34">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35">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33">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34">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34">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35">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33">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34">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34">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35">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33">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34">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34">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35">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33">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34">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34">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35">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7</v>
      </c>
    </row>
    <row r="2" spans="1:31" s="2043" customFormat="1" ht="18" customHeight="1">
      <c r="A2" s="2103" t="s">
        <v>467</v>
      </c>
      <c r="B2" s="2107">
        <f ca="1">C36</f>
        <v>36783</v>
      </c>
      <c r="C2" s="2106"/>
      <c r="D2" s="2106"/>
      <c r="E2" s="2106"/>
      <c r="F2" s="2106"/>
      <c r="G2" s="2106"/>
      <c r="H2" s="2106"/>
      <c r="I2" s="2106"/>
      <c r="J2" s="2106"/>
      <c r="K2" s="2106"/>
    </row>
    <row r="3" spans="1:31" s="2043" customFormat="1" ht="18" customHeight="1">
      <c r="A3" s="2108" t="s">
        <v>1685</v>
      </c>
      <c r="B3" s="2109">
        <f ca="1">ROUND(B2*10000/IF(B1="",'数据-汇总表'!E3,INDIRECT("'数据-取费表'!K"&amp;$K$1)),0)</f>
        <v>3514</v>
      </c>
      <c r="C3" s="2106"/>
      <c r="D3" s="2106"/>
      <c r="E3" s="2106"/>
      <c r="F3" s="2106"/>
      <c r="G3" s="2106"/>
      <c r="H3" s="2106"/>
      <c r="I3" s="2106"/>
      <c r="J3" s="2106"/>
      <c r="K3" s="2106"/>
    </row>
    <row r="4" spans="1:31" s="2043" customFormat="1" ht="18" customHeight="1">
      <c r="A4" s="426" t="s">
        <v>468</v>
      </c>
      <c r="B4" s="427">
        <f ca="1">ROUND(B2*10000/IF(B1="",'数据-汇总表'!D3,INDIRECT("'数据-取费表'!R"&amp;$K$1)),0)</f>
        <v>7028</v>
      </c>
      <c r="C4" s="428"/>
      <c r="D4" s="422"/>
      <c r="E4" s="422"/>
      <c r="F4" s="422"/>
      <c r="G4" s="422"/>
      <c r="H4" s="422"/>
      <c r="I4" s="422"/>
      <c r="J4" s="422"/>
      <c r="K4" s="422"/>
    </row>
    <row r="5" spans="1:31" s="2043" customFormat="1" ht="18" customHeight="1" thickBot="1">
      <c r="A5" s="429"/>
      <c r="B5" s="430">
        <f ca="1">ROUND(B2/(IF(B1="",'数据-汇总表'!D3,INDIRECT("'数据-取费表'!R"&amp;$K$1))/666.67),0)</f>
        <v>469</v>
      </c>
      <c r="C5" s="431" t="s">
        <v>469</v>
      </c>
      <c r="D5" s="422"/>
      <c r="E5" s="422"/>
      <c r="F5" s="422"/>
      <c r="G5" s="422"/>
      <c r="H5" s="422"/>
      <c r="I5" s="422"/>
      <c r="J5" s="422"/>
      <c r="K5" s="422"/>
    </row>
    <row r="6" spans="1:31" s="2113" customFormat="1" ht="16.5" customHeight="1">
      <c r="A6" s="2830" t="s">
        <v>1843</v>
      </c>
      <c r="B6" s="2831"/>
      <c r="C6" s="2832">
        <f>SUM(C10:K10)</f>
        <v>83739.199999999997</v>
      </c>
      <c r="D6" s="2831"/>
      <c r="E6" s="2831"/>
      <c r="F6" s="2831"/>
      <c r="G6" s="2831"/>
      <c r="H6" s="2831"/>
      <c r="I6" s="2831"/>
      <c r="J6" s="2831"/>
      <c r="K6" s="2833"/>
    </row>
    <row r="7" spans="1:31" s="2115" customFormat="1" ht="15">
      <c r="A7" s="2834" t="s">
        <v>470</v>
      </c>
      <c r="B7" s="2835" t="s">
        <v>471</v>
      </c>
      <c r="C7" s="436" t="s">
        <v>2997</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v>8000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104674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C8*C9/10000</f>
        <v>83739.199999999997</v>
      </c>
      <c r="D10" s="3030"/>
      <c r="E10" s="3030"/>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20935</v>
      </c>
      <c r="D13" s="2846"/>
      <c r="E13" s="2847"/>
      <c r="F13" s="2848"/>
      <c r="G13" s="2814"/>
      <c r="H13" s="2815"/>
      <c r="I13" s="2815"/>
      <c r="J13" s="2815"/>
      <c r="K13" s="2816"/>
    </row>
    <row r="14" spans="1:31" s="2118" customFormat="1" ht="13.5" customHeight="1">
      <c r="A14" s="2844" t="s">
        <v>1850</v>
      </c>
      <c r="B14" s="2845" t="s">
        <v>480</v>
      </c>
      <c r="C14" s="53">
        <f ca="1">ROUND(C13*F14,0)</f>
        <v>628</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628</v>
      </c>
      <c r="D15" s="2846"/>
      <c r="E15" s="2847"/>
      <c r="F15" s="2849">
        <f>'数据-取费表'!B34</f>
        <v>0.03</v>
      </c>
      <c r="G15" s="2814" t="s">
        <v>483</v>
      </c>
      <c r="H15" s="2815"/>
      <c r="I15" s="2815"/>
      <c r="J15" s="2815"/>
      <c r="K15" s="2816"/>
    </row>
    <row r="16" spans="1:31" s="2119" customFormat="1" ht="13.5" customHeight="1">
      <c r="A16" s="2844" t="s">
        <v>1852</v>
      </c>
      <c r="B16" s="2845" t="s">
        <v>484</v>
      </c>
      <c r="C16" s="53">
        <f ca="1">ROUND(D16*E16/10000,0)</f>
        <v>2093</v>
      </c>
      <c r="D16" s="2846">
        <f ca="1">IF(B1="",'数据-汇总表'!E3,INDIRECT("'数据-取费表'!K"&amp;$K$1)+INDIRECT("'数据-取费表'!S"&amp;$K$1))</f>
        <v>104674</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314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24598</v>
      </c>
      <c r="D18" s="2855"/>
      <c r="E18" s="468"/>
      <c r="F18" s="468"/>
      <c r="G18" s="2818" t="s">
        <v>2433</v>
      </c>
      <c r="H18" s="2819"/>
      <c r="I18" s="2819"/>
      <c r="J18" s="2819"/>
      <c r="K18" s="2820"/>
    </row>
    <row r="19" spans="1:14" s="2118" customFormat="1" ht="13.5" customHeight="1">
      <c r="A19" s="2852" t="s">
        <v>1855</v>
      </c>
      <c r="B19" s="2853" t="s">
        <v>488</v>
      </c>
      <c r="C19" s="2810">
        <f ca="1">ROUND(D19*E19/10000,0)</f>
        <v>1256</v>
      </c>
      <c r="D19" s="2856">
        <f ca="1">D16</f>
        <v>104674</v>
      </c>
      <c r="E19" s="2810">
        <f>'数据-取费表'!B32</f>
        <v>120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1047</v>
      </c>
      <c r="D20" s="2856"/>
      <c r="E20" s="2810"/>
      <c r="F20" s="2857"/>
      <c r="G20" s="3090"/>
      <c r="H20" s="2812"/>
      <c r="I20" s="2813" t="s">
        <v>2654</v>
      </c>
      <c r="J20" s="2819"/>
      <c r="K20" s="2820"/>
    </row>
    <row r="21" spans="1:14" s="2118" customFormat="1" ht="13.5" customHeight="1">
      <c r="A21" s="2844" t="s">
        <v>1857</v>
      </c>
      <c r="B21" s="2845" t="s">
        <v>491</v>
      </c>
      <c r="C21" s="53">
        <f ca="1">ROUND(D21*E21/10000,0)</f>
        <v>1047</v>
      </c>
      <c r="D21" s="2846">
        <f ca="1">IF(B1="",'数据-汇总表'!E5,IF(INDIRECT("'数据-取费表'!c"&amp;$K$1)="住宅",INDIRECT("'数据-取费表'!k"&amp;$K$1),0))</f>
        <v>104674</v>
      </c>
      <c r="E21" s="53">
        <f>'数据-取费表'!B27</f>
        <v>100</v>
      </c>
      <c r="F21" s="2849"/>
      <c r="G21" s="26"/>
      <c r="H21" s="51"/>
      <c r="I21" s="51"/>
      <c r="J21" s="51"/>
      <c r="K21" s="2821"/>
    </row>
    <row r="22" spans="1:14" s="2118" customFormat="1" ht="13.5" customHeight="1">
      <c r="A22" s="2844" t="s">
        <v>1858</v>
      </c>
      <c r="B22" s="2845" t="s">
        <v>492</v>
      </c>
      <c r="C22" s="53">
        <f ca="1">ROUND(D22*E22/10000,0)</f>
        <v>0</v>
      </c>
      <c r="D22" s="2846">
        <f ca="1">IF(B1="",'数据-汇总表'!E6,IF(INDIRECT("'数据-取费表'!c"&amp;$K$1)="住宅",INDIRECT("'数据-取费表'!s"&amp;$K$1),INDIRECT("'数据-取费表'!k"&amp;$K$1)+INDIRECT("'数据-取费表'!s"&amp;$K$1)))</f>
        <v>0</v>
      </c>
      <c r="E22" s="53">
        <f>'数据-取费表'!B28</f>
        <v>100</v>
      </c>
      <c r="F22" s="2849"/>
      <c r="G22" s="26"/>
      <c r="H22" s="51"/>
      <c r="I22" s="51"/>
      <c r="J22" s="51"/>
      <c r="K22" s="2821"/>
    </row>
    <row r="23" spans="1:14" s="2118" customFormat="1" ht="13.5" customHeight="1">
      <c r="A23" s="2852" t="s">
        <v>1859</v>
      </c>
      <c r="B23" s="3036" t="s">
        <v>2837</v>
      </c>
      <c r="C23" s="2854">
        <f ca="1">ROUND((C18+C19+C20)*F23,0)</f>
        <v>404</v>
      </c>
      <c r="D23" s="468"/>
      <c r="E23" s="468"/>
      <c r="F23" s="2858">
        <f>'数据-取费表'!B37</f>
        <v>1.4999999999999999E-2</v>
      </c>
      <c r="G23" s="2814" t="s">
        <v>2434</v>
      </c>
      <c r="H23" s="2815"/>
      <c r="I23" s="2815"/>
      <c r="J23" s="2815"/>
      <c r="K23" s="2816"/>
      <c r="L23" s="2120"/>
      <c r="M23" s="2120"/>
      <c r="N23" s="2120"/>
    </row>
    <row r="24" spans="1:14" s="2118" customFormat="1" ht="13.5" customHeight="1">
      <c r="A24" s="2852" t="s">
        <v>1860</v>
      </c>
      <c r="B24" s="3036" t="s">
        <v>2840</v>
      </c>
      <c r="C24" s="2854">
        <f>ROUND(C6*F24,0)</f>
        <v>1675</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6"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7" t="s">
        <v>2839</v>
      </c>
      <c r="C26" s="2859">
        <f ca="1">C28</f>
        <v>1026</v>
      </c>
      <c r="D26" s="467">
        <f ca="1">C27</f>
        <v>7.4200000000000002E-2</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7.4200000000000002E-2</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1026</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4466</v>
      </c>
      <c r="D29" s="468"/>
      <c r="E29" s="468"/>
      <c r="F29" s="3038">
        <f>'数据-取费表'!B41</f>
        <v>5.6000000000000001E-2</v>
      </c>
      <c r="G29" s="2823" t="s">
        <v>498</v>
      </c>
      <c r="H29" s="2815"/>
      <c r="I29" s="2815"/>
      <c r="J29" s="2815"/>
      <c r="K29" s="2816"/>
    </row>
    <row r="30" spans="1:14" s="2123" customFormat="1" ht="13.5" customHeight="1">
      <c r="A30" s="1636" t="s">
        <v>1864</v>
      </c>
      <c r="B30" s="2864" t="s">
        <v>500</v>
      </c>
      <c r="C30" s="2859">
        <f ca="1">C31</f>
        <v>34472</v>
      </c>
      <c r="D30" s="477">
        <f ca="1">C32</f>
        <v>0.1032</v>
      </c>
      <c r="E30" s="469" t="s">
        <v>495</v>
      </c>
      <c r="F30" s="471"/>
      <c r="G30" s="2822" t="s">
        <v>2978</v>
      </c>
      <c r="H30" s="2815"/>
      <c r="I30" s="2815"/>
      <c r="J30" s="2815"/>
      <c r="K30" s="2816"/>
    </row>
    <row r="31" spans="1:14" s="2122" customFormat="1" ht="13.5" customHeight="1">
      <c r="A31" s="803" t="s">
        <v>1857</v>
      </c>
      <c r="B31" s="2860"/>
      <c r="C31" s="450">
        <f ca="1">C18+C19+C20+C23+C24+C26+C29</f>
        <v>34472</v>
      </c>
      <c r="D31" s="472"/>
      <c r="E31" s="473"/>
      <c r="F31" s="474"/>
      <c r="G31" s="261"/>
      <c r="H31" s="2817"/>
      <c r="I31" s="2817"/>
      <c r="J31" s="2817"/>
      <c r="K31" s="279"/>
    </row>
    <row r="32" spans="1:14" s="2122" customFormat="1" ht="13.5" customHeight="1">
      <c r="A32" s="803" t="s">
        <v>1858</v>
      </c>
      <c r="B32" s="2860"/>
      <c r="C32" s="53">
        <f ca="1">ROUND(C25+D26,4)</f>
        <v>0.1032</v>
      </c>
      <c r="D32" s="472"/>
      <c r="E32" s="473"/>
      <c r="F32" s="474"/>
      <c r="G32" s="261"/>
      <c r="H32" s="2817"/>
      <c r="I32" s="2817"/>
      <c r="J32" s="2817"/>
      <c r="K32" s="279"/>
    </row>
    <row r="33" spans="1:11" s="2124" customFormat="1" ht="13.5" customHeight="1">
      <c r="A33" s="3035" t="s">
        <v>2836</v>
      </c>
      <c r="B33" s="3033" t="s">
        <v>2834</v>
      </c>
      <c r="C33" s="478">
        <f ca="1">C35</f>
        <v>3767</v>
      </c>
      <c r="D33" s="467">
        <f ca="1">C34</f>
        <v>0.1338</v>
      </c>
      <c r="E33" s="469" t="s">
        <v>495</v>
      </c>
      <c r="F33" s="479">
        <f ca="1">IF(B1="",'数据-取费表'!Q16,INDIRECT("'数据-取费表'!q"&amp;$K$1))</f>
        <v>0.13</v>
      </c>
      <c r="G33" s="2818"/>
      <c r="H33" s="2819"/>
      <c r="I33" s="2819"/>
      <c r="J33" s="2819"/>
      <c r="K33" s="2820"/>
    </row>
    <row r="34" spans="1:11" s="2125" customFormat="1" ht="13.5" customHeight="1">
      <c r="A34" s="375" t="s">
        <v>1857</v>
      </c>
      <c r="B34" s="2865" t="s">
        <v>501</v>
      </c>
      <c r="C34" s="472">
        <f ca="1">ROUND((1+C25)*F33,4)</f>
        <v>0.1338</v>
      </c>
      <c r="D34" s="472"/>
      <c r="E34" s="473"/>
      <c r="F34" s="480"/>
      <c r="G34" s="261" t="s">
        <v>2293</v>
      </c>
      <c r="H34" s="2817"/>
      <c r="I34" s="2817"/>
      <c r="J34" s="2817"/>
      <c r="K34" s="279"/>
    </row>
    <row r="35" spans="1:11" s="2125" customFormat="1" ht="13.5" customHeight="1" thickBot="1">
      <c r="A35" s="1637" t="s">
        <v>1858</v>
      </c>
      <c r="B35" s="3034" t="s">
        <v>2842</v>
      </c>
      <c r="C35" s="1629">
        <f ca="1">ROUND((C18+C19+C20+C23+C24)*F33,0)</f>
        <v>3767</v>
      </c>
      <c r="D35" s="1630"/>
      <c r="E35" s="2866"/>
      <c r="F35" s="1631"/>
      <c r="G35" s="2824"/>
      <c r="H35" s="2825"/>
      <c r="I35" s="2825"/>
      <c r="J35" s="2825"/>
      <c r="K35" s="2826"/>
    </row>
    <row r="36" spans="1:11" s="2087" customFormat="1" ht="13.5" customHeight="1" thickBot="1">
      <c r="A36" s="284" t="s">
        <v>1845</v>
      </c>
      <c r="B36" s="2828"/>
      <c r="C36" s="2867">
        <f ca="1">ROUND((C6-C30-C33)/(1+D30+D33),0)</f>
        <v>36783</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受贵公司委托，我公司对江苏省盐城市大丰市常新璐西侧，疏港路北侧出让国有建设用地使用权抵押价格进行了预评估。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大丰市常新璐西侧，疏港路北侧出让国有建设用地使用权。根据《国有土地使用证》[]，估价对象（分摊）出让国有建设用地使用权面积为52337平方米。根据《建设工程规划许可证》[]、《出让合同》[]，估价对象规划建筑面积为104674平方米。</v>
      </c>
    </row>
    <row r="7" spans="1:4" ht="56.25">
      <c r="A7" s="1797" t="s">
        <v>2750</v>
      </c>
    </row>
    <row r="8" spans="1:4" ht="18.75">
      <c r="A8" s="1796" t="s">
        <v>1907</v>
      </c>
    </row>
    <row r="9" spans="1:4" ht="75">
      <c r="A9" s="1798" t="str">
        <f>IF(项目基本情况!B8="抵押",IF(项目基本情况!B5=项目基本情况!B6,定义!C51,定义!B51),定义!D51)</f>
        <v>拟使用江苏省盐城市大丰市常新璐西侧，疏港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2018年9月12日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根据《国有土地使用证》[]，估价对象（分摊）出让国有建设用地使用权面积为52337平方米。根据《建设工程规划许可证》[]、《出让合同》[]，估价对象规划建筑面积为104674平方米。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本次估价对象为出让国有建设用地使用权，《国有土地使用证》[]证载土地终止日期为住宅2082年6月17日。截至估价期日，出让国有建设用地使用权剩余土地使用年限为。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12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4" activeCellId="1" sqref="G32 G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7" t="s">
        <v>952</v>
      </c>
      <c r="E1" s="2389" t="s">
        <v>2377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24" t="s">
        <v>2466</v>
      </c>
      <c r="C6" s="783">
        <f ca="1">ROUND(F6*F8*F7*(1-F9)/10000,0)</f>
        <v>0</v>
      </c>
      <c r="D6" s="2499" t="s">
        <v>2465</v>
      </c>
      <c r="E6" s="784" t="s">
        <v>1739</v>
      </c>
      <c r="F6" s="785">
        <f ca="1">INDIRECT("'数据-取费表'!u"&amp;$G$1)</f>
        <v>0</v>
      </c>
      <c r="G6" s="1593"/>
      <c r="H6" s="2506" t="s">
        <v>2471</v>
      </c>
      <c r="I6" s="3424" t="s">
        <v>2466</v>
      </c>
      <c r="J6" s="783">
        <f ca="1">ROUND(M6*M8*M7*(1-M9)/10000,0)</f>
        <v>0</v>
      </c>
      <c r="K6" s="341" t="s">
        <v>1738</v>
      </c>
      <c r="L6" s="784" t="s">
        <v>1739</v>
      </c>
      <c r="M6" s="785">
        <f ca="1">INDIRECT("'数据-取费表'!z"&amp;$G$1)</f>
        <v>0</v>
      </c>
    </row>
    <row r="7" spans="1:33" ht="18" customHeight="1">
      <c r="A7" s="2502"/>
      <c r="B7" s="3425"/>
      <c r="C7" s="788"/>
      <c r="D7" s="789"/>
      <c r="E7" s="784" t="s">
        <v>1740</v>
      </c>
      <c r="F7" s="785">
        <f ca="1">IF(INDIRECT("'数据-取费表'!ah"&amp;$G$1)="",INDIRECT("'数据-取费表'!k"&amp;$G$1),INDIRECT("'数据-取费表'!ah"&amp;$G$1))</f>
        <v>0</v>
      </c>
      <c r="G7" s="1593"/>
      <c r="H7" s="2491"/>
      <c r="I7" s="3425"/>
      <c r="J7" s="788"/>
      <c r="K7" s="789"/>
      <c r="L7" s="784" t="s">
        <v>1740</v>
      </c>
      <c r="M7" s="785">
        <f ca="1">F7</f>
        <v>0</v>
      </c>
    </row>
    <row r="8" spans="1:33" ht="18" customHeight="1">
      <c r="A8" s="2495"/>
      <c r="B8" s="3426"/>
      <c r="C8" s="788"/>
      <c r="D8" s="789"/>
      <c r="E8" s="784" t="s">
        <v>1741</v>
      </c>
      <c r="F8" s="785">
        <f ca="1">INDIRECT("'数据-取费表'!ai"&amp;$G$1)</f>
        <v>0</v>
      </c>
      <c r="G8" s="1593"/>
      <c r="H8" s="2491"/>
      <c r="I8" s="3426"/>
      <c r="J8" s="788"/>
      <c r="K8" s="789"/>
      <c r="L8" s="784" t="s">
        <v>1741</v>
      </c>
      <c r="M8" s="785">
        <f ca="1">INDIRECT("'数据-取费表'!ai"&amp;$G$1)</f>
        <v>0</v>
      </c>
    </row>
    <row r="9" spans="1:33" ht="18" customHeight="1">
      <c r="A9" s="786"/>
      <c r="B9" s="3427"/>
      <c r="C9" s="788"/>
      <c r="D9" s="789"/>
      <c r="E9" s="784" t="s">
        <v>1742</v>
      </c>
      <c r="F9" s="794">
        <f ca="1">INDIRECT("'数据-取费表'!w"&amp;$G$1)</f>
        <v>0</v>
      </c>
      <c r="G9" s="1593"/>
      <c r="H9" s="2507"/>
      <c r="I9" s="3426"/>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2980</v>
      </c>
      <c r="E10" s="2500" t="s">
        <v>2467</v>
      </c>
      <c r="F10" s="2623"/>
      <c r="G10" s="1593"/>
      <c r="H10" s="2563" t="s">
        <v>2472</v>
      </c>
      <c r="I10" s="2568" t="s">
        <v>2462</v>
      </c>
      <c r="J10" s="783">
        <f ca="1">ROUND(IF(M10="押一",J6/12*M11,IF(M10="押二",J6/12*2*M11,IF(M10="押三",J6/12*3*M11,J11*M11))),0)</f>
        <v>0</v>
      </c>
      <c r="K10" s="2503" t="s">
        <v>2980</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0</v>
      </c>
      <c r="D13" s="1836" t="s">
        <v>2300</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2829</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2538</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6.9999999999999999E-4</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0</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2830</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2</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1" t="s">
        <v>2825</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2304</v>
      </c>
      <c r="C40" s="783" t="e">
        <f ca="1">ROUND(C39*(1-((1+F42)/(1+F40))^F41)/(F40-F42),0)</f>
        <v>#DIV/0!</v>
      </c>
      <c r="D40" s="814" t="s">
        <v>1808</v>
      </c>
      <c r="E40" s="784" t="s">
        <v>2422</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#DIV/0!</v>
      </c>
      <c r="D46" s="2087"/>
      <c r="E46" s="2087"/>
      <c r="F46" s="2087"/>
      <c r="I46" s="2380" t="s">
        <v>2346</v>
      </c>
      <c r="J46" s="2381"/>
      <c r="K46" s="2382"/>
      <c r="L46" s="3162" t="e">
        <f ca="1">IF(OR(M47="住宅",D1="土地（套用方法）"),0,IF(L48&gt;J51,L60,J60))</f>
        <v>#DIV/0!</v>
      </c>
      <c r="O46" s="2396" t="s">
        <v>2413</v>
      </c>
      <c r="P46" s="1593"/>
      <c r="Q46" s="1605"/>
      <c r="R46" s="1593"/>
    </row>
    <row r="47" spans="1:18" s="2061" customFormat="1" ht="18" customHeight="1" thickBot="1">
      <c r="A47" s="2374">
        <v>1</v>
      </c>
      <c r="B47" s="2375" t="s">
        <v>635</v>
      </c>
      <c r="C47" s="2576">
        <f ca="1">C48+C52+C54</f>
        <v>0</v>
      </c>
      <c r="D47" s="2087"/>
      <c r="E47" s="2087"/>
      <c r="F47" s="2087"/>
      <c r="I47" s="3152" t="s">
        <v>2347</v>
      </c>
      <c r="J47" s="2383"/>
      <c r="K47" s="3159" t="s">
        <v>2352</v>
      </c>
      <c r="L47" s="3163">
        <f ca="1">INDIRECT("'数据-取费表'!d"&amp;$G$1)</f>
        <v>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8" t="s">
        <v>2348</v>
      </c>
      <c r="J48" s="2384"/>
      <c r="K48" s="3160" t="s">
        <v>2354</v>
      </c>
      <c r="L48" s="1910">
        <f ca="1">INDIRECT("'数据-取费表'!f"&amp;$G$1)</f>
        <v>0</v>
      </c>
      <c r="O48" s="2400" t="s">
        <v>2382</v>
      </c>
      <c r="P48" s="2401" t="s">
        <v>2408</v>
      </c>
      <c r="Q48" s="2402" t="e">
        <f ca="1">C40+J29</f>
        <v>#DIV/0!</v>
      </c>
      <c r="R48" s="2401" t="s">
        <v>2383</v>
      </c>
    </row>
    <row r="49" spans="1:18" s="2061" customFormat="1" ht="18" customHeight="1" thickBot="1">
      <c r="A49" s="786"/>
      <c r="B49" s="787"/>
      <c r="C49" s="788"/>
      <c r="D49" s="789"/>
      <c r="E49" s="784" t="s">
        <v>1740</v>
      </c>
      <c r="F49" s="785">
        <f ca="1">F7</f>
        <v>0</v>
      </c>
      <c r="G49" s="2092"/>
      <c r="H49" s="2095"/>
      <c r="I49" s="3128" t="s">
        <v>2349</v>
      </c>
      <c r="J49" s="2385"/>
      <c r="K49" s="3161" t="s">
        <v>2355</v>
      </c>
      <c r="L49" s="2386"/>
      <c r="O49" s="2400" t="s">
        <v>2384</v>
      </c>
      <c r="P49" s="2401" t="s">
        <v>2409</v>
      </c>
      <c r="Q49" s="2402" t="e">
        <f ca="1">J60</f>
        <v>#DIV/0!</v>
      </c>
      <c r="R49" s="2401" t="s">
        <v>2385</v>
      </c>
    </row>
    <row r="50" spans="1:18" s="2061" customFormat="1" ht="18" customHeight="1" thickBot="1">
      <c r="A50" s="786"/>
      <c r="B50" s="787"/>
      <c r="C50" s="788"/>
      <c r="D50" s="789"/>
      <c r="E50" s="784" t="s">
        <v>1741</v>
      </c>
      <c r="F50" s="785">
        <f ca="1">F8</f>
        <v>0</v>
      </c>
      <c r="G50" s="2097"/>
      <c r="H50" s="2095"/>
      <c r="I50" s="3128" t="s">
        <v>2350</v>
      </c>
      <c r="J50" s="3156">
        <f>SUMPRODUCT((I63:I65=J47)*(J62:L62=J48)*(J63:L65))</f>
        <v>0</v>
      </c>
      <c r="K50" s="3161" t="s">
        <v>2356</v>
      </c>
      <c r="L50" s="2386"/>
      <c r="O50" s="2403" t="s">
        <v>2386</v>
      </c>
      <c r="P50" s="2401" t="s">
        <v>2410</v>
      </c>
      <c r="Q50" s="2402">
        <f ca="1">C29</f>
        <v>0</v>
      </c>
      <c r="R50" s="2401" t="s">
        <v>2383</v>
      </c>
    </row>
    <row r="51" spans="1:18" s="2061" customFormat="1" ht="18" customHeight="1" thickBot="1">
      <c r="A51" s="786"/>
      <c r="B51" s="787"/>
      <c r="C51" s="788"/>
      <c r="D51" s="789"/>
      <c r="E51" s="784" t="s">
        <v>640</v>
      </c>
      <c r="F51" s="2373"/>
      <c r="H51" s="2095"/>
      <c r="I51" s="3153" t="s">
        <v>2351</v>
      </c>
      <c r="J51" s="3157">
        <f>IF(J49="",J50,J49+J50-YEAR('数据-取费表'!B2))</f>
        <v>0</v>
      </c>
      <c r="K51" s="3128" t="s">
        <v>2357</v>
      </c>
      <c r="L51" s="3164">
        <f ca="1">ROUND(-PV(INDIRECT("'数据-取费表'!h"&amp;$G$1),L48,(C39-C13*J36),0),0)</f>
        <v>0</v>
      </c>
      <c r="O51" s="2403" t="s">
        <v>2387</v>
      </c>
      <c r="P51" s="2401" t="s">
        <v>2388</v>
      </c>
      <c r="Q51" s="2404" t="e">
        <f ca="1">J58</f>
        <v>#DIV/0!</v>
      </c>
      <c r="R51" s="2405"/>
    </row>
    <row r="52" spans="1:18" s="2061" customFormat="1" ht="18" customHeight="1" thickBot="1">
      <c r="A52" s="781" t="s">
        <v>2539</v>
      </c>
      <c r="B52" s="2496" t="s">
        <v>2462</v>
      </c>
      <c r="C52" s="799">
        <f ca="1">ROUND(IF(F52="押一",C48/12*F11,IF(F52="押二",C48/12*2*F11,IF(F52="押三",C48/12*3*F11,C53*F11))),0)</f>
        <v>0</v>
      </c>
      <c r="D52" s="2503" t="s">
        <v>2981</v>
      </c>
      <c r="E52" s="2500" t="s">
        <v>2467</v>
      </c>
      <c r="F52" s="2623"/>
      <c r="I52" s="3154" t="s">
        <v>2424</v>
      </c>
      <c r="J52" s="2387"/>
      <c r="K52" s="3154"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5" t="s">
        <v>2985</v>
      </c>
      <c r="J53" s="3158">
        <f ca="1">IF(M47="住宅",IF(D1="——",MAX(J51,L48),MAX(J51,L48-'数据-取费表'!B20)),IF(D1="——",MIN(J51,L48),MIN(J51,L48-'数据-取费表'!B20)))</f>
        <v>0</v>
      </c>
      <c r="K53" s="3440" t="s">
        <v>2972</v>
      </c>
      <c r="L53" s="3441"/>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#DIV/0!</v>
      </c>
      <c r="R54" s="2405" t="s">
        <v>2395</v>
      </c>
    </row>
    <row r="55" spans="1:18" s="2061"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8"/>
      <c r="O55" s="2406" t="s">
        <v>2414</v>
      </c>
      <c r="P55" s="1593"/>
      <c r="Q55" s="1605"/>
      <c r="R55" s="1593"/>
    </row>
    <row r="56" spans="1:18" s="2061" customFormat="1" ht="42.75" customHeight="1" thickBot="1">
      <c r="A56" s="1651"/>
      <c r="B56" s="2233" t="s">
        <v>2305</v>
      </c>
      <c r="C56" s="53">
        <f ca="1">C29</f>
        <v>0</v>
      </c>
      <c r="D56" s="2641"/>
      <c r="E56" s="784"/>
      <c r="F56" s="809"/>
      <c r="I56" s="3169" t="s">
        <v>2360</v>
      </c>
      <c r="J56" s="3179"/>
      <c r="K56" s="3128" t="s">
        <v>2365</v>
      </c>
      <c r="L56" s="1910">
        <f ca="1">IF(L48&lt;J51,"——",L48-J51)</f>
        <v>0</v>
      </c>
      <c r="O56" s="2397" t="s">
        <v>2378</v>
      </c>
      <c r="P56" s="2398" t="s">
        <v>2379</v>
      </c>
      <c r="Q56" s="2399" t="s">
        <v>2380</v>
      </c>
      <c r="R56" s="2398" t="s">
        <v>2381</v>
      </c>
    </row>
    <row r="57" spans="1:18" s="2061" customFormat="1" ht="28.5" customHeight="1" thickBot="1">
      <c r="A57" s="797" t="s">
        <v>1749</v>
      </c>
      <c r="B57" s="798" t="s">
        <v>651</v>
      </c>
      <c r="C57" s="799">
        <f ca="1">ROUND(C58+C63+C64+C65,0)</f>
        <v>0</v>
      </c>
      <c r="D57" s="26" t="s">
        <v>1751</v>
      </c>
      <c r="E57" s="2642"/>
      <c r="F57" s="56"/>
      <c r="I57" s="3170" t="s">
        <v>2361</v>
      </c>
      <c r="J57" s="3171">
        <f ca="1">IF(OR(M47="住宅",J51&lt;L48,J56="是"),"——",J51-L48)</f>
        <v>0</v>
      </c>
      <c r="K57" s="3128" t="s">
        <v>2366</v>
      </c>
      <c r="L57" s="1910">
        <f ca="1">IF(L48&lt;J51,"——",IF(L55="比较法",L49,IF(L55="基准地价",L50,L51)))</f>
        <v>0</v>
      </c>
      <c r="O57" s="2400" t="s">
        <v>2382</v>
      </c>
      <c r="P57" s="2401" t="s">
        <v>2412</v>
      </c>
      <c r="Q57" s="2402" t="e">
        <f ca="1">C40+J29</f>
        <v>#DIV/0!</v>
      </c>
      <c r="R57" s="2401" t="s">
        <v>2383</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2362</v>
      </c>
      <c r="J58" s="3104" t="e">
        <f ca="1">IF(J55&lt;0.4,0.4,J55)</f>
        <v>#DIV/0!</v>
      </c>
      <c r="K58" s="3128" t="s">
        <v>2367</v>
      </c>
      <c r="L58" s="1910" t="e">
        <f ca="1">ROUND(POWER(1+L52,L47-L48)*(POWER(1+L52,L48)-1)/(POWER(1+L52,L47)-1),4)</f>
        <v>#DIV/0!</v>
      </c>
      <c r="O58" s="2400" t="s">
        <v>2384</v>
      </c>
      <c r="P58" s="2401" t="s">
        <v>2415</v>
      </c>
      <c r="Q58" s="2402" t="e">
        <f ca="1">L60</f>
        <v>#DIV/0!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2</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5" t="s">
        <v>2370</v>
      </c>
      <c r="J62" s="3176" t="s">
        <v>2371</v>
      </c>
      <c r="K62" s="3176" t="s">
        <v>2372</v>
      </c>
      <c r="L62" s="3176" t="s">
        <v>2353</v>
      </c>
      <c r="M62" s="3177" t="s">
        <v>2948</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f ca="1">ROUND(C56*F63,1)</f>
        <v>0</v>
      </c>
      <c r="D63" s="2641" t="s">
        <v>1804</v>
      </c>
      <c r="E63" s="784" t="s">
        <v>1748</v>
      </c>
      <c r="F63" s="817">
        <f t="shared" ca="1" si="0"/>
        <v>0</v>
      </c>
      <c r="I63" s="3175" t="s">
        <v>2373</v>
      </c>
      <c r="J63" s="3176">
        <v>70</v>
      </c>
      <c r="K63" s="3176">
        <v>50</v>
      </c>
      <c r="L63" s="3176">
        <v>80</v>
      </c>
      <c r="M63" s="3178">
        <v>0.02</v>
      </c>
      <c r="O63" s="2400" t="s">
        <v>2394</v>
      </c>
      <c r="P63" s="2401" t="s">
        <v>2411</v>
      </c>
      <c r="Q63" s="2402" t="e">
        <f ca="1">Q57+Q58</f>
        <v>#DIV/0!</v>
      </c>
      <c r="R63" s="2405" t="s">
        <v>2395</v>
      </c>
    </row>
    <row r="64" spans="1:18" s="2061" customFormat="1" ht="16.5" thickBot="1">
      <c r="A64" s="1650" t="s">
        <v>1891</v>
      </c>
      <c r="B64" s="784" t="s">
        <v>679</v>
      </c>
      <c r="C64" s="53">
        <f ca="1">ROUND(C55*F64,1)</f>
        <v>0</v>
      </c>
      <c r="D64" s="2641" t="s">
        <v>680</v>
      </c>
      <c r="E64" s="784" t="s">
        <v>1748</v>
      </c>
      <c r="F64" s="818">
        <f t="shared" ca="1" si="0"/>
        <v>0</v>
      </c>
      <c r="I64" s="3175" t="s">
        <v>2374</v>
      </c>
      <c r="J64" s="3176">
        <v>50</v>
      </c>
      <c r="K64" s="3176">
        <v>35</v>
      </c>
      <c r="L64" s="3176">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5" t="s">
        <v>2375</v>
      </c>
      <c r="J65" s="3176">
        <v>40</v>
      </c>
      <c r="K65" s="3176">
        <v>30</v>
      </c>
      <c r="L65" s="3176">
        <v>50</v>
      </c>
      <c r="M65" s="3178">
        <v>0.02</v>
      </c>
      <c r="O65" s="2397" t="s">
        <v>2378</v>
      </c>
      <c r="P65" s="2398" t="s">
        <v>2379</v>
      </c>
      <c r="Q65" s="2399" t="s">
        <v>2380</v>
      </c>
      <c r="R65" s="2398" t="s">
        <v>2381</v>
      </c>
    </row>
    <row r="66" spans="1:18" s="2061" customFormat="1" ht="24.75" thickBot="1">
      <c r="A66" s="797" t="s">
        <v>1777</v>
      </c>
      <c r="B66" s="3012" t="s">
        <v>2825</v>
      </c>
      <c r="C66" s="799">
        <f ca="1">C47-C57</f>
        <v>0</v>
      </c>
      <c r="D66" s="2640" t="s">
        <v>700</v>
      </c>
      <c r="E66" s="2639"/>
      <c r="F66" s="820"/>
      <c r="K66" s="2088"/>
      <c r="O66" s="2400" t="s">
        <v>2382</v>
      </c>
      <c r="P66" s="2401" t="s">
        <v>2412</v>
      </c>
      <c r="Q66" s="2402" t="e">
        <f ca="1">C40+J29</f>
        <v>#DIV/0!</v>
      </c>
      <c r="R66" s="2401" t="s">
        <v>2383</v>
      </c>
    </row>
    <row r="67" spans="1:18" s="2061" customFormat="1" ht="20.25" thickBot="1">
      <c r="A67" s="781" t="s">
        <v>1781</v>
      </c>
      <c r="B67" s="2234" t="s">
        <v>2304</v>
      </c>
      <c r="C67" s="783" t="e">
        <f ca="1">ROUND(C66*(1-((1+F69)/(1+F67))^F68)/(F67-F69),0)</f>
        <v>#DIV/0!</v>
      </c>
      <c r="D67" s="814" t="s">
        <v>704</v>
      </c>
      <c r="E67" s="784" t="s">
        <v>705</v>
      </c>
      <c r="F67" s="794">
        <f ca="1">F40</f>
        <v>0</v>
      </c>
      <c r="K67" s="2088"/>
      <c r="O67" s="2400" t="s">
        <v>2384</v>
      </c>
      <c r="P67" s="2401" t="s">
        <v>2415</v>
      </c>
      <c r="Q67" s="2402" t="e">
        <f ca="1">L60</f>
        <v>#DIV/0!</v>
      </c>
      <c r="R67" s="2405" t="s">
        <v>2417</v>
      </c>
    </row>
    <row r="68" spans="1:18" ht="21.75" thickBot="1">
      <c r="A68" s="786"/>
      <c r="B68" s="787"/>
      <c r="C68" s="788"/>
      <c r="D68" s="821" t="s">
        <v>1809</v>
      </c>
      <c r="E68" s="784" t="s">
        <v>1785</v>
      </c>
      <c r="F68" s="822">
        <f ca="1">F41</f>
        <v>0</v>
      </c>
      <c r="O68" s="2403" t="s">
        <v>2386</v>
      </c>
      <c r="P68" s="2401" t="s">
        <v>2416</v>
      </c>
      <c r="Q68" s="2407">
        <f ca="1">L51</f>
        <v>0</v>
      </c>
      <c r="R68" s="2408" t="s">
        <v>2419</v>
      </c>
    </row>
    <row r="69" spans="1:18" ht="20.25" thickBot="1">
      <c r="A69" s="790"/>
      <c r="B69" s="791"/>
      <c r="C69" s="792"/>
      <c r="D69" s="816"/>
      <c r="E69" s="784" t="s">
        <v>710</v>
      </c>
      <c r="F69" s="2373"/>
      <c r="O69" s="2403" t="s">
        <v>2387</v>
      </c>
      <c r="P69" s="2409" t="s">
        <v>2401</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2402</v>
      </c>
      <c r="P70" s="2409" t="s">
        <v>2403</v>
      </c>
      <c r="Q70" s="2402">
        <f ca="1">C39</f>
        <v>0</v>
      </c>
      <c r="R70" s="2401" t="s">
        <v>2383</v>
      </c>
    </row>
    <row r="71" spans="1:18" ht="15.75" thickBot="1">
      <c r="O71" s="2403" t="s">
        <v>2404</v>
      </c>
      <c r="P71" s="2409" t="s">
        <v>2405</v>
      </c>
      <c r="Q71" s="2402">
        <f ca="1">C13</f>
        <v>0</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#DIV/0!</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3.5"/>
  <cols>
    <col min="1" max="1" width="10.5" customWidth="1"/>
    <col min="2" max="2" width="12.875" customWidth="1"/>
    <col min="3" max="3" width="8.75" customWidth="1"/>
  </cols>
  <sheetData>
    <row r="1" spans="1:9" ht="14.25">
      <c r="A1" s="3458" t="s">
        <v>2474</v>
      </c>
      <c r="B1" s="3459"/>
      <c r="C1" s="3460"/>
      <c r="D1" s="3461">
        <f>SUM(I10,I15,I20,I21,I23)</f>
        <v>0</v>
      </c>
      <c r="E1" s="3461"/>
      <c r="F1" s="3461"/>
      <c r="G1" s="3461"/>
      <c r="H1" s="3461"/>
      <c r="I1" s="3462"/>
    </row>
    <row r="2" spans="1:9">
      <c r="A2" s="3448" t="s">
        <v>2475</v>
      </c>
      <c r="B2" s="3449" t="s">
        <v>2476</v>
      </c>
      <c r="C2" s="3449"/>
      <c r="D2" s="2509" t="s">
        <v>2477</v>
      </c>
      <c r="E2" s="2509" t="s">
        <v>2478</v>
      </c>
      <c r="F2" s="2509" t="s">
        <v>2479</v>
      </c>
      <c r="G2" s="2509" t="s">
        <v>2480</v>
      </c>
      <c r="H2" s="2509" t="s">
        <v>2481</v>
      </c>
      <c r="I2" s="2510" t="s">
        <v>2482</v>
      </c>
    </row>
    <row r="3" spans="1:9">
      <c r="A3" s="3448"/>
      <c r="B3" s="3449" t="s">
        <v>2483</v>
      </c>
      <c r="C3" s="3449"/>
      <c r="D3" s="2511"/>
      <c r="E3" s="2509"/>
      <c r="F3" s="2512"/>
      <c r="G3" s="2512"/>
      <c r="H3" s="2513"/>
      <c r="I3" s="2514">
        <f>ROUND(D3*E3*F3*G3*H3/10000,0)</f>
        <v>0</v>
      </c>
    </row>
    <row r="4" spans="1:9">
      <c r="A4" s="3448"/>
      <c r="B4" s="3449" t="s">
        <v>2484</v>
      </c>
      <c r="C4" s="3449"/>
      <c r="D4" s="2511"/>
      <c r="E4" s="2509"/>
      <c r="F4" s="2512"/>
      <c r="G4" s="2512"/>
      <c r="H4" s="2513"/>
      <c r="I4" s="2514">
        <f t="shared" ref="I4:I9" si="0">ROUND(D4*E4*F4*G4*H4/10000,0)</f>
        <v>0</v>
      </c>
    </row>
    <row r="5" spans="1:9">
      <c r="A5" s="3448"/>
      <c r="B5" s="3449" t="s">
        <v>2485</v>
      </c>
      <c r="C5" s="3449"/>
      <c r="D5" s="2511"/>
      <c r="E5" s="2509"/>
      <c r="F5" s="2512"/>
      <c r="G5" s="2512"/>
      <c r="H5" s="2513"/>
      <c r="I5" s="2514">
        <f t="shared" si="0"/>
        <v>0</v>
      </c>
    </row>
    <row r="6" spans="1:9">
      <c r="A6" s="3448"/>
      <c r="B6" s="3449" t="s">
        <v>2486</v>
      </c>
      <c r="C6" s="3449"/>
      <c r="D6" s="2511"/>
      <c r="E6" s="2509"/>
      <c r="F6" s="2512"/>
      <c r="G6" s="2512"/>
      <c r="H6" s="2513"/>
      <c r="I6" s="2514">
        <f t="shared" si="0"/>
        <v>0</v>
      </c>
    </row>
    <row r="7" spans="1:9">
      <c r="A7" s="3448"/>
      <c r="B7" s="3449" t="s">
        <v>2487</v>
      </c>
      <c r="C7" s="3449"/>
      <c r="D7" s="2511"/>
      <c r="E7" s="2509"/>
      <c r="F7" s="2512"/>
      <c r="G7" s="2512"/>
      <c r="H7" s="2513"/>
      <c r="I7" s="2514">
        <f t="shared" si="0"/>
        <v>0</v>
      </c>
    </row>
    <row r="8" spans="1:9">
      <c r="A8" s="3448"/>
      <c r="B8" s="3449" t="s">
        <v>2488</v>
      </c>
      <c r="C8" s="3449"/>
      <c r="D8" s="2511"/>
      <c r="E8" s="2509"/>
      <c r="F8" s="2512"/>
      <c r="G8" s="2512"/>
      <c r="H8" s="2513"/>
      <c r="I8" s="2514">
        <f t="shared" si="0"/>
        <v>0</v>
      </c>
    </row>
    <row r="9" spans="1:9">
      <c r="A9" s="3448"/>
      <c r="B9" s="3449" t="s">
        <v>2489</v>
      </c>
      <c r="C9" s="3449"/>
      <c r="D9" s="2511"/>
      <c r="E9" s="2509"/>
      <c r="F9" s="2512"/>
      <c r="G9" s="2512"/>
      <c r="H9" s="2513"/>
      <c r="I9" s="2514">
        <f t="shared" si="0"/>
        <v>0</v>
      </c>
    </row>
    <row r="10" spans="1:9">
      <c r="A10" s="3448"/>
      <c r="B10" s="3450" t="s">
        <v>2490</v>
      </c>
      <c r="C10" s="3450"/>
      <c r="D10" s="2515">
        <v>527</v>
      </c>
      <c r="E10" s="2515" t="e">
        <f>ROUND(D1*10000/D10/H9,0)</f>
        <v>#DIV/0!</v>
      </c>
      <c r="F10" s="2516"/>
      <c r="G10" s="2516"/>
      <c r="H10" s="2517"/>
      <c r="I10" s="2518">
        <f>SUM(I3:I9)</f>
        <v>0</v>
      </c>
    </row>
    <row r="11" spans="1:9" ht="14.25">
      <c r="A11" s="3448" t="s">
        <v>2491</v>
      </c>
      <c r="B11" s="3449" t="s">
        <v>2492</v>
      </c>
      <c r="C11" s="3449"/>
      <c r="D11" s="2511" t="s">
        <v>2493</v>
      </c>
      <c r="E11" s="2511" t="s">
        <v>2494</v>
      </c>
      <c r="F11" s="2512" t="s">
        <v>2495</v>
      </c>
      <c r="G11" s="2512" t="s">
        <v>2496</v>
      </c>
      <c r="H11" s="2519" t="s">
        <v>2497</v>
      </c>
      <c r="I11" s="2510" t="s">
        <v>2498</v>
      </c>
    </row>
    <row r="12" spans="1:9">
      <c r="A12" s="3448"/>
      <c r="B12" s="3449" t="s">
        <v>2499</v>
      </c>
      <c r="C12" s="3449"/>
      <c r="D12" s="2511"/>
      <c r="E12" s="2511"/>
      <c r="F12" s="2512"/>
      <c r="G12" s="2513"/>
      <c r="H12" s="2520"/>
      <c r="I12" s="2510">
        <f>ROUND(D12*E12*F12*G12/10000,0)</f>
        <v>0</v>
      </c>
    </row>
    <row r="13" spans="1:9">
      <c r="A13" s="3448"/>
      <c r="B13" s="3449" t="s">
        <v>2500</v>
      </c>
      <c r="C13" s="3449"/>
      <c r="D13" s="2511"/>
      <c r="E13" s="2511"/>
      <c r="F13" s="2512"/>
      <c r="G13" s="2513"/>
      <c r="H13" s="2520"/>
      <c r="I13" s="2510">
        <f>ROUND(D13*E13*F13*G13/10000,0)</f>
        <v>0</v>
      </c>
    </row>
    <row r="14" spans="1:9">
      <c r="A14" s="3448"/>
      <c r="B14" s="3449" t="s">
        <v>2501</v>
      </c>
      <c r="C14" s="3449"/>
      <c r="D14" s="2511"/>
      <c r="E14" s="2511"/>
      <c r="F14" s="2512"/>
      <c r="G14" s="2513"/>
      <c r="H14" s="2520"/>
      <c r="I14" s="2510">
        <f>ROUND(D14*E14*F14*G14/10000,0)</f>
        <v>0</v>
      </c>
    </row>
    <row r="15" spans="1:9">
      <c r="A15" s="3448"/>
      <c r="B15" s="3450" t="s">
        <v>2490</v>
      </c>
      <c r="C15" s="3450"/>
      <c r="D15" s="2515"/>
      <c r="E15" s="2515">
        <f>SUM(E12:E14)</f>
        <v>0</v>
      </c>
      <c r="F15" s="2516"/>
      <c r="G15" s="2513"/>
      <c r="H15" s="2520"/>
      <c r="I15" s="2521">
        <f>SUM(I12:I14)</f>
        <v>0</v>
      </c>
    </row>
    <row r="16" spans="1:9" ht="24">
      <c r="A16" s="3448" t="s">
        <v>2502</v>
      </c>
      <c r="B16" s="3449" t="s">
        <v>2503</v>
      </c>
      <c r="C16" s="3449"/>
      <c r="D16" s="2511" t="s">
        <v>2504</v>
      </c>
      <c r="E16" s="2522" t="s">
        <v>2505</v>
      </c>
      <c r="F16" s="2512" t="s">
        <v>2506</v>
      </c>
      <c r="G16" s="2513" t="s">
        <v>2496</v>
      </c>
      <c r="H16" s="2519" t="s">
        <v>2497</v>
      </c>
      <c r="I16" s="2510" t="s">
        <v>2498</v>
      </c>
    </row>
    <row r="17" spans="1:9" ht="14.25">
      <c r="A17" s="3448"/>
      <c r="B17" s="3449" t="s">
        <v>2507</v>
      </c>
      <c r="C17" s="3449"/>
      <c r="D17" s="2511"/>
      <c r="E17" s="2511"/>
      <c r="F17" s="2512"/>
      <c r="G17" s="2513"/>
      <c r="H17" s="2523"/>
      <c r="I17" s="2524">
        <f>ROUND(D17*E17*F17*G17/10000,0)</f>
        <v>0</v>
      </c>
    </row>
    <row r="18" spans="1:9" ht="14.25">
      <c r="A18" s="3448"/>
      <c r="B18" s="3449" t="s">
        <v>2508</v>
      </c>
      <c r="C18" s="3449"/>
      <c r="D18" s="2511"/>
      <c r="E18" s="2511"/>
      <c r="F18" s="2512"/>
      <c r="G18" s="2513"/>
      <c r="H18" s="2523"/>
      <c r="I18" s="2524">
        <f>ROUND(D18*E18*F18*G18/10000,0)</f>
        <v>0</v>
      </c>
    </row>
    <row r="19" spans="1:9" ht="14.25">
      <c r="A19" s="3448"/>
      <c r="B19" s="3449" t="s">
        <v>2509</v>
      </c>
      <c r="C19" s="3449"/>
      <c r="D19" s="2511"/>
      <c r="E19" s="2511"/>
      <c r="F19" s="2512"/>
      <c r="G19" s="2513"/>
      <c r="H19" s="2523"/>
      <c r="I19" s="2524">
        <f>ROUND(D19*E19*F19*G19/10000,0)</f>
        <v>0</v>
      </c>
    </row>
    <row r="20" spans="1:9">
      <c r="A20" s="3448"/>
      <c r="B20" s="3450" t="s">
        <v>2490</v>
      </c>
      <c r="C20" s="3450"/>
      <c r="D20" s="2515">
        <f>SUM(D17:D19)</f>
        <v>0</v>
      </c>
      <c r="E20" s="2515"/>
      <c r="F20" s="2516"/>
      <c r="G20" s="2513"/>
      <c r="H20" s="2520"/>
      <c r="I20" s="2521">
        <f>SUM(I17:I19)</f>
        <v>0</v>
      </c>
    </row>
    <row r="21" spans="1:9">
      <c r="A21" s="3448" t="s">
        <v>2510</v>
      </c>
      <c r="B21" s="3451"/>
      <c r="C21" s="3451"/>
      <c r="D21" s="3451"/>
      <c r="E21" s="3451"/>
      <c r="F21" s="3451"/>
      <c r="G21" s="3451"/>
      <c r="H21" s="2525">
        <v>0.1</v>
      </c>
      <c r="I21" s="2518">
        <f>ROUND(I10*H21,0)</f>
        <v>0</v>
      </c>
    </row>
    <row r="22" spans="1:9" ht="14.25">
      <c r="A22" s="3452" t="s">
        <v>2511</v>
      </c>
      <c r="B22" s="3453"/>
      <c r="C22" s="3454"/>
      <c r="D22" s="2526" t="s">
        <v>2512</v>
      </c>
      <c r="E22" s="2526" t="s">
        <v>2513</v>
      </c>
      <c r="F22" s="2527" t="s">
        <v>2514</v>
      </c>
      <c r="G22" s="2527" t="s">
        <v>2515</v>
      </c>
      <c r="H22" s="2519" t="s">
        <v>2516</v>
      </c>
      <c r="I22" s="2510" t="s">
        <v>2517</v>
      </c>
    </row>
    <row r="23" spans="1:9" ht="14.25" thickBot="1">
      <c r="A23" s="3455"/>
      <c r="B23" s="3456"/>
      <c r="C23" s="3457"/>
      <c r="D23" s="2528"/>
      <c r="E23" s="2528"/>
      <c r="F23" s="2528"/>
      <c r="G23" s="2529"/>
      <c r="H23" s="2530"/>
      <c r="I23" s="2531">
        <f>ROUND(E23*D23*F23*(1-G23)/10000,0)</f>
        <v>0</v>
      </c>
    </row>
    <row r="26" spans="1:9">
      <c r="A26" s="2532" t="s">
        <v>2518</v>
      </c>
      <c r="B26" s="2532"/>
      <c r="C26" s="2532"/>
      <c r="D26" s="2532"/>
      <c r="E26" s="3445">
        <f>C27-C30-C31-C32</f>
        <v>0</v>
      </c>
      <c r="F26" s="3445"/>
      <c r="G26" s="3445"/>
      <c r="H26" s="3045" t="s">
        <v>2846</v>
      </c>
    </row>
    <row r="27" spans="1:9">
      <c r="A27" s="2533">
        <v>1</v>
      </c>
      <c r="B27" s="2534" t="s">
        <v>2519</v>
      </c>
      <c r="C27" s="2534"/>
      <c r="D27" s="2534"/>
      <c r="E27" s="3446"/>
      <c r="F27" s="3446"/>
      <c r="G27" s="3446"/>
    </row>
    <row r="28" spans="1:9">
      <c r="A28" s="2535" t="s">
        <v>2520</v>
      </c>
      <c r="B28" s="2534" t="s">
        <v>2521</v>
      </c>
      <c r="C28" s="2534"/>
      <c r="D28" s="2534"/>
      <c r="E28" s="3446"/>
      <c r="F28" s="3446"/>
      <c r="G28" s="3446"/>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47"/>
      <c r="F32" s="3447"/>
      <c r="G32" s="3447"/>
    </row>
    <row r="33" spans="1:7" hidden="1">
      <c r="A33" s="3442" t="s">
        <v>2529</v>
      </c>
      <c r="B33" s="3443"/>
      <c r="C33" s="3443"/>
      <c r="D33" s="3444"/>
      <c r="E33" s="3445"/>
      <c r="F33" s="3445"/>
      <c r="G33" s="3445"/>
    </row>
    <row r="34" spans="1:7" hidden="1">
      <c r="A34" s="2537">
        <v>1</v>
      </c>
      <c r="B34" s="2534" t="s">
        <v>2530</v>
      </c>
      <c r="C34" s="2534"/>
      <c r="D34" s="2534"/>
      <c r="E34" s="3446"/>
      <c r="F34" s="3446"/>
      <c r="G34" s="3446"/>
    </row>
    <row r="35" spans="1:7" hidden="1">
      <c r="A35" s="2537">
        <v>2</v>
      </c>
      <c r="B35" s="2534" t="s">
        <v>2531</v>
      </c>
      <c r="C35" s="2534"/>
      <c r="D35" s="2534"/>
      <c r="E35" s="3446"/>
      <c r="F35" s="3446"/>
      <c r="G35" s="3446"/>
    </row>
    <row r="36" spans="1:7" hidden="1">
      <c r="A36" s="2537">
        <v>3</v>
      </c>
      <c r="B36" s="2534" t="s">
        <v>2532</v>
      </c>
      <c r="C36" s="2534"/>
      <c r="D36" s="2534"/>
      <c r="E36" s="3446"/>
      <c r="F36" s="3446"/>
      <c r="G36" s="3446"/>
    </row>
    <row r="37" spans="1:7" hidden="1">
      <c r="A37" s="2537">
        <v>4</v>
      </c>
      <c r="B37" s="2534" t="s">
        <v>2533</v>
      </c>
      <c r="C37" s="2534"/>
      <c r="D37" s="2534"/>
      <c r="E37" s="3446"/>
      <c r="F37" s="3446"/>
      <c r="G37" s="3446"/>
    </row>
    <row r="38" spans="1:7" hidden="1">
      <c r="A38" s="3442" t="s">
        <v>2534</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104674</v>
      </c>
      <c r="E10" s="749">
        <f>'数据-取费表'!B31</f>
        <v>80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1047</v>
      </c>
      <c r="D12" s="758">
        <f>'数据-汇总表'!E5</f>
        <v>104674</v>
      </c>
      <c r="E12" s="757">
        <f>'数据-取费表'!B27</f>
        <v>100</v>
      </c>
      <c r="F12" s="755"/>
      <c r="G12" s="759"/>
    </row>
    <row r="13" spans="1:25" s="2185" customFormat="1" ht="13.5" customHeight="1">
      <c r="A13" s="2478" t="s">
        <v>2450</v>
      </c>
      <c r="B13" s="756" t="s">
        <v>612</v>
      </c>
      <c r="C13" s="757">
        <f>ROUND(D13*E13/10000,0)</f>
        <v>0</v>
      </c>
      <c r="D13" s="758">
        <f>'数据-汇总表'!E6</f>
        <v>0</v>
      </c>
      <c r="E13" s="757">
        <f>'数据-取费表'!B28</f>
        <v>100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48" sqref="E48:G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2997</v>
      </c>
      <c r="E1" s="2628"/>
      <c r="F1" s="2809" t="s">
        <v>3078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104674</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0" t="s">
        <v>522</v>
      </c>
      <c r="D4" s="3371"/>
      <c r="E4" s="3394" t="s">
        <v>523</v>
      </c>
      <c r="F4" s="3395"/>
      <c r="G4" s="3370" t="s">
        <v>524</v>
      </c>
      <c r="H4" s="3371"/>
      <c r="I4" s="3370" t="s">
        <v>525</v>
      </c>
      <c r="J4" s="3371"/>
      <c r="K4" s="853" t="s">
        <v>526</v>
      </c>
      <c r="L4" s="2135"/>
      <c r="M4" s="2136"/>
      <c r="N4" s="2136"/>
      <c r="O4" s="2136"/>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2933</v>
      </c>
      <c r="D5" s="3382"/>
      <c r="E5" s="3476" t="s">
        <v>3076</v>
      </c>
      <c r="F5" s="3397"/>
      <c r="G5" s="3478" t="s">
        <v>3079</v>
      </c>
      <c r="H5" s="3382"/>
      <c r="I5" s="3381" t="s">
        <v>2936</v>
      </c>
      <c r="J5" s="3382"/>
      <c r="K5" s="85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2937</v>
      </c>
      <c r="D6" s="3380"/>
      <c r="E6" s="3477" t="s">
        <v>3077</v>
      </c>
      <c r="F6" s="3399"/>
      <c r="G6" s="3379" t="s">
        <v>2937</v>
      </c>
      <c r="H6" s="3380"/>
      <c r="I6" s="3379" t="s">
        <v>2937</v>
      </c>
      <c r="J6" s="3380"/>
      <c r="K6" s="854" t="s">
        <v>528</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13"/>
      <c r="B7" s="2920" t="s">
        <v>529</v>
      </c>
      <c r="C7" s="519">
        <f>'数据-取费表'!B2</f>
        <v>43355</v>
      </c>
      <c r="D7" s="520">
        <v>100</v>
      </c>
      <c r="E7" s="521">
        <v>43344</v>
      </c>
      <c r="F7" s="522">
        <f>SUMIF(58:58,YEAR(E7)&amp;"-"&amp;MONTH(E7),59:59)</f>
        <v>100</v>
      </c>
      <c r="G7" s="521">
        <v>43344</v>
      </c>
      <c r="H7" s="520">
        <f>SUMIF(58:58,YEAR(G7)&amp;"-"&amp;MONTH(G7),59:59)</f>
        <v>100</v>
      </c>
      <c r="I7" s="523"/>
      <c r="J7" s="520">
        <f>SUMIF(58:58,YEAR(I7)&amp;"-"&amp;MONTH(I7),59:59)</f>
        <v>0</v>
      </c>
      <c r="K7" s="855"/>
      <c r="L7" s="2137"/>
      <c r="M7" s="2138"/>
      <c r="N7" s="2138"/>
      <c r="O7" s="2138"/>
      <c r="P7" s="3356" t="s">
        <v>530</v>
      </c>
      <c r="Q7" s="3365"/>
      <c r="R7" s="1569" t="s">
        <v>13</v>
      </c>
      <c r="S7" s="1570">
        <f t="shared" ref="S7:S15" si="0">F7</f>
        <v>100</v>
      </c>
      <c r="T7" s="1569" t="s">
        <v>13</v>
      </c>
      <c r="U7" s="1570">
        <f t="shared" ref="U7:U15" si="1">H7</f>
        <v>100</v>
      </c>
      <c r="V7" s="1569" t="s">
        <v>13</v>
      </c>
      <c r="W7" s="1570">
        <f t="shared" ref="W7:W15" si="2">J7</f>
        <v>0</v>
      </c>
      <c r="X7" s="1571"/>
      <c r="Y7" s="3356" t="s">
        <v>530</v>
      </c>
      <c r="Z7" s="3357"/>
      <c r="AA7" s="1572">
        <f>D7/F7</f>
        <v>1</v>
      </c>
      <c r="AB7" s="1572">
        <f>D7/H7</f>
        <v>1</v>
      </c>
      <c r="AC7" s="1572" t="e">
        <f>D7/J7</f>
        <v>#DIV/0!</v>
      </c>
    </row>
    <row r="8" spans="1:29" s="1220" customFormat="1" ht="15.75" thickBot="1">
      <c r="A8" s="2914"/>
      <c r="B8" s="2921" t="s">
        <v>531</v>
      </c>
      <c r="C8" s="525" t="s">
        <v>576</v>
      </c>
      <c r="D8" s="520">
        <v>100</v>
      </c>
      <c r="E8" s="856" t="s">
        <v>3068</v>
      </c>
      <c r="F8" s="522">
        <f>SUMIF(61:61,E8,62:62)-SUMIF(61:61,C8,62:62)+100</f>
        <v>100</v>
      </c>
      <c r="G8" s="856" t="s">
        <v>3068</v>
      </c>
      <c r="H8" s="520">
        <f>SUMIF(61:61,G8,62:62)-SUMIF(61:61,C8,62:62)+100</f>
        <v>100</v>
      </c>
      <c r="I8" s="856"/>
      <c r="J8" s="520">
        <f>SUMIF(61:61,I8,62:62)-SUMIF(61:61,C8,62:62)+100</f>
        <v>0</v>
      </c>
      <c r="K8" s="855"/>
      <c r="L8" s="2137"/>
      <c r="M8" s="2138"/>
      <c r="N8" s="2138"/>
      <c r="O8" s="2138"/>
      <c r="P8" s="3356" t="s">
        <v>533</v>
      </c>
      <c r="Q8" s="3357"/>
      <c r="R8" s="1569" t="s">
        <v>13</v>
      </c>
      <c r="S8" s="1570">
        <f t="shared" si="0"/>
        <v>100</v>
      </c>
      <c r="T8" s="1569" t="s">
        <v>13</v>
      </c>
      <c r="U8" s="1570">
        <f t="shared" si="1"/>
        <v>100</v>
      </c>
      <c r="V8" s="1569" t="s">
        <v>13</v>
      </c>
      <c r="W8" s="1570">
        <f t="shared" si="2"/>
        <v>0</v>
      </c>
      <c r="X8" s="1571"/>
      <c r="Y8" s="3356" t="s">
        <v>533</v>
      </c>
      <c r="Z8" s="3357"/>
      <c r="AA8" s="1572">
        <f t="shared" ref="AA8:AA46" si="3">D8/F8</f>
        <v>1</v>
      </c>
      <c r="AB8" s="1572">
        <f t="shared" ref="AB8:AB46" si="4">D8/H8</f>
        <v>1</v>
      </c>
      <c r="AC8" s="1572" t="e">
        <f t="shared" ref="AC8:AC46" si="5">D8/J8</f>
        <v>#DIV/0!</v>
      </c>
    </row>
    <row r="9" spans="1:29" s="1220" customFormat="1" ht="15">
      <c r="A9" s="2915"/>
      <c r="B9" s="2922" t="s">
        <v>2759</v>
      </c>
      <c r="C9" s="857"/>
      <c r="D9" s="254">
        <v>100</v>
      </c>
      <c r="E9" s="858"/>
      <c r="F9" s="859">
        <f>SUMIF(63:63,E9,64:64)-SUMIF(63:63,C9,64:64)+100</f>
        <v>100</v>
      </c>
      <c r="G9" s="858"/>
      <c r="H9" s="254">
        <f>SUMIF(63:63,G9,64:64)-SUMIF(63:63,C9,64:64)+100</f>
        <v>100</v>
      </c>
      <c r="I9" s="860"/>
      <c r="J9" s="254">
        <f>SUMIF(63:63,I9,64:64)-SUMIF(63:63,C9,64:64)+100</f>
        <v>100</v>
      </c>
      <c r="K9" s="855"/>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6"/>
      <c r="B10" s="2921" t="s">
        <v>2760</v>
      </c>
      <c r="C10" s="861" t="s">
        <v>3075</v>
      </c>
      <c r="D10" s="255">
        <v>100</v>
      </c>
      <c r="E10" s="862" t="s">
        <v>3075</v>
      </c>
      <c r="F10" s="863">
        <f>SUMIF(65:65,E10,66:66)-SUMIF(65:65,C10,66:66)+100</f>
        <v>100</v>
      </c>
      <c r="G10" s="862" t="s">
        <v>3075</v>
      </c>
      <c r="H10" s="255">
        <f>SUMIF(65:65,G10,66:66)-SUMIF(65:65,C10,66:66)+100</f>
        <v>100</v>
      </c>
      <c r="I10" s="861"/>
      <c r="J10" s="255">
        <f>SUMIF(65:65,I10,66:66)-SUMIF(65:65,C10,66:66)+100</f>
        <v>0</v>
      </c>
      <c r="K10" s="86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0</v>
      </c>
      <c r="X10" s="1571"/>
      <c r="Y10" s="3321"/>
      <c r="Z10" s="1150" t="str">
        <f t="shared" si="7"/>
        <v>土地使用年限（年）</v>
      </c>
      <c r="AA10" s="1572">
        <f t="shared" si="3"/>
        <v>1</v>
      </c>
      <c r="AB10" s="1572">
        <f t="shared" si="4"/>
        <v>1</v>
      </c>
      <c r="AC10" s="1572" t="e">
        <f t="shared" si="5"/>
        <v>#DIV/0!</v>
      </c>
    </row>
    <row r="11" spans="1:29" ht="15">
      <c r="A11" s="2917"/>
      <c r="B11" s="2921" t="s">
        <v>2761</v>
      </c>
      <c r="C11" s="533">
        <v>2</v>
      </c>
      <c r="D11" s="255">
        <v>100</v>
      </c>
      <c r="E11" s="534">
        <v>2</v>
      </c>
      <c r="F11" s="863">
        <f>LOOKUP(E11,68:68,69:69)-LOOKUP(C11,68:68,69:69)+100</f>
        <v>100</v>
      </c>
      <c r="G11" s="534">
        <v>1.6</v>
      </c>
      <c r="H11" s="255">
        <f>LOOKUP(G11,68:68,69:69)-LOOKUP(C11,68:68,69:69)+100</f>
        <v>101</v>
      </c>
      <c r="I11" s="533"/>
      <c r="J11" s="255">
        <f>LOOKUP(I11,68:68,69:69)-LOOKUP(C11,68:68,69:69)+100</f>
        <v>102</v>
      </c>
      <c r="K11" s="864">
        <v>1</v>
      </c>
      <c r="L11" s="2142"/>
      <c r="M11" s="2136"/>
      <c r="N11" s="2136"/>
      <c r="O11" s="2143"/>
      <c r="P11" s="3364"/>
      <c r="Q11" s="1151" t="str">
        <f t="shared" si="6"/>
        <v>容积率</v>
      </c>
      <c r="R11" s="1569" t="s">
        <v>11</v>
      </c>
      <c r="S11" s="1570">
        <f t="shared" si="0"/>
        <v>100</v>
      </c>
      <c r="T11" s="1569" t="s">
        <v>11</v>
      </c>
      <c r="U11" s="1570">
        <f t="shared" si="1"/>
        <v>101</v>
      </c>
      <c r="V11" s="1569" t="s">
        <v>11</v>
      </c>
      <c r="W11" s="1570">
        <f t="shared" si="2"/>
        <v>102</v>
      </c>
      <c r="X11" s="1571"/>
      <c r="Y11" s="3321"/>
      <c r="Z11" s="1150" t="str">
        <f t="shared" si="7"/>
        <v>容积率</v>
      </c>
      <c r="AA11" s="1572">
        <f t="shared" si="3"/>
        <v>1</v>
      </c>
      <c r="AB11" s="1572">
        <f t="shared" si="4"/>
        <v>0.99009900990099009</v>
      </c>
      <c r="AC11" s="1572">
        <f t="shared" si="5"/>
        <v>0.98039215686274506</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6</v>
      </c>
      <c r="K15" s="868">
        <v>2</v>
      </c>
      <c r="L15" s="2144"/>
      <c r="M15" s="2136"/>
      <c r="N15" s="2136"/>
      <c r="O15" s="2143"/>
      <c r="P15" s="3366" t="s">
        <v>540</v>
      </c>
      <c r="Q15" s="1573" t="str">
        <f t="shared" si="6"/>
        <v>居住社区成熟度</v>
      </c>
      <c r="R15" s="1574" t="s">
        <v>11</v>
      </c>
      <c r="S15" s="1575">
        <f t="shared" si="0"/>
        <v>102</v>
      </c>
      <c r="T15" s="1574" t="s">
        <v>11</v>
      </c>
      <c r="U15" s="1575">
        <f t="shared" si="1"/>
        <v>100</v>
      </c>
      <c r="V15" s="1574" t="s">
        <v>11</v>
      </c>
      <c r="W15" s="1575">
        <f t="shared" si="2"/>
        <v>6</v>
      </c>
      <c r="X15" s="1568"/>
      <c r="Y15" s="3366" t="s">
        <v>540</v>
      </c>
      <c r="Z15" s="1576" t="str">
        <f t="shared" si="7"/>
        <v>居住社区成熟度</v>
      </c>
      <c r="AA15" s="1577">
        <f t="shared" si="3"/>
        <v>0.98039215686274506</v>
      </c>
      <c r="AB15" s="1577">
        <f t="shared" si="4"/>
        <v>1</v>
      </c>
      <c r="AC15" s="1577">
        <f t="shared" si="5"/>
        <v>16.666666666666668</v>
      </c>
    </row>
    <row r="16" spans="1:29" ht="15">
      <c r="A16" s="532"/>
      <c r="B16" s="869"/>
      <c r="C16" s="576" t="s">
        <v>3073</v>
      </c>
      <c r="D16" s="555"/>
      <c r="E16" s="556" t="s">
        <v>3069</v>
      </c>
      <c r="F16" s="557"/>
      <c r="G16" s="558" t="s">
        <v>3073</v>
      </c>
      <c r="H16" s="559"/>
      <c r="I16" s="556"/>
      <c r="J16" s="555"/>
      <c r="K16" s="870"/>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6</v>
      </c>
      <c r="K19" s="868">
        <v>2</v>
      </c>
      <c r="L19" s="2144"/>
      <c r="M19" s="2136"/>
      <c r="N19" s="2136"/>
      <c r="O19" s="2143"/>
      <c r="P19" s="3367"/>
      <c r="Q19" s="1573" t="str">
        <f>B19</f>
        <v>公共配套设施</v>
      </c>
      <c r="R19" s="1574" t="s">
        <v>11</v>
      </c>
      <c r="S19" s="1575">
        <f>F19</f>
        <v>102</v>
      </c>
      <c r="T19" s="1574" t="s">
        <v>11</v>
      </c>
      <c r="U19" s="1575">
        <f>H19</f>
        <v>100</v>
      </c>
      <c r="V19" s="1574" t="s">
        <v>11</v>
      </c>
      <c r="W19" s="1575">
        <f>J19</f>
        <v>6</v>
      </c>
      <c r="X19" s="1568"/>
      <c r="Y19" s="3367"/>
      <c r="Z19" s="1576" t="str">
        <f>Q19</f>
        <v>公共配套设施</v>
      </c>
      <c r="AA19" s="1577">
        <f t="shared" si="3"/>
        <v>0.98039215686274506</v>
      </c>
      <c r="AB19" s="1577">
        <f t="shared" si="4"/>
        <v>1</v>
      </c>
      <c r="AC19" s="1577">
        <f t="shared" si="5"/>
        <v>16.666666666666668</v>
      </c>
    </row>
    <row r="20" spans="1:29" ht="15">
      <c r="A20" s="532"/>
      <c r="B20" s="595"/>
      <c r="C20" s="576" t="s">
        <v>3073</v>
      </c>
      <c r="D20" s="555"/>
      <c r="E20" s="556" t="s">
        <v>3069</v>
      </c>
      <c r="F20" s="557"/>
      <c r="G20" s="558" t="s">
        <v>3073</v>
      </c>
      <c r="H20" s="555"/>
      <c r="I20" s="556"/>
      <c r="J20" s="555"/>
      <c r="K20" s="870"/>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367"/>
      <c r="Q21" s="2581" t="str">
        <f>B21</f>
        <v>基础设施水平</v>
      </c>
      <c r="R21" s="1574" t="s">
        <v>11</v>
      </c>
      <c r="S21" s="1575">
        <f>F21</f>
        <v>100</v>
      </c>
      <c r="T21" s="1574" t="s">
        <v>11</v>
      </c>
      <c r="U21" s="1575">
        <f>H21</f>
        <v>100</v>
      </c>
      <c r="V21" s="1574" t="s">
        <v>11</v>
      </c>
      <c r="W21" s="1575">
        <f>J21</f>
        <v>100</v>
      </c>
      <c r="X21" s="2583"/>
      <c r="Y21" s="336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67"/>
      <c r="Q22" s="2581"/>
      <c r="R22" s="1574"/>
      <c r="S22" s="1575"/>
      <c r="T22" s="1574"/>
      <c r="U22" s="1575"/>
      <c r="V22" s="1574"/>
      <c r="W22" s="1575"/>
      <c r="X22" s="2583"/>
      <c r="Y22" s="3367"/>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100</v>
      </c>
      <c r="I23" s="562"/>
      <c r="J23" s="559">
        <f>SUMIF(84:84,I24,85:85)-SUMIF(84:84,C24,85:85)+100</f>
        <v>6</v>
      </c>
      <c r="K23" s="868">
        <v>2</v>
      </c>
      <c r="L23" s="2144"/>
      <c r="M23" s="2136"/>
      <c r="N23" s="2136"/>
      <c r="O23" s="2143"/>
      <c r="P23" s="3367"/>
      <c r="Q23" s="1573" t="str">
        <f>B23</f>
        <v>自然及人文环境</v>
      </c>
      <c r="R23" s="1574" t="s">
        <v>11</v>
      </c>
      <c r="S23" s="1575">
        <f>F23</f>
        <v>102</v>
      </c>
      <c r="T23" s="1574" t="s">
        <v>11</v>
      </c>
      <c r="U23" s="1575">
        <f>H23</f>
        <v>100</v>
      </c>
      <c r="V23" s="1574" t="s">
        <v>11</v>
      </c>
      <c r="W23" s="1575">
        <f>J23</f>
        <v>6</v>
      </c>
      <c r="X23" s="1568"/>
      <c r="Y23" s="3367"/>
      <c r="Z23" s="1576" t="str">
        <f>Q23</f>
        <v>自然及人文环境</v>
      </c>
      <c r="AA23" s="1577">
        <f t="shared" si="3"/>
        <v>0.98039215686274506</v>
      </c>
      <c r="AB23" s="1577">
        <f t="shared" si="4"/>
        <v>1</v>
      </c>
      <c r="AC23" s="1577">
        <f t="shared" si="5"/>
        <v>16.666666666666668</v>
      </c>
    </row>
    <row r="24" spans="1:29" ht="15">
      <c r="A24" s="532"/>
      <c r="B24" s="595"/>
      <c r="C24" s="576" t="s">
        <v>3073</v>
      </c>
      <c r="D24" s="555"/>
      <c r="E24" s="556" t="s">
        <v>3069</v>
      </c>
      <c r="F24" s="557"/>
      <c r="G24" s="558" t="s">
        <v>3073</v>
      </c>
      <c r="H24" s="555"/>
      <c r="I24" s="556"/>
      <c r="J24" s="555"/>
      <c r="K24" s="870"/>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f>'数据-汇总表'!E3</f>
        <v>104674</v>
      </c>
      <c r="D33" s="255">
        <v>100</v>
      </c>
      <c r="E33" s="534">
        <v>341859</v>
      </c>
      <c r="F33" s="863">
        <f>LOOKUP(E33,103:103,104:104)-LOOKUP(C33,103:103,104:104)+100</f>
        <v>101</v>
      </c>
      <c r="G33" s="533">
        <v>140000</v>
      </c>
      <c r="H33" s="255">
        <f>LOOKUP(G33,103:103,104:104)-LOOKUP(C33,103:103,104:104)+100</f>
        <v>100</v>
      </c>
      <c r="I33" s="534"/>
      <c r="J33" s="255">
        <f>LOOKUP(I33,103:103,104:104)-LOOKUP(C33,103:103,104:104)+100</f>
        <v>100</v>
      </c>
      <c r="K33" s="865"/>
      <c r="L33" s="2142"/>
      <c r="M33" s="2173"/>
      <c r="N33" s="2173"/>
      <c r="O33" s="2145"/>
      <c r="P33" s="3369"/>
      <c r="Q33" s="1606" t="str">
        <f t="shared" si="11"/>
        <v>项目建筑规模</v>
      </c>
      <c r="R33" s="1578" t="s">
        <v>11</v>
      </c>
      <c r="S33" s="1579">
        <f t="shared" si="12"/>
        <v>101</v>
      </c>
      <c r="T33" s="1578" t="s">
        <v>11</v>
      </c>
      <c r="U33" s="1579">
        <f t="shared" si="13"/>
        <v>100</v>
      </c>
      <c r="V33" s="1578" t="s">
        <v>11</v>
      </c>
      <c r="W33" s="1579">
        <f t="shared" si="14"/>
        <v>100</v>
      </c>
      <c r="X33" s="1580"/>
      <c r="Y33" s="3369"/>
      <c r="Z33" s="1581" t="str">
        <f t="shared" si="15"/>
        <v>项目建筑规模</v>
      </c>
      <c r="AA33" s="1577">
        <f t="shared" si="3"/>
        <v>0.99009900990099009</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7"/>
      <c r="M37" s="2138"/>
      <c r="N37" s="2138"/>
      <c r="O37" s="2139"/>
      <c r="P37" s="3369"/>
      <c r="Q37" s="1151" t="str">
        <f t="shared" si="11"/>
        <v>成新度</v>
      </c>
      <c r="R37" s="1569" t="s">
        <v>11</v>
      </c>
      <c r="S37" s="1570">
        <f t="shared" si="12"/>
        <v>100</v>
      </c>
      <c r="T37" s="1569" t="s">
        <v>11</v>
      </c>
      <c r="U37" s="1570">
        <f t="shared" si="13"/>
        <v>100</v>
      </c>
      <c r="V37" s="1569" t="s">
        <v>11</v>
      </c>
      <c r="W37" s="1570">
        <f t="shared" si="14"/>
        <v>100</v>
      </c>
      <c r="X37" s="1571"/>
      <c r="Y37" s="3369"/>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v>100</v>
      </c>
      <c r="D41" s="255">
        <v>100</v>
      </c>
      <c r="E41" s="534">
        <v>100</v>
      </c>
      <c r="F41" s="863">
        <f>SUMIF(120:120,E41,121:121)-SUMIF(120:120,C41,121:121)+100</f>
        <v>100</v>
      </c>
      <c r="G41" s="533">
        <v>260</v>
      </c>
      <c r="H41" s="255">
        <f>SUMIF(120:120,G41,121:121)-SUMIF(120:120,C41,121:121)+100</f>
        <v>96</v>
      </c>
      <c r="I41" s="586"/>
      <c r="J41" s="540">
        <f>SUMIF(120:120,I41,121:121)-SUMIF(120:120,C41,121:121)+100</f>
        <v>0</v>
      </c>
      <c r="K41" s="865"/>
      <c r="L41" s="2142"/>
      <c r="M41" s="2173"/>
      <c r="N41" s="2173"/>
      <c r="O41" s="2145"/>
      <c r="P41" s="3369"/>
      <c r="Q41" s="1606" t="str">
        <f t="shared" si="11"/>
        <v>单套/主力户型建筑面积</v>
      </c>
      <c r="R41" s="1578" t="s">
        <v>11</v>
      </c>
      <c r="S41" s="1579">
        <f t="shared" si="12"/>
        <v>100</v>
      </c>
      <c r="T41" s="1578" t="s">
        <v>11</v>
      </c>
      <c r="U41" s="1579">
        <f t="shared" si="13"/>
        <v>96</v>
      </c>
      <c r="V41" s="1578" t="s">
        <v>11</v>
      </c>
      <c r="W41" s="1579">
        <f t="shared" si="14"/>
        <v>0</v>
      </c>
      <c r="X41" s="1580"/>
      <c r="Y41" s="3369"/>
      <c r="Z41" s="1581" t="str">
        <f t="shared" si="15"/>
        <v>单套/主力户型建筑面积</v>
      </c>
      <c r="AA41" s="1577">
        <f t="shared" si="3"/>
        <v>1</v>
      </c>
      <c r="AB41" s="1577">
        <f t="shared" si="4"/>
        <v>1.0416666666666667</v>
      </c>
      <c r="AC41" s="1577" t="e">
        <f t="shared" si="5"/>
        <v>#DIV/0!</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3479" t="s">
        <v>3080</v>
      </c>
      <c r="C44" s="3480" t="s">
        <v>3082</v>
      </c>
      <c r="D44" s="255">
        <v>100</v>
      </c>
      <c r="E44" s="3480" t="s">
        <v>3083</v>
      </c>
      <c r="F44" s="863">
        <f>SUMIF(126:126,E44,127:127)-SUMIF(126:126,C44,127:127)+100</f>
        <v>100</v>
      </c>
      <c r="G44" s="3480" t="s">
        <v>3081</v>
      </c>
      <c r="H44" s="255">
        <f>SUMIF(126:126,G44,127:127)-SUMIF(126:126,C44,127:127)+100</f>
        <v>95</v>
      </c>
      <c r="I44" s="880"/>
      <c r="J44" s="255">
        <f>SUMIF(126:126,I44,127:127)-SUMIF(126:126,C44,127:127)+100</f>
        <v>0</v>
      </c>
      <c r="K44" s="865"/>
      <c r="L44" s="2137"/>
      <c r="M44" s="2138"/>
      <c r="N44" s="2138"/>
      <c r="O44" s="2139"/>
      <c r="P44" s="3369"/>
      <c r="Q44" s="1151" t="str">
        <f t="shared" si="11"/>
        <v>尾盘</v>
      </c>
      <c r="R44" s="1569" t="s">
        <v>11</v>
      </c>
      <c r="S44" s="1570">
        <f t="shared" si="12"/>
        <v>100</v>
      </c>
      <c r="T44" s="1569" t="s">
        <v>11</v>
      </c>
      <c r="U44" s="1570">
        <f t="shared" si="13"/>
        <v>95</v>
      </c>
      <c r="V44" s="1569" t="s">
        <v>11</v>
      </c>
      <c r="W44" s="1570">
        <f t="shared" si="14"/>
        <v>0</v>
      </c>
      <c r="X44" s="1571"/>
      <c r="Y44" s="3369"/>
      <c r="Z44" s="1150" t="str">
        <f t="shared" si="15"/>
        <v>尾盘</v>
      </c>
      <c r="AA44" s="1572">
        <f t="shared" si="3"/>
        <v>1</v>
      </c>
      <c r="AB44" s="1572">
        <f t="shared" si="4"/>
        <v>1.0526315789473684</v>
      </c>
      <c r="AC44" s="1572" t="e">
        <f t="shared" si="5"/>
        <v>#DIV/0!</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29" t="s">
        <v>9</v>
      </c>
      <c r="D47" s="2630"/>
      <c r="E47" s="2631">
        <v>8500</v>
      </c>
      <c r="F47" s="2632"/>
      <c r="G47" s="2633">
        <v>7200</v>
      </c>
      <c r="H47" s="2634"/>
      <c r="I47" s="2631"/>
      <c r="J47" s="2634"/>
      <c r="K47" s="1607"/>
      <c r="L47" s="2146"/>
      <c r="M47" s="2147"/>
      <c r="N47" s="2136"/>
      <c r="O47" s="2147"/>
      <c r="P47" s="3364" t="str">
        <f>A47</f>
        <v>成交单价（元/平方米）</v>
      </c>
      <c r="Q47" s="3364"/>
      <c r="R47" s="3464">
        <f>E47</f>
        <v>8500</v>
      </c>
      <c r="S47" s="3464"/>
      <c r="T47" s="3464">
        <f>G47</f>
        <v>7200</v>
      </c>
      <c r="U47" s="3464"/>
      <c r="V47" s="3464">
        <f>I47</f>
        <v>0</v>
      </c>
      <c r="W47" s="3464"/>
      <c r="X47" s="1560"/>
      <c r="Y47" s="1582"/>
      <c r="Z47" s="1560"/>
      <c r="AA47" s="1560"/>
      <c r="AB47" s="1560"/>
      <c r="AC47" s="1560"/>
    </row>
    <row r="48" spans="1:29" ht="15.75" thickBot="1">
      <c r="A48" s="615" t="s">
        <v>2763</v>
      </c>
      <c r="B48" s="888"/>
      <c r="C48" s="2635" t="e">
        <f>R49</f>
        <v>#DIV/0!</v>
      </c>
      <c r="D48" s="2636"/>
      <c r="E48" s="2637">
        <f>R48</f>
        <v>7930</v>
      </c>
      <c r="F48" s="2637"/>
      <c r="G48" s="2635">
        <f>T48</f>
        <v>7817</v>
      </c>
      <c r="H48" s="2636"/>
      <c r="I48" s="2637" t="e">
        <f>V48</f>
        <v>#DIV/0!</v>
      </c>
      <c r="J48" s="2636"/>
      <c r="K48" s="1608"/>
      <c r="L48" s="2146"/>
      <c r="M48" s="2147"/>
      <c r="N48" s="2147"/>
      <c r="O48" s="2147"/>
      <c r="P48" s="3364" t="str">
        <f>A48</f>
        <v>比较价格（元/平方米）</v>
      </c>
      <c r="Q48" s="3364"/>
      <c r="R48" s="3464">
        <f>IF(F1="售价",ROUND(PRODUCT(R47,AA7:AA46),0),ROUND(PRODUCT(R47,AA7:AA46),1))</f>
        <v>7930</v>
      </c>
      <c r="S48" s="3464"/>
      <c r="T48" s="3464">
        <f>IF(F1="售价",ROUND(PRODUCT(T47,AB7:AB46),0),ROUND(PRODUCT(T47,AB7:AB46),1))</f>
        <v>7817</v>
      </c>
      <c r="U48" s="3464"/>
      <c r="V48" s="3464" t="e">
        <f>IF(F1="售价",ROUND(PRODUCT(V47,AC7:AC46),0),ROUND(PRODUCT(V47,AC7:AC46),1))</f>
        <v>#DIV/0!</v>
      </c>
      <c r="W48" s="3464"/>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385" t="str">
        <f>A49</f>
        <v>估价对象XX用房的比较价格（楼面单价，元/平方米）</v>
      </c>
      <c r="Q49" s="3386"/>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7.1878940731399776E-2</v>
      </c>
      <c r="F52" s="627" t="str">
        <f>IF(OR(E52&gt;=0.3,E52&lt;=-0.3),"超过30%","")</f>
        <v/>
      </c>
      <c r="G52" s="626">
        <f>IF(G47&lt;G48,G48/G47-1,G47/G48-1)</f>
        <v>8.5694444444444517E-2</v>
      </c>
      <c r="H52" s="627" t="str">
        <f>IF(OR(G52&gt;=0.3,G52&lt;=-0.3),"超过30%","")</f>
        <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1.4455673532045576E-2</v>
      </c>
      <c r="F53" s="627" t="str">
        <f>IF(OR(E53&gt;=0.2,E53&lt;=-0.2),"超过20%","")</f>
        <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0.18055555555555558</v>
      </c>
      <c r="F54" s="627" t="str">
        <f>IF(OR(E54&gt;=0.3,E54&lt;=-0.3),"超过30%","")</f>
        <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541">
        <v>10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598"/>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30" thickTop="1" thickBot="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598">
        <v>0</v>
      </c>
      <c r="D103" s="598">
        <v>200000</v>
      </c>
      <c r="E103" s="598">
        <v>400000</v>
      </c>
      <c r="F103" s="598">
        <v>600000</v>
      </c>
      <c r="G103" s="598">
        <v>800000</v>
      </c>
      <c r="H103" s="598">
        <v>1000000</v>
      </c>
      <c r="I103" s="598">
        <v>1200000</v>
      </c>
      <c r="J103" s="598">
        <v>1400000</v>
      </c>
      <c r="K103" s="598">
        <v>1600000</v>
      </c>
      <c r="L103" s="598">
        <v>1800000</v>
      </c>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v>100</v>
      </c>
      <c r="D120" s="688"/>
      <c r="E120" s="688">
        <v>260</v>
      </c>
      <c r="F120" s="688">
        <v>300</v>
      </c>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c r="E121" s="692">
        <v>96</v>
      </c>
      <c r="F121" s="671">
        <v>94</v>
      </c>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尾盘</v>
      </c>
      <c r="C126" s="3481" t="s">
        <v>3082</v>
      </c>
      <c r="D126" s="3481" t="s">
        <v>3081</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0" t="s">
        <v>522</v>
      </c>
      <c r="D4" s="3371"/>
      <c r="E4" s="3394" t="s">
        <v>523</v>
      </c>
      <c r="F4" s="3395"/>
      <c r="G4" s="3370" t="s">
        <v>524</v>
      </c>
      <c r="H4" s="3371"/>
      <c r="I4" s="3370" t="s">
        <v>525</v>
      </c>
      <c r="J4" s="3371"/>
      <c r="K4" s="514" t="s">
        <v>526</v>
      </c>
      <c r="L4" s="2135"/>
      <c r="M4" s="2136"/>
      <c r="N4" s="2136"/>
      <c r="O4" s="2136"/>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1" t="s">
        <v>2933</v>
      </c>
      <c r="D5" s="3382"/>
      <c r="E5" s="3396" t="s">
        <v>2934</v>
      </c>
      <c r="F5" s="3397"/>
      <c r="G5" s="3381" t="s">
        <v>2935</v>
      </c>
      <c r="H5" s="3382"/>
      <c r="I5" s="3381" t="s">
        <v>2936</v>
      </c>
      <c r="J5" s="3382"/>
      <c r="K5" s="514"/>
      <c r="L5" s="2135"/>
      <c r="M5" s="2136"/>
      <c r="N5" s="2136"/>
      <c r="O5" s="2136"/>
      <c r="P5" s="3374"/>
      <c r="Q5" s="3375"/>
      <c r="R5" s="3360"/>
      <c r="S5" s="3361"/>
      <c r="T5" s="3360"/>
      <c r="U5" s="3361"/>
      <c r="V5" s="3378"/>
      <c r="W5" s="3378"/>
      <c r="X5" s="1568"/>
      <c r="Y5" s="3360"/>
      <c r="Z5" s="3361"/>
      <c r="AA5" s="3354"/>
      <c r="AB5" s="3378"/>
      <c r="AC5" s="3354"/>
    </row>
    <row r="6" spans="1:29" ht="15.75" thickBot="1">
      <c r="A6" s="517"/>
      <c r="B6" s="518"/>
      <c r="C6" s="3379" t="s">
        <v>2937</v>
      </c>
      <c r="D6" s="3380"/>
      <c r="E6" s="3398" t="s">
        <v>2937</v>
      </c>
      <c r="F6" s="3399"/>
      <c r="G6" s="3379" t="s">
        <v>2937</v>
      </c>
      <c r="H6" s="3380"/>
      <c r="I6" s="3379" t="s">
        <v>2937</v>
      </c>
      <c r="J6" s="3380"/>
      <c r="K6" s="514" t="s">
        <v>528</v>
      </c>
      <c r="L6" s="2135"/>
      <c r="M6" s="2136"/>
      <c r="N6" s="2136"/>
      <c r="O6" s="2136"/>
      <c r="P6" s="3376"/>
      <c r="Q6" s="3377"/>
      <c r="R6" s="3360"/>
      <c r="S6" s="3361"/>
      <c r="T6" s="3362"/>
      <c r="U6" s="3363"/>
      <c r="V6" s="3378"/>
      <c r="W6" s="3378"/>
      <c r="X6" s="1568"/>
      <c r="Y6" s="3362"/>
      <c r="Z6" s="3363"/>
      <c r="AA6" s="3355"/>
      <c r="AB6" s="3378"/>
      <c r="AC6" s="3355"/>
    </row>
    <row r="7" spans="1:29" s="1220" customFormat="1" ht="15.75" thickBot="1">
      <c r="A7" s="2913"/>
      <c r="B7" s="2920" t="s">
        <v>529</v>
      </c>
      <c r="C7" s="519">
        <f>'数据-取费表'!B2</f>
        <v>43355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7"/>
      <c r="Q21" s="2581" t="str">
        <f>B21</f>
        <v>基础设施水平</v>
      </c>
      <c r="R21" s="1574" t="s">
        <v>8</v>
      </c>
      <c r="S21" s="1575">
        <f>F21</f>
        <v>100</v>
      </c>
      <c r="T21" s="1574" t="s">
        <v>8</v>
      </c>
      <c r="U21" s="1575">
        <f>H21</f>
        <v>100</v>
      </c>
      <c r="V21" s="1574" t="s">
        <v>8</v>
      </c>
      <c r="W21" s="1575">
        <f>J21</f>
        <v>100</v>
      </c>
      <c r="X21" s="2583"/>
      <c r="Y21" s="3367"/>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67"/>
      <c r="Q22" s="2581"/>
      <c r="R22" s="1574"/>
      <c r="S22" s="1575"/>
      <c r="T22" s="1574"/>
      <c r="U22" s="1575"/>
      <c r="V22" s="1574"/>
      <c r="W22" s="1575"/>
      <c r="X22" s="2583"/>
      <c r="Y22" s="3367"/>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64" t="str">
        <f>A47</f>
        <v>成交单价（元/平方米）</v>
      </c>
      <c r="Q47" s="3364"/>
      <c r="R47" s="3464">
        <f>E47</f>
        <v>0</v>
      </c>
      <c r="S47" s="3464"/>
      <c r="T47" s="3464">
        <f>G47</f>
        <v>0</v>
      </c>
      <c r="U47" s="3464"/>
      <c r="V47" s="3464">
        <f>I47</f>
        <v>0</v>
      </c>
      <c r="W47" s="3464"/>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64" t="str">
        <f>A48</f>
        <v>比较价格（元/平方米）</v>
      </c>
      <c r="Q48" s="3364"/>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385" t="str">
        <f>A49</f>
        <v>估价对象XX用房的比较价格（楼面单价，元/平方米）</v>
      </c>
      <c r="Q49" s="3386"/>
      <c r="R49" s="3463" t="e">
        <f>IF(F1="售价",ROUND(AVERAGE(R48:V48),0),ROUND(AVERAGE(R48:V48),1))</f>
        <v>#DIV/0!</v>
      </c>
      <c r="S49" s="3463"/>
      <c r="T49" s="3463"/>
      <c r="U49" s="3463"/>
      <c r="V49" s="3463"/>
      <c r="W49" s="346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0" t="s">
        <v>522</v>
      </c>
      <c r="D4" s="3371"/>
      <c r="E4" s="3394" t="s">
        <v>523</v>
      </c>
      <c r="F4" s="3395"/>
      <c r="G4" s="3370" t="s">
        <v>524</v>
      </c>
      <c r="H4" s="3371"/>
      <c r="I4" s="3370" t="s">
        <v>525</v>
      </c>
      <c r="J4" s="3371"/>
      <c r="K4" s="514" t="s">
        <v>526</v>
      </c>
      <c r="L4" s="2135"/>
      <c r="M4" s="2136"/>
      <c r="N4" s="2136"/>
      <c r="O4" s="2136"/>
      <c r="P4" s="3466"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2933</v>
      </c>
      <c r="D5" s="3382"/>
      <c r="E5" s="3396" t="s">
        <v>2934</v>
      </c>
      <c r="F5" s="3397"/>
      <c r="G5" s="3381" t="s">
        <v>2935</v>
      </c>
      <c r="H5" s="3382"/>
      <c r="I5" s="3381" t="s">
        <v>2936</v>
      </c>
      <c r="J5" s="3382"/>
      <c r="K5" s="514"/>
      <c r="L5" s="2135"/>
      <c r="M5" s="2136"/>
      <c r="N5" s="2136"/>
      <c r="O5" s="2136"/>
      <c r="P5" s="3467"/>
      <c r="Q5" s="3375"/>
      <c r="R5" s="3360"/>
      <c r="S5" s="3361"/>
      <c r="T5" s="3360"/>
      <c r="U5" s="3361"/>
      <c r="V5" s="3378"/>
      <c r="W5" s="3378"/>
      <c r="X5" s="1568"/>
      <c r="Y5" s="3360"/>
      <c r="Z5" s="3361"/>
      <c r="AA5" s="3354"/>
      <c r="AB5" s="3354"/>
      <c r="AC5" s="3354"/>
    </row>
    <row r="6" spans="1:29" ht="15.75" thickBot="1">
      <c r="A6" s="517"/>
      <c r="B6" s="518"/>
      <c r="C6" s="3379" t="s">
        <v>2937</v>
      </c>
      <c r="D6" s="3380"/>
      <c r="E6" s="3398" t="s">
        <v>2937</v>
      </c>
      <c r="F6" s="3399"/>
      <c r="G6" s="3379" t="s">
        <v>2937</v>
      </c>
      <c r="H6" s="3380"/>
      <c r="I6" s="3379" t="s">
        <v>2937</v>
      </c>
      <c r="J6" s="3380"/>
      <c r="K6" s="514" t="s">
        <v>528</v>
      </c>
      <c r="L6" s="2135"/>
      <c r="M6" s="2136"/>
      <c r="N6" s="2136"/>
      <c r="O6" s="2136"/>
      <c r="P6" s="3468"/>
      <c r="Q6" s="3377"/>
      <c r="R6" s="3360"/>
      <c r="S6" s="3361"/>
      <c r="T6" s="3362"/>
      <c r="U6" s="3363"/>
      <c r="V6" s="3378"/>
      <c r="W6" s="3378"/>
      <c r="X6" s="1568"/>
      <c r="Y6" s="3362"/>
      <c r="Z6" s="3363"/>
      <c r="AA6" s="3355"/>
      <c r="AB6" s="3355"/>
      <c r="AC6" s="3355"/>
    </row>
    <row r="7" spans="1:29" s="1220" customFormat="1" ht="15.75" thickBot="1">
      <c r="A7" s="2913"/>
      <c r="B7" s="2920" t="s">
        <v>529</v>
      </c>
      <c r="C7" s="519">
        <f>'数据-取费表'!B2</f>
        <v>43355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7"/>
      <c r="Q18" s="1573"/>
      <c r="R18" s="1574"/>
      <c r="S18" s="1575"/>
      <c r="T18" s="1574"/>
      <c r="U18" s="1575"/>
      <c r="V18" s="1574"/>
      <c r="W18" s="1575"/>
      <c r="X18" s="1568"/>
      <c r="Y18" s="3367"/>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7"/>
      <c r="Q20" s="1573"/>
      <c r="R20" s="1574"/>
      <c r="S20" s="1575"/>
      <c r="T20" s="1574"/>
      <c r="U20" s="1575"/>
      <c r="V20" s="1574"/>
      <c r="W20" s="1575"/>
      <c r="X20" s="1568"/>
      <c r="Y20" s="3367"/>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7"/>
      <c r="Q21" s="2581" t="str">
        <f>B21</f>
        <v>基础设施水平</v>
      </c>
      <c r="R21" s="1574" t="s">
        <v>8</v>
      </c>
      <c r="S21" s="1575">
        <f>F21</f>
        <v>100</v>
      </c>
      <c r="T21" s="1574" t="s">
        <v>8</v>
      </c>
      <c r="U21" s="1575">
        <f>H21</f>
        <v>100</v>
      </c>
      <c r="V21" s="1574" t="s">
        <v>8</v>
      </c>
      <c r="W21" s="1575">
        <f>J21</f>
        <v>100</v>
      </c>
      <c r="X21" s="2583"/>
      <c r="Y21" s="3367"/>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67"/>
      <c r="Q22" s="2581"/>
      <c r="R22" s="1574"/>
      <c r="S22" s="1575"/>
      <c r="T22" s="1574"/>
      <c r="U22" s="1575"/>
      <c r="V22" s="1574"/>
      <c r="W22" s="1575"/>
      <c r="X22" s="2583"/>
      <c r="Y22" s="3367"/>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6" t="str">
        <f>A48</f>
        <v>成交单价（元/平方米）</v>
      </c>
      <c r="Q48" s="3364"/>
      <c r="R48" s="3464">
        <f>E48</f>
        <v>0</v>
      </c>
      <c r="S48" s="3464"/>
      <c r="T48" s="3464">
        <f>G48</f>
        <v>0</v>
      </c>
      <c r="U48" s="3464"/>
      <c r="V48" s="3464">
        <f>I48</f>
        <v>0</v>
      </c>
      <c r="W48" s="3464"/>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86" t="str">
        <f>A49</f>
        <v>比较价格（元/平方米）</v>
      </c>
      <c r="Q49" s="3364"/>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469" t="str">
        <f>A50</f>
        <v>估价对象XX用房的比较价格（楼面单价，元/平方米）</v>
      </c>
      <c r="Q50" s="3386"/>
      <c r="R50" s="3463" t="e">
        <f>IF(F1="售价",ROUND(AVERAGE(R49:V49),0),ROUND(AVERAGE(R49:V49),1))</f>
        <v>#DIV/0!</v>
      </c>
      <c r="S50" s="3463"/>
      <c r="T50" s="3463"/>
      <c r="U50" s="3463"/>
      <c r="V50" s="3463"/>
      <c r="W50" s="346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0" t="s">
        <v>522</v>
      </c>
      <c r="D4" s="3371"/>
      <c r="E4" s="3394" t="s">
        <v>523</v>
      </c>
      <c r="F4" s="3395"/>
      <c r="G4" s="3370" t="s">
        <v>524</v>
      </c>
      <c r="H4" s="3371"/>
      <c r="I4" s="3370" t="s">
        <v>525</v>
      </c>
      <c r="J4" s="3371"/>
      <c r="K4" s="514" t="s">
        <v>526</v>
      </c>
      <c r="L4" s="2135"/>
      <c r="M4" s="2136"/>
      <c r="N4" s="2136"/>
      <c r="O4" s="2136"/>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1" t="s">
        <v>2933</v>
      </c>
      <c r="D5" s="3382"/>
      <c r="E5" s="3396" t="s">
        <v>2934</v>
      </c>
      <c r="F5" s="3397"/>
      <c r="G5" s="3381" t="s">
        <v>2935</v>
      </c>
      <c r="H5" s="3382"/>
      <c r="I5" s="3381" t="s">
        <v>2936</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2937</v>
      </c>
      <c r="D6" s="3380"/>
      <c r="E6" s="3398" t="s">
        <v>2937</v>
      </c>
      <c r="F6" s="3399"/>
      <c r="G6" s="3379" t="s">
        <v>2937</v>
      </c>
      <c r="H6" s="3380"/>
      <c r="I6" s="3379" t="s">
        <v>2937</v>
      </c>
      <c r="J6" s="3380"/>
      <c r="K6" s="514" t="s">
        <v>528</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13"/>
      <c r="B7" s="2920" t="s">
        <v>529</v>
      </c>
      <c r="C7" s="519">
        <f>'数据-取费表'!B2</f>
        <v>43355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7"/>
      <c r="Q18" s="1573"/>
      <c r="R18" s="1574"/>
      <c r="S18" s="1575"/>
      <c r="T18" s="1574"/>
      <c r="U18" s="1575"/>
      <c r="V18" s="1574"/>
      <c r="W18" s="1575"/>
      <c r="X18" s="1568"/>
      <c r="Y18" s="3367"/>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7"/>
      <c r="Q20" s="1573"/>
      <c r="R20" s="1574"/>
      <c r="S20" s="1575"/>
      <c r="T20" s="1574"/>
      <c r="U20" s="1575"/>
      <c r="V20" s="1574"/>
      <c r="W20" s="1575"/>
      <c r="X20" s="1568"/>
      <c r="Y20" s="3367"/>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7"/>
      <c r="Q21" s="2581" t="str">
        <f>B21</f>
        <v>基础设施水平</v>
      </c>
      <c r="R21" s="1574" t="s">
        <v>8</v>
      </c>
      <c r="S21" s="1575">
        <f>F21</f>
        <v>100</v>
      </c>
      <c r="T21" s="1574" t="s">
        <v>8</v>
      </c>
      <c r="U21" s="1575">
        <f>H21</f>
        <v>100</v>
      </c>
      <c r="V21" s="1574" t="s">
        <v>8</v>
      </c>
      <c r="W21" s="1575">
        <f>J21</f>
        <v>100</v>
      </c>
      <c r="X21" s="2583"/>
      <c r="Y21" s="3367"/>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67"/>
      <c r="Q22" s="2581"/>
      <c r="R22" s="1574"/>
      <c r="S22" s="1575"/>
      <c r="T22" s="1574"/>
      <c r="U22" s="1575"/>
      <c r="V22" s="1574"/>
      <c r="W22" s="1575"/>
      <c r="X22" s="2583"/>
      <c r="Y22" s="3367"/>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64" t="str">
        <f>A41</f>
        <v>成交单价（元/平方米）</v>
      </c>
      <c r="Q41" s="3364"/>
      <c r="R41" s="3464">
        <f>E41</f>
        <v>0</v>
      </c>
      <c r="S41" s="3464"/>
      <c r="T41" s="3464">
        <f>G41</f>
        <v>0</v>
      </c>
      <c r="U41" s="3464"/>
      <c r="V41" s="3464">
        <f>I41</f>
        <v>0</v>
      </c>
      <c r="W41" s="3464"/>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64" t="str">
        <f>A42</f>
        <v>比较价格（元/平方米）</v>
      </c>
      <c r="Q42" s="3364"/>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385" t="str">
        <f>A43</f>
        <v>估价对象XX用房的比较价格（楼面单价，元/平方米）</v>
      </c>
      <c r="Q43" s="3386"/>
      <c r="R43" s="3463" t="e">
        <f>IF(F1="售价",ROUND(AVERAGE(R42:V42),0),ROUND(AVERAGE(R42:V42),1))</f>
        <v>#DIV/0!</v>
      </c>
      <c r="S43" s="3463"/>
      <c r="T43" s="3463"/>
      <c r="U43" s="3463"/>
      <c r="V43" s="3463"/>
      <c r="W43" s="346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5"/>
      <c r="M4" s="2136"/>
      <c r="N4" s="2136"/>
      <c r="O4" s="2136"/>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2933</v>
      </c>
      <c r="D5" s="3382"/>
      <c r="E5" s="3381" t="s">
        <v>2934</v>
      </c>
      <c r="F5" s="3382"/>
      <c r="G5" s="3381" t="s">
        <v>2935</v>
      </c>
      <c r="H5" s="3382"/>
      <c r="I5" s="3381" t="s">
        <v>2936</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2937</v>
      </c>
      <c r="D6" s="3380"/>
      <c r="E6" s="3383" t="s">
        <v>2937</v>
      </c>
      <c r="F6" s="3384"/>
      <c r="G6" s="3379" t="s">
        <v>2937</v>
      </c>
      <c r="H6" s="3380"/>
      <c r="I6" s="3379" t="s">
        <v>2937</v>
      </c>
      <c r="J6" s="3380"/>
      <c r="K6" s="514" t="s">
        <v>528</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13"/>
      <c r="B7" s="2920" t="s">
        <v>529</v>
      </c>
      <c r="C7" s="519">
        <f>'数据-取费表'!B2</f>
        <v>43355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7"/>
      <c r="Q15" s="1573"/>
      <c r="R15" s="1574"/>
      <c r="S15" s="1575"/>
      <c r="T15" s="1574"/>
      <c r="U15" s="1575"/>
      <c r="V15" s="1574"/>
      <c r="W15" s="1575"/>
      <c r="X15" s="1568"/>
      <c r="Y15" s="3367"/>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7"/>
      <c r="Q17" s="1573"/>
      <c r="R17" s="1574"/>
      <c r="S17" s="1575"/>
      <c r="T17" s="1574"/>
      <c r="U17" s="1575"/>
      <c r="V17" s="1574"/>
      <c r="W17" s="1575"/>
      <c r="X17" s="1568"/>
      <c r="Y17" s="3367"/>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7"/>
      <c r="Q18" s="2581" t="str">
        <f>B18</f>
        <v>基础设施水平</v>
      </c>
      <c r="R18" s="1574" t="s">
        <v>8</v>
      </c>
      <c r="S18" s="1575">
        <f>F18</f>
        <v>100</v>
      </c>
      <c r="T18" s="1574" t="s">
        <v>8</v>
      </c>
      <c r="U18" s="1575">
        <f>H18</f>
        <v>100</v>
      </c>
      <c r="V18" s="1574" t="s">
        <v>8</v>
      </c>
      <c r="W18" s="1575">
        <f>J18</f>
        <v>100</v>
      </c>
      <c r="X18" s="2583"/>
      <c r="Y18" s="3367"/>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67"/>
      <c r="Q19" s="2581"/>
      <c r="R19" s="1574"/>
      <c r="S19" s="1575"/>
      <c r="T19" s="1574"/>
      <c r="U19" s="1575"/>
      <c r="V19" s="1574"/>
      <c r="W19" s="1575"/>
      <c r="X19" s="2583"/>
      <c r="Y19" s="3367"/>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64" t="str">
        <f>A37</f>
        <v>成交单价</v>
      </c>
      <c r="Q37" s="3364"/>
      <c r="R37" s="3464">
        <f>E37</f>
        <v>0</v>
      </c>
      <c r="S37" s="3464"/>
      <c r="T37" s="3464">
        <f>G37</f>
        <v>0</v>
      </c>
      <c r="U37" s="3464"/>
      <c r="V37" s="3464">
        <f>I37</f>
        <v>0</v>
      </c>
      <c r="W37" s="3464"/>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64" t="str">
        <f>A38</f>
        <v>比较价格（元/平方米）</v>
      </c>
      <c r="Q38" s="3364"/>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385" t="str">
        <f>A39</f>
        <v>估价对象XX用房的比较价格（楼面单价，元/平方米）</v>
      </c>
      <c r="Q39" s="3386"/>
      <c r="R39" s="3463" t="e">
        <f>IF(F1="售价",ROUND(AVERAGE(R38:V38),0),ROUND(AVERAGE(R38:V38),1))</f>
        <v>#DIV/0!</v>
      </c>
      <c r="S39" s="3463"/>
      <c r="T39" s="3463"/>
      <c r="U39" s="3463"/>
      <c r="V39" s="3463"/>
      <c r="W39" s="346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0" t="s">
        <v>798</v>
      </c>
      <c r="D4" s="3371"/>
      <c r="E4" s="3394" t="s">
        <v>799</v>
      </c>
      <c r="F4" s="3395"/>
      <c r="G4" s="3370" t="s">
        <v>800</v>
      </c>
      <c r="H4" s="3371"/>
      <c r="I4" s="3370" t="s">
        <v>801</v>
      </c>
      <c r="J4" s="3371"/>
      <c r="K4" s="514" t="s">
        <v>802</v>
      </c>
      <c r="L4" s="2135"/>
      <c r="M4" s="2136"/>
      <c r="N4" s="2136"/>
      <c r="O4" s="2136"/>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2933</v>
      </c>
      <c r="D5" s="3382"/>
      <c r="E5" s="3396" t="s">
        <v>2934</v>
      </c>
      <c r="F5" s="3397"/>
      <c r="G5" s="3381" t="s">
        <v>2935</v>
      </c>
      <c r="H5" s="3382"/>
      <c r="I5" s="3381" t="s">
        <v>2936</v>
      </c>
      <c r="J5" s="3382"/>
      <c r="K5" s="514"/>
      <c r="L5" s="2135"/>
      <c r="M5" s="2136"/>
      <c r="N5" s="2136"/>
      <c r="O5" s="2136"/>
      <c r="P5" s="3374"/>
      <c r="Q5" s="3375"/>
      <c r="R5" s="3360"/>
      <c r="S5" s="3361"/>
      <c r="T5" s="3360"/>
      <c r="U5" s="3361"/>
      <c r="V5" s="3378"/>
      <c r="W5" s="3378"/>
      <c r="X5" s="1568"/>
      <c r="Y5" s="3360"/>
      <c r="Z5" s="3361"/>
      <c r="AA5" s="3354"/>
      <c r="AB5" s="3354"/>
      <c r="AC5" s="3354"/>
    </row>
    <row r="6" spans="1:29" ht="15.75" thickBot="1">
      <c r="A6" s="517"/>
      <c r="B6" s="518"/>
      <c r="C6" s="3379" t="s">
        <v>2937</v>
      </c>
      <c r="D6" s="3380"/>
      <c r="E6" s="3398" t="s">
        <v>2937</v>
      </c>
      <c r="F6" s="3399"/>
      <c r="G6" s="3379" t="s">
        <v>2937</v>
      </c>
      <c r="H6" s="3380"/>
      <c r="I6" s="3379" t="s">
        <v>2937</v>
      </c>
      <c r="J6" s="3380"/>
      <c r="K6" s="514" t="s">
        <v>528</v>
      </c>
      <c r="L6" s="2135"/>
      <c r="M6" s="2136"/>
      <c r="N6" s="2136"/>
      <c r="O6" s="2136"/>
      <c r="P6" s="3376"/>
      <c r="Q6" s="3377"/>
      <c r="R6" s="3360"/>
      <c r="S6" s="3361"/>
      <c r="T6" s="3362"/>
      <c r="U6" s="3363"/>
      <c r="V6" s="3378"/>
      <c r="W6" s="3378"/>
      <c r="X6" s="1568"/>
      <c r="Y6" s="3362"/>
      <c r="Z6" s="3363"/>
      <c r="AA6" s="3355"/>
      <c r="AB6" s="3355"/>
      <c r="AC6" s="3355"/>
    </row>
    <row r="7" spans="1:29" s="1220" customFormat="1" ht="15.75" thickBot="1">
      <c r="A7" s="2913"/>
      <c r="B7" s="2920" t="s">
        <v>529</v>
      </c>
      <c r="C7" s="519">
        <f>'数据-取费表'!B2</f>
        <v>43355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7"/>
      <c r="Q15" s="1573"/>
      <c r="R15" s="1574"/>
      <c r="S15" s="1575"/>
      <c r="T15" s="1574"/>
      <c r="U15" s="1575"/>
      <c r="V15" s="1574"/>
      <c r="W15" s="1575"/>
      <c r="X15" s="1568"/>
      <c r="Y15" s="3367"/>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7"/>
      <c r="Q17" s="1573"/>
      <c r="R17" s="1574"/>
      <c r="S17" s="1575"/>
      <c r="T17" s="1574"/>
      <c r="U17" s="1575"/>
      <c r="V17" s="1574"/>
      <c r="W17" s="1575"/>
      <c r="X17" s="1568"/>
      <c r="Y17" s="3367"/>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7"/>
      <c r="Q18" s="2581" t="str">
        <f>B18</f>
        <v>基础设施水平</v>
      </c>
      <c r="R18" s="1574" t="s">
        <v>8</v>
      </c>
      <c r="S18" s="1575">
        <f>F18</f>
        <v>100</v>
      </c>
      <c r="T18" s="1574" t="s">
        <v>8</v>
      </c>
      <c r="U18" s="1575">
        <f>H18</f>
        <v>100</v>
      </c>
      <c r="V18" s="1574" t="s">
        <v>8</v>
      </c>
      <c r="W18" s="1575">
        <f>J18</f>
        <v>100</v>
      </c>
      <c r="X18" s="2583"/>
      <c r="Y18" s="3367"/>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67"/>
      <c r="Q19" s="2581"/>
      <c r="R19" s="1574"/>
      <c r="S19" s="1575"/>
      <c r="T19" s="1574"/>
      <c r="U19" s="1575"/>
      <c r="V19" s="1574"/>
      <c r="W19" s="1575"/>
      <c r="X19" s="2583"/>
      <c r="Y19" s="3367"/>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64" t="str">
        <f>A35</f>
        <v>成交单价（元/平方米）</v>
      </c>
      <c r="Q35" s="3364"/>
      <c r="R35" s="3464">
        <f>E35</f>
        <v>0</v>
      </c>
      <c r="S35" s="3464"/>
      <c r="T35" s="3464">
        <f>G35</f>
        <v>0</v>
      </c>
      <c r="U35" s="3464"/>
      <c r="V35" s="3464">
        <f>I35</f>
        <v>0</v>
      </c>
      <c r="W35" s="3464"/>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64" t="str">
        <f>A36</f>
        <v>比较价格（元/平方米）</v>
      </c>
      <c r="Q36" s="3364"/>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385" t="str">
        <f>A37</f>
        <v>估价对象XX用房的比较价格（楼面单价，元/平方米）</v>
      </c>
      <c r="Q37" s="3386"/>
      <c r="R37" s="3463" t="e">
        <f>IF(F1="售价",ROUND(AVERAGE(R36:V36),0),ROUND(AVERAGE(R36:V36),1))</f>
        <v>#DIV/0!</v>
      </c>
      <c r="S37" s="3463"/>
      <c r="T37" s="3463"/>
      <c r="U37" s="3463"/>
      <c r="V37" s="3463"/>
      <c r="W37" s="346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G34" activeCellId="1" sqref="G32 G34"/>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3" t="s">
        <v>2307</v>
      </c>
      <c r="D1" s="3474"/>
      <c r="E1" s="3474"/>
      <c r="F1" s="3474"/>
      <c r="G1" s="3474"/>
      <c r="H1" s="3474"/>
      <c r="I1" s="3474"/>
      <c r="J1" s="3474"/>
      <c r="K1" s="3474"/>
      <c r="L1" s="3474"/>
      <c r="M1" s="3474"/>
      <c r="N1" s="3474"/>
      <c r="O1" s="3474"/>
      <c r="P1" s="3474"/>
      <c r="Q1" s="3474"/>
      <c r="R1" s="3474"/>
      <c r="S1" s="347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受贵公司委托，我公司对江苏省盐城市大丰市常新璐西侧，疏港路北侧出让国有建设用地使用权抵押价格进行了预评估。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大丰市常新璐西侧，疏港路北侧出让国有建设用地使用权。根据《国有土地使用证》[]，估价对象（分摊）出让国有建设用地使用权面积为52337平方米。根据《建设工程规划许可证》[]、《出让合同》[]，估价对象规划建筑面积为104674平方米。</v>
      </c>
    </row>
    <row r="7" spans="1:4" ht="93.75">
      <c r="A7" s="2875" t="s">
        <v>2751</v>
      </c>
    </row>
    <row r="8" spans="1:4" ht="18.75">
      <c r="A8" s="1796" t="s">
        <v>1907</v>
      </c>
    </row>
    <row r="9" spans="1:4" ht="75">
      <c r="A9" s="1798" t="str">
        <f>IF(项目基本情况!B8="抵押",IF(项目基本情况!B5=项目基本情况!B6,定义!C51,定义!B51),定义!D51)</f>
        <v>拟使用江苏省盐城市大丰市常新璐西侧，疏港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2018年9月12日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根据《国有土地使用证》[]，估价对象（分摊）出让国有建设用地使用权面积为52337平方米。根据《建设工程规划许可证》[]、《出让合同》[]，估价对象规划建筑面积为104674平方米。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12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43355</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D1" workbookViewId="0">
      <selection activeCell="D7" sqref="A7:XFD7"/>
    </sheetView>
  </sheetViews>
  <sheetFormatPr defaultRowHeight="13.5"/>
  <cols>
    <col min="1" max="1" width="34.375" style="2940" customWidth="1"/>
    <col min="2" max="2" width="6.25" style="2940" customWidth="1"/>
    <col min="3" max="3" width="13.875" style="2940" customWidth="1"/>
    <col min="4" max="4" width="6.25" style="2940" customWidth="1"/>
    <col min="5" max="5" width="34.375" style="2940" customWidth="1"/>
    <col min="6" max="6" width="7.875" style="2940" customWidth="1"/>
    <col min="7" max="8" width="13.875" style="2940" customWidth="1"/>
    <col min="9" max="9" width="14.25" style="2940" customWidth="1"/>
    <col min="10" max="10" width="9" style="2940" customWidth="1"/>
    <col min="11" max="11" width="26.125" style="2940" customWidth="1"/>
    <col min="12" max="12" width="10.625" style="2940" customWidth="1"/>
    <col min="13" max="13" width="14.375" style="2940" customWidth="1"/>
    <col min="14" max="14" width="6.25" style="2940" customWidth="1"/>
    <col min="15" max="15" width="7.875" style="2940" customWidth="1"/>
    <col min="16" max="256" width="9" style="2940"/>
    <col min="257" max="257" width="34.375" style="2940" customWidth="1"/>
    <col min="258" max="258" width="6.25" style="2940" customWidth="1"/>
    <col min="259" max="259" width="13.875" style="2940" customWidth="1"/>
    <col min="260" max="260" width="6.25" style="2940" customWidth="1"/>
    <col min="261" max="261" width="34.375" style="2940" customWidth="1"/>
    <col min="262" max="262" width="7.875" style="2940" customWidth="1"/>
    <col min="263" max="264" width="13.875" style="2940" customWidth="1"/>
    <col min="265" max="265" width="8.375" style="2940" customWidth="1"/>
    <col min="266" max="266" width="9" style="2940" customWidth="1"/>
    <col min="267" max="267" width="26.125" style="2940" customWidth="1"/>
    <col min="268" max="268" width="10.625" style="2940" customWidth="1"/>
    <col min="269" max="269" width="14.375" style="2940" customWidth="1"/>
    <col min="270" max="270" width="6.25" style="2940" customWidth="1"/>
    <col min="271" max="271" width="7.875" style="2940" customWidth="1"/>
    <col min="272" max="512" width="9" style="2940"/>
    <col min="513" max="513" width="34.375" style="2940" customWidth="1"/>
    <col min="514" max="514" width="6.25" style="2940" customWidth="1"/>
    <col min="515" max="515" width="13.875" style="2940" customWidth="1"/>
    <col min="516" max="516" width="6.25" style="2940" customWidth="1"/>
    <col min="517" max="517" width="34.375" style="2940" customWidth="1"/>
    <col min="518" max="518" width="7.875" style="2940" customWidth="1"/>
    <col min="519" max="520" width="13.875" style="2940" customWidth="1"/>
    <col min="521" max="521" width="8.375" style="2940" customWidth="1"/>
    <col min="522" max="522" width="9" style="2940" customWidth="1"/>
    <col min="523" max="523" width="26.125" style="2940" customWidth="1"/>
    <col min="524" max="524" width="10.625" style="2940" customWidth="1"/>
    <col min="525" max="525" width="14.375" style="2940" customWidth="1"/>
    <col min="526" max="526" width="6.25" style="2940" customWidth="1"/>
    <col min="527" max="527" width="7.875" style="2940" customWidth="1"/>
    <col min="528" max="768" width="9" style="2940"/>
    <col min="769" max="769" width="34.375" style="2940" customWidth="1"/>
    <col min="770" max="770" width="6.25" style="2940" customWidth="1"/>
    <col min="771" max="771" width="13.875" style="2940" customWidth="1"/>
    <col min="772" max="772" width="6.25" style="2940" customWidth="1"/>
    <col min="773" max="773" width="34.375" style="2940" customWidth="1"/>
    <col min="774" max="774" width="7.875" style="2940" customWidth="1"/>
    <col min="775" max="776" width="13.875" style="2940" customWidth="1"/>
    <col min="777" max="777" width="8.375" style="2940" customWidth="1"/>
    <col min="778" max="778" width="9" style="2940" customWidth="1"/>
    <col min="779" max="779" width="26.125" style="2940" customWidth="1"/>
    <col min="780" max="780" width="10.625" style="2940" customWidth="1"/>
    <col min="781" max="781" width="14.375" style="2940" customWidth="1"/>
    <col min="782" max="782" width="6.25" style="2940" customWidth="1"/>
    <col min="783" max="783" width="7.875" style="2940" customWidth="1"/>
    <col min="784" max="1024" width="9" style="2940"/>
    <col min="1025" max="1025" width="34.375" style="2940" customWidth="1"/>
    <col min="1026" max="1026" width="6.25" style="2940" customWidth="1"/>
    <col min="1027" max="1027" width="13.875" style="2940" customWidth="1"/>
    <col min="1028" max="1028" width="6.25" style="2940" customWidth="1"/>
    <col min="1029" max="1029" width="34.375" style="2940" customWidth="1"/>
    <col min="1030" max="1030" width="7.875" style="2940" customWidth="1"/>
    <col min="1031" max="1032" width="13.875" style="2940" customWidth="1"/>
    <col min="1033" max="1033" width="8.375" style="2940" customWidth="1"/>
    <col min="1034" max="1034" width="9" style="2940" customWidth="1"/>
    <col min="1035" max="1035" width="26.125" style="2940" customWidth="1"/>
    <col min="1036" max="1036" width="10.625" style="2940" customWidth="1"/>
    <col min="1037" max="1037" width="14.375" style="2940" customWidth="1"/>
    <col min="1038" max="1038" width="6.25" style="2940" customWidth="1"/>
    <col min="1039" max="1039" width="7.875" style="2940" customWidth="1"/>
    <col min="1040" max="1280" width="9" style="2940"/>
    <col min="1281" max="1281" width="34.375" style="2940" customWidth="1"/>
    <col min="1282" max="1282" width="6.25" style="2940" customWidth="1"/>
    <col min="1283" max="1283" width="13.875" style="2940" customWidth="1"/>
    <col min="1284" max="1284" width="6.25" style="2940" customWidth="1"/>
    <col min="1285" max="1285" width="34.375" style="2940" customWidth="1"/>
    <col min="1286" max="1286" width="7.875" style="2940" customWidth="1"/>
    <col min="1287" max="1288" width="13.875" style="2940" customWidth="1"/>
    <col min="1289" max="1289" width="8.375" style="2940" customWidth="1"/>
    <col min="1290" max="1290" width="9" style="2940" customWidth="1"/>
    <col min="1291" max="1291" width="26.125" style="2940" customWidth="1"/>
    <col min="1292" max="1292" width="10.625" style="2940" customWidth="1"/>
    <col min="1293" max="1293" width="14.375" style="2940" customWidth="1"/>
    <col min="1294" max="1294" width="6.25" style="2940" customWidth="1"/>
    <col min="1295" max="1295" width="7.875" style="2940" customWidth="1"/>
    <col min="1296" max="1536" width="9" style="2940"/>
    <col min="1537" max="1537" width="34.375" style="2940" customWidth="1"/>
    <col min="1538" max="1538" width="6.25" style="2940" customWidth="1"/>
    <col min="1539" max="1539" width="13.875" style="2940" customWidth="1"/>
    <col min="1540" max="1540" width="6.25" style="2940" customWidth="1"/>
    <col min="1541" max="1541" width="34.375" style="2940" customWidth="1"/>
    <col min="1542" max="1542" width="7.875" style="2940" customWidth="1"/>
    <col min="1543" max="1544" width="13.875" style="2940" customWidth="1"/>
    <col min="1545" max="1545" width="8.375" style="2940" customWidth="1"/>
    <col min="1546" max="1546" width="9" style="2940" customWidth="1"/>
    <col min="1547" max="1547" width="26.125" style="2940" customWidth="1"/>
    <col min="1548" max="1548" width="10.625" style="2940" customWidth="1"/>
    <col min="1549" max="1549" width="14.375" style="2940" customWidth="1"/>
    <col min="1550" max="1550" width="6.25" style="2940" customWidth="1"/>
    <col min="1551" max="1551" width="7.875" style="2940" customWidth="1"/>
    <col min="1552" max="1792" width="9" style="2940"/>
    <col min="1793" max="1793" width="34.375" style="2940" customWidth="1"/>
    <col min="1794" max="1794" width="6.25" style="2940" customWidth="1"/>
    <col min="1795" max="1795" width="13.875" style="2940" customWidth="1"/>
    <col min="1796" max="1796" width="6.25" style="2940" customWidth="1"/>
    <col min="1797" max="1797" width="34.375" style="2940" customWidth="1"/>
    <col min="1798" max="1798" width="7.875" style="2940" customWidth="1"/>
    <col min="1799" max="1800" width="13.875" style="2940" customWidth="1"/>
    <col min="1801" max="1801" width="8.375" style="2940" customWidth="1"/>
    <col min="1802" max="1802" width="9" style="2940" customWidth="1"/>
    <col min="1803" max="1803" width="26.125" style="2940" customWidth="1"/>
    <col min="1804" max="1804" width="10.625" style="2940" customWidth="1"/>
    <col min="1805" max="1805" width="14.375" style="2940" customWidth="1"/>
    <col min="1806" max="1806" width="6.25" style="2940" customWidth="1"/>
    <col min="1807" max="1807" width="7.875" style="2940" customWidth="1"/>
    <col min="1808" max="2048" width="9" style="2940"/>
    <col min="2049" max="2049" width="34.375" style="2940" customWidth="1"/>
    <col min="2050" max="2050" width="6.25" style="2940" customWidth="1"/>
    <col min="2051" max="2051" width="13.875" style="2940" customWidth="1"/>
    <col min="2052" max="2052" width="6.25" style="2940" customWidth="1"/>
    <col min="2053" max="2053" width="34.375" style="2940" customWidth="1"/>
    <col min="2054" max="2054" width="7.875" style="2940" customWidth="1"/>
    <col min="2055" max="2056" width="13.875" style="2940" customWidth="1"/>
    <col min="2057" max="2057" width="8.375" style="2940" customWidth="1"/>
    <col min="2058" max="2058" width="9" style="2940" customWidth="1"/>
    <col min="2059" max="2059" width="26.125" style="2940" customWidth="1"/>
    <col min="2060" max="2060" width="10.625" style="2940" customWidth="1"/>
    <col min="2061" max="2061" width="14.375" style="2940" customWidth="1"/>
    <col min="2062" max="2062" width="6.25" style="2940" customWidth="1"/>
    <col min="2063" max="2063" width="7.875" style="2940" customWidth="1"/>
    <col min="2064" max="2304" width="9" style="2940"/>
    <col min="2305" max="2305" width="34.375" style="2940" customWidth="1"/>
    <col min="2306" max="2306" width="6.25" style="2940" customWidth="1"/>
    <col min="2307" max="2307" width="13.875" style="2940" customWidth="1"/>
    <col min="2308" max="2308" width="6.25" style="2940" customWidth="1"/>
    <col min="2309" max="2309" width="34.375" style="2940" customWidth="1"/>
    <col min="2310" max="2310" width="7.875" style="2940" customWidth="1"/>
    <col min="2311" max="2312" width="13.875" style="2940" customWidth="1"/>
    <col min="2313" max="2313" width="8.375" style="2940" customWidth="1"/>
    <col min="2314" max="2314" width="9" style="2940" customWidth="1"/>
    <col min="2315" max="2315" width="26.125" style="2940" customWidth="1"/>
    <col min="2316" max="2316" width="10.625" style="2940" customWidth="1"/>
    <col min="2317" max="2317" width="14.375" style="2940" customWidth="1"/>
    <col min="2318" max="2318" width="6.25" style="2940" customWidth="1"/>
    <col min="2319" max="2319" width="7.875" style="2940" customWidth="1"/>
    <col min="2320" max="2560" width="9" style="2940"/>
    <col min="2561" max="2561" width="34.375" style="2940" customWidth="1"/>
    <col min="2562" max="2562" width="6.25" style="2940" customWidth="1"/>
    <col min="2563" max="2563" width="13.875" style="2940" customWidth="1"/>
    <col min="2564" max="2564" width="6.25" style="2940" customWidth="1"/>
    <col min="2565" max="2565" width="34.375" style="2940" customWidth="1"/>
    <col min="2566" max="2566" width="7.875" style="2940" customWidth="1"/>
    <col min="2567" max="2568" width="13.875" style="2940" customWidth="1"/>
    <col min="2569" max="2569" width="8.375" style="2940" customWidth="1"/>
    <col min="2570" max="2570" width="9" style="2940" customWidth="1"/>
    <col min="2571" max="2571" width="26.125" style="2940" customWidth="1"/>
    <col min="2572" max="2572" width="10.625" style="2940" customWidth="1"/>
    <col min="2573" max="2573" width="14.375" style="2940" customWidth="1"/>
    <col min="2574" max="2574" width="6.25" style="2940" customWidth="1"/>
    <col min="2575" max="2575" width="7.875" style="2940" customWidth="1"/>
    <col min="2576" max="2816" width="9" style="2940"/>
    <col min="2817" max="2817" width="34.375" style="2940" customWidth="1"/>
    <col min="2818" max="2818" width="6.25" style="2940" customWidth="1"/>
    <col min="2819" max="2819" width="13.875" style="2940" customWidth="1"/>
    <col min="2820" max="2820" width="6.25" style="2940" customWidth="1"/>
    <col min="2821" max="2821" width="34.375" style="2940" customWidth="1"/>
    <col min="2822" max="2822" width="7.875" style="2940" customWidth="1"/>
    <col min="2823" max="2824" width="13.875" style="2940" customWidth="1"/>
    <col min="2825" max="2825" width="8.375" style="2940" customWidth="1"/>
    <col min="2826" max="2826" width="9" style="2940" customWidth="1"/>
    <col min="2827" max="2827" width="26.125" style="2940" customWidth="1"/>
    <col min="2828" max="2828" width="10.625" style="2940" customWidth="1"/>
    <col min="2829" max="2829" width="14.375" style="2940" customWidth="1"/>
    <col min="2830" max="2830" width="6.25" style="2940" customWidth="1"/>
    <col min="2831" max="2831" width="7.875" style="2940" customWidth="1"/>
    <col min="2832" max="3072" width="9" style="2940"/>
    <col min="3073" max="3073" width="34.375" style="2940" customWidth="1"/>
    <col min="3074" max="3074" width="6.25" style="2940" customWidth="1"/>
    <col min="3075" max="3075" width="13.875" style="2940" customWidth="1"/>
    <col min="3076" max="3076" width="6.25" style="2940" customWidth="1"/>
    <col min="3077" max="3077" width="34.375" style="2940" customWidth="1"/>
    <col min="3078" max="3078" width="7.875" style="2940" customWidth="1"/>
    <col min="3079" max="3080" width="13.875" style="2940" customWidth="1"/>
    <col min="3081" max="3081" width="8.375" style="2940" customWidth="1"/>
    <col min="3082" max="3082" width="9" style="2940" customWidth="1"/>
    <col min="3083" max="3083" width="26.125" style="2940" customWidth="1"/>
    <col min="3084" max="3084" width="10.625" style="2940" customWidth="1"/>
    <col min="3085" max="3085" width="14.375" style="2940" customWidth="1"/>
    <col min="3086" max="3086" width="6.25" style="2940" customWidth="1"/>
    <col min="3087" max="3087" width="7.875" style="2940" customWidth="1"/>
    <col min="3088" max="3328" width="9" style="2940"/>
    <col min="3329" max="3329" width="34.375" style="2940" customWidth="1"/>
    <col min="3330" max="3330" width="6.25" style="2940" customWidth="1"/>
    <col min="3331" max="3331" width="13.875" style="2940" customWidth="1"/>
    <col min="3332" max="3332" width="6.25" style="2940" customWidth="1"/>
    <col min="3333" max="3333" width="34.375" style="2940" customWidth="1"/>
    <col min="3334" max="3334" width="7.875" style="2940" customWidth="1"/>
    <col min="3335" max="3336" width="13.875" style="2940" customWidth="1"/>
    <col min="3337" max="3337" width="8.375" style="2940" customWidth="1"/>
    <col min="3338" max="3338" width="9" style="2940" customWidth="1"/>
    <col min="3339" max="3339" width="26.125" style="2940" customWidth="1"/>
    <col min="3340" max="3340" width="10.625" style="2940" customWidth="1"/>
    <col min="3341" max="3341" width="14.375" style="2940" customWidth="1"/>
    <col min="3342" max="3342" width="6.25" style="2940" customWidth="1"/>
    <col min="3343" max="3343" width="7.875" style="2940" customWidth="1"/>
    <col min="3344" max="3584" width="9" style="2940"/>
    <col min="3585" max="3585" width="34.375" style="2940" customWidth="1"/>
    <col min="3586" max="3586" width="6.25" style="2940" customWidth="1"/>
    <col min="3587" max="3587" width="13.875" style="2940" customWidth="1"/>
    <col min="3588" max="3588" width="6.25" style="2940" customWidth="1"/>
    <col min="3589" max="3589" width="34.375" style="2940" customWidth="1"/>
    <col min="3590" max="3590" width="7.875" style="2940" customWidth="1"/>
    <col min="3591" max="3592" width="13.875" style="2940" customWidth="1"/>
    <col min="3593" max="3593" width="8.375" style="2940" customWidth="1"/>
    <col min="3594" max="3594" width="9" style="2940" customWidth="1"/>
    <col min="3595" max="3595" width="26.125" style="2940" customWidth="1"/>
    <col min="3596" max="3596" width="10.625" style="2940" customWidth="1"/>
    <col min="3597" max="3597" width="14.375" style="2940" customWidth="1"/>
    <col min="3598" max="3598" width="6.25" style="2940" customWidth="1"/>
    <col min="3599" max="3599" width="7.875" style="2940" customWidth="1"/>
    <col min="3600" max="3840" width="9" style="2940"/>
    <col min="3841" max="3841" width="34.375" style="2940" customWidth="1"/>
    <col min="3842" max="3842" width="6.25" style="2940" customWidth="1"/>
    <col min="3843" max="3843" width="13.875" style="2940" customWidth="1"/>
    <col min="3844" max="3844" width="6.25" style="2940" customWidth="1"/>
    <col min="3845" max="3845" width="34.375" style="2940" customWidth="1"/>
    <col min="3846" max="3846" width="7.875" style="2940" customWidth="1"/>
    <col min="3847" max="3848" width="13.875" style="2940" customWidth="1"/>
    <col min="3849" max="3849" width="8.375" style="2940" customWidth="1"/>
    <col min="3850" max="3850" width="9" style="2940" customWidth="1"/>
    <col min="3851" max="3851" width="26.125" style="2940" customWidth="1"/>
    <col min="3852" max="3852" width="10.625" style="2940" customWidth="1"/>
    <col min="3853" max="3853" width="14.375" style="2940" customWidth="1"/>
    <col min="3854" max="3854" width="6.25" style="2940" customWidth="1"/>
    <col min="3855" max="3855" width="7.875" style="2940" customWidth="1"/>
    <col min="3856" max="4096" width="9" style="2940"/>
    <col min="4097" max="4097" width="34.375" style="2940" customWidth="1"/>
    <col min="4098" max="4098" width="6.25" style="2940" customWidth="1"/>
    <col min="4099" max="4099" width="13.875" style="2940" customWidth="1"/>
    <col min="4100" max="4100" width="6.25" style="2940" customWidth="1"/>
    <col min="4101" max="4101" width="34.375" style="2940" customWidth="1"/>
    <col min="4102" max="4102" width="7.875" style="2940" customWidth="1"/>
    <col min="4103" max="4104" width="13.875" style="2940" customWidth="1"/>
    <col min="4105" max="4105" width="8.375" style="2940" customWidth="1"/>
    <col min="4106" max="4106" width="9" style="2940" customWidth="1"/>
    <col min="4107" max="4107" width="26.125" style="2940" customWidth="1"/>
    <col min="4108" max="4108" width="10.625" style="2940" customWidth="1"/>
    <col min="4109" max="4109" width="14.375" style="2940" customWidth="1"/>
    <col min="4110" max="4110" width="6.25" style="2940" customWidth="1"/>
    <col min="4111" max="4111" width="7.875" style="2940" customWidth="1"/>
    <col min="4112" max="4352" width="9" style="2940"/>
    <col min="4353" max="4353" width="34.375" style="2940" customWidth="1"/>
    <col min="4354" max="4354" width="6.25" style="2940" customWidth="1"/>
    <col min="4355" max="4355" width="13.875" style="2940" customWidth="1"/>
    <col min="4356" max="4356" width="6.25" style="2940" customWidth="1"/>
    <col min="4357" max="4357" width="34.375" style="2940" customWidth="1"/>
    <col min="4358" max="4358" width="7.875" style="2940" customWidth="1"/>
    <col min="4359" max="4360" width="13.875" style="2940" customWidth="1"/>
    <col min="4361" max="4361" width="8.375" style="2940" customWidth="1"/>
    <col min="4362" max="4362" width="9" style="2940" customWidth="1"/>
    <col min="4363" max="4363" width="26.125" style="2940" customWidth="1"/>
    <col min="4364" max="4364" width="10.625" style="2940" customWidth="1"/>
    <col min="4365" max="4365" width="14.375" style="2940" customWidth="1"/>
    <col min="4366" max="4366" width="6.25" style="2940" customWidth="1"/>
    <col min="4367" max="4367" width="7.875" style="2940" customWidth="1"/>
    <col min="4368" max="4608" width="9" style="2940"/>
    <col min="4609" max="4609" width="34.375" style="2940" customWidth="1"/>
    <col min="4610" max="4610" width="6.25" style="2940" customWidth="1"/>
    <col min="4611" max="4611" width="13.875" style="2940" customWidth="1"/>
    <col min="4612" max="4612" width="6.25" style="2940" customWidth="1"/>
    <col min="4613" max="4613" width="34.375" style="2940" customWidth="1"/>
    <col min="4614" max="4614" width="7.875" style="2940" customWidth="1"/>
    <col min="4615" max="4616" width="13.875" style="2940" customWidth="1"/>
    <col min="4617" max="4617" width="8.375" style="2940" customWidth="1"/>
    <col min="4618" max="4618" width="9" style="2940" customWidth="1"/>
    <col min="4619" max="4619" width="26.125" style="2940" customWidth="1"/>
    <col min="4620" max="4620" width="10.625" style="2940" customWidth="1"/>
    <col min="4621" max="4621" width="14.375" style="2940" customWidth="1"/>
    <col min="4622" max="4622" width="6.25" style="2940" customWidth="1"/>
    <col min="4623" max="4623" width="7.875" style="2940" customWidth="1"/>
    <col min="4624" max="4864" width="9" style="2940"/>
    <col min="4865" max="4865" width="34.375" style="2940" customWidth="1"/>
    <col min="4866" max="4866" width="6.25" style="2940" customWidth="1"/>
    <col min="4867" max="4867" width="13.875" style="2940" customWidth="1"/>
    <col min="4868" max="4868" width="6.25" style="2940" customWidth="1"/>
    <col min="4869" max="4869" width="34.375" style="2940" customWidth="1"/>
    <col min="4870" max="4870" width="7.875" style="2940" customWidth="1"/>
    <col min="4871" max="4872" width="13.875" style="2940" customWidth="1"/>
    <col min="4873" max="4873" width="8.375" style="2940" customWidth="1"/>
    <col min="4874" max="4874" width="9" style="2940" customWidth="1"/>
    <col min="4875" max="4875" width="26.125" style="2940" customWidth="1"/>
    <col min="4876" max="4876" width="10.625" style="2940" customWidth="1"/>
    <col min="4877" max="4877" width="14.375" style="2940" customWidth="1"/>
    <col min="4878" max="4878" width="6.25" style="2940" customWidth="1"/>
    <col min="4879" max="4879" width="7.875" style="2940" customWidth="1"/>
    <col min="4880" max="5120" width="9" style="2940"/>
    <col min="5121" max="5121" width="34.375" style="2940" customWidth="1"/>
    <col min="5122" max="5122" width="6.25" style="2940" customWidth="1"/>
    <col min="5123" max="5123" width="13.875" style="2940" customWidth="1"/>
    <col min="5124" max="5124" width="6.25" style="2940" customWidth="1"/>
    <col min="5125" max="5125" width="34.375" style="2940" customWidth="1"/>
    <col min="5126" max="5126" width="7.875" style="2940" customWidth="1"/>
    <col min="5127" max="5128" width="13.875" style="2940" customWidth="1"/>
    <col min="5129" max="5129" width="8.375" style="2940" customWidth="1"/>
    <col min="5130" max="5130" width="9" style="2940" customWidth="1"/>
    <col min="5131" max="5131" width="26.125" style="2940" customWidth="1"/>
    <col min="5132" max="5132" width="10.625" style="2940" customWidth="1"/>
    <col min="5133" max="5133" width="14.375" style="2940" customWidth="1"/>
    <col min="5134" max="5134" width="6.25" style="2940" customWidth="1"/>
    <col min="5135" max="5135" width="7.875" style="2940" customWidth="1"/>
    <col min="5136" max="5376" width="9" style="2940"/>
    <col min="5377" max="5377" width="34.375" style="2940" customWidth="1"/>
    <col min="5378" max="5378" width="6.25" style="2940" customWidth="1"/>
    <col min="5379" max="5379" width="13.875" style="2940" customWidth="1"/>
    <col min="5380" max="5380" width="6.25" style="2940" customWidth="1"/>
    <col min="5381" max="5381" width="34.375" style="2940" customWidth="1"/>
    <col min="5382" max="5382" width="7.875" style="2940" customWidth="1"/>
    <col min="5383" max="5384" width="13.875" style="2940" customWidth="1"/>
    <col min="5385" max="5385" width="8.375" style="2940" customWidth="1"/>
    <col min="5386" max="5386" width="9" style="2940" customWidth="1"/>
    <col min="5387" max="5387" width="26.125" style="2940" customWidth="1"/>
    <col min="5388" max="5388" width="10.625" style="2940" customWidth="1"/>
    <col min="5389" max="5389" width="14.375" style="2940" customWidth="1"/>
    <col min="5390" max="5390" width="6.25" style="2940" customWidth="1"/>
    <col min="5391" max="5391" width="7.875" style="2940" customWidth="1"/>
    <col min="5392" max="5632" width="9" style="2940"/>
    <col min="5633" max="5633" width="34.375" style="2940" customWidth="1"/>
    <col min="5634" max="5634" width="6.25" style="2940" customWidth="1"/>
    <col min="5635" max="5635" width="13.875" style="2940" customWidth="1"/>
    <col min="5636" max="5636" width="6.25" style="2940" customWidth="1"/>
    <col min="5637" max="5637" width="34.375" style="2940" customWidth="1"/>
    <col min="5638" max="5638" width="7.875" style="2940" customWidth="1"/>
    <col min="5639" max="5640" width="13.875" style="2940" customWidth="1"/>
    <col min="5641" max="5641" width="8.375" style="2940" customWidth="1"/>
    <col min="5642" max="5642" width="9" style="2940" customWidth="1"/>
    <col min="5643" max="5643" width="26.125" style="2940" customWidth="1"/>
    <col min="5644" max="5644" width="10.625" style="2940" customWidth="1"/>
    <col min="5645" max="5645" width="14.375" style="2940" customWidth="1"/>
    <col min="5646" max="5646" width="6.25" style="2940" customWidth="1"/>
    <col min="5647" max="5647" width="7.875" style="2940" customWidth="1"/>
    <col min="5648" max="5888" width="9" style="2940"/>
    <col min="5889" max="5889" width="34.375" style="2940" customWidth="1"/>
    <col min="5890" max="5890" width="6.25" style="2940" customWidth="1"/>
    <col min="5891" max="5891" width="13.875" style="2940" customWidth="1"/>
    <col min="5892" max="5892" width="6.25" style="2940" customWidth="1"/>
    <col min="5893" max="5893" width="34.375" style="2940" customWidth="1"/>
    <col min="5894" max="5894" width="7.875" style="2940" customWidth="1"/>
    <col min="5895" max="5896" width="13.875" style="2940" customWidth="1"/>
    <col min="5897" max="5897" width="8.375" style="2940" customWidth="1"/>
    <col min="5898" max="5898" width="9" style="2940" customWidth="1"/>
    <col min="5899" max="5899" width="26.125" style="2940" customWidth="1"/>
    <col min="5900" max="5900" width="10.625" style="2940" customWidth="1"/>
    <col min="5901" max="5901" width="14.375" style="2940" customWidth="1"/>
    <col min="5902" max="5902" width="6.25" style="2940" customWidth="1"/>
    <col min="5903" max="5903" width="7.875" style="2940" customWidth="1"/>
    <col min="5904" max="6144" width="9" style="2940"/>
    <col min="6145" max="6145" width="34.375" style="2940" customWidth="1"/>
    <col min="6146" max="6146" width="6.25" style="2940" customWidth="1"/>
    <col min="6147" max="6147" width="13.875" style="2940" customWidth="1"/>
    <col min="6148" max="6148" width="6.25" style="2940" customWidth="1"/>
    <col min="6149" max="6149" width="34.375" style="2940" customWidth="1"/>
    <col min="6150" max="6150" width="7.875" style="2940" customWidth="1"/>
    <col min="6151" max="6152" width="13.875" style="2940" customWidth="1"/>
    <col min="6153" max="6153" width="8.375" style="2940" customWidth="1"/>
    <col min="6154" max="6154" width="9" style="2940" customWidth="1"/>
    <col min="6155" max="6155" width="26.125" style="2940" customWidth="1"/>
    <col min="6156" max="6156" width="10.625" style="2940" customWidth="1"/>
    <col min="6157" max="6157" width="14.375" style="2940" customWidth="1"/>
    <col min="6158" max="6158" width="6.25" style="2940" customWidth="1"/>
    <col min="6159" max="6159" width="7.875" style="2940" customWidth="1"/>
    <col min="6160" max="6400" width="9" style="2940"/>
    <col min="6401" max="6401" width="34.375" style="2940" customWidth="1"/>
    <col min="6402" max="6402" width="6.25" style="2940" customWidth="1"/>
    <col min="6403" max="6403" width="13.875" style="2940" customWidth="1"/>
    <col min="6404" max="6404" width="6.25" style="2940" customWidth="1"/>
    <col min="6405" max="6405" width="34.375" style="2940" customWidth="1"/>
    <col min="6406" max="6406" width="7.875" style="2940" customWidth="1"/>
    <col min="6407" max="6408" width="13.875" style="2940" customWidth="1"/>
    <col min="6409" max="6409" width="8.375" style="2940" customWidth="1"/>
    <col min="6410" max="6410" width="9" style="2940" customWidth="1"/>
    <col min="6411" max="6411" width="26.125" style="2940" customWidth="1"/>
    <col min="6412" max="6412" width="10.625" style="2940" customWidth="1"/>
    <col min="6413" max="6413" width="14.375" style="2940" customWidth="1"/>
    <col min="6414" max="6414" width="6.25" style="2940" customWidth="1"/>
    <col min="6415" max="6415" width="7.875" style="2940" customWidth="1"/>
    <col min="6416" max="6656" width="9" style="2940"/>
    <col min="6657" max="6657" width="34.375" style="2940" customWidth="1"/>
    <col min="6658" max="6658" width="6.25" style="2940" customWidth="1"/>
    <col min="6659" max="6659" width="13.875" style="2940" customWidth="1"/>
    <col min="6660" max="6660" width="6.25" style="2940" customWidth="1"/>
    <col min="6661" max="6661" width="34.375" style="2940" customWidth="1"/>
    <col min="6662" max="6662" width="7.875" style="2940" customWidth="1"/>
    <col min="6663" max="6664" width="13.875" style="2940" customWidth="1"/>
    <col min="6665" max="6665" width="8.375" style="2940" customWidth="1"/>
    <col min="6666" max="6666" width="9" style="2940" customWidth="1"/>
    <col min="6667" max="6667" width="26.125" style="2940" customWidth="1"/>
    <col min="6668" max="6668" width="10.625" style="2940" customWidth="1"/>
    <col min="6669" max="6669" width="14.375" style="2940" customWidth="1"/>
    <col min="6670" max="6670" width="6.25" style="2940" customWidth="1"/>
    <col min="6671" max="6671" width="7.875" style="2940" customWidth="1"/>
    <col min="6672" max="6912" width="9" style="2940"/>
    <col min="6913" max="6913" width="34.375" style="2940" customWidth="1"/>
    <col min="6914" max="6914" width="6.25" style="2940" customWidth="1"/>
    <col min="6915" max="6915" width="13.875" style="2940" customWidth="1"/>
    <col min="6916" max="6916" width="6.25" style="2940" customWidth="1"/>
    <col min="6917" max="6917" width="34.375" style="2940" customWidth="1"/>
    <col min="6918" max="6918" width="7.875" style="2940" customWidth="1"/>
    <col min="6919" max="6920" width="13.875" style="2940" customWidth="1"/>
    <col min="6921" max="6921" width="8.375" style="2940" customWidth="1"/>
    <col min="6922" max="6922" width="9" style="2940" customWidth="1"/>
    <col min="6923" max="6923" width="26.125" style="2940" customWidth="1"/>
    <col min="6924" max="6924" width="10.625" style="2940" customWidth="1"/>
    <col min="6925" max="6925" width="14.375" style="2940" customWidth="1"/>
    <col min="6926" max="6926" width="6.25" style="2940" customWidth="1"/>
    <col min="6927" max="6927" width="7.875" style="2940" customWidth="1"/>
    <col min="6928" max="7168" width="9" style="2940"/>
    <col min="7169" max="7169" width="34.375" style="2940" customWidth="1"/>
    <col min="7170" max="7170" width="6.25" style="2940" customWidth="1"/>
    <col min="7171" max="7171" width="13.875" style="2940" customWidth="1"/>
    <col min="7172" max="7172" width="6.25" style="2940" customWidth="1"/>
    <col min="7173" max="7173" width="34.375" style="2940" customWidth="1"/>
    <col min="7174" max="7174" width="7.875" style="2940" customWidth="1"/>
    <col min="7175" max="7176" width="13.875" style="2940" customWidth="1"/>
    <col min="7177" max="7177" width="8.375" style="2940" customWidth="1"/>
    <col min="7178" max="7178" width="9" style="2940" customWidth="1"/>
    <col min="7179" max="7179" width="26.125" style="2940" customWidth="1"/>
    <col min="7180" max="7180" width="10.625" style="2940" customWidth="1"/>
    <col min="7181" max="7181" width="14.375" style="2940" customWidth="1"/>
    <col min="7182" max="7182" width="6.25" style="2940" customWidth="1"/>
    <col min="7183" max="7183" width="7.875" style="2940" customWidth="1"/>
    <col min="7184" max="7424" width="9" style="2940"/>
    <col min="7425" max="7425" width="34.375" style="2940" customWidth="1"/>
    <col min="7426" max="7426" width="6.25" style="2940" customWidth="1"/>
    <col min="7427" max="7427" width="13.875" style="2940" customWidth="1"/>
    <col min="7428" max="7428" width="6.25" style="2940" customWidth="1"/>
    <col min="7429" max="7429" width="34.375" style="2940" customWidth="1"/>
    <col min="7430" max="7430" width="7.875" style="2940" customWidth="1"/>
    <col min="7431" max="7432" width="13.875" style="2940" customWidth="1"/>
    <col min="7433" max="7433" width="8.375" style="2940" customWidth="1"/>
    <col min="7434" max="7434" width="9" style="2940" customWidth="1"/>
    <col min="7435" max="7435" width="26.125" style="2940" customWidth="1"/>
    <col min="7436" max="7436" width="10.625" style="2940" customWidth="1"/>
    <col min="7437" max="7437" width="14.375" style="2940" customWidth="1"/>
    <col min="7438" max="7438" width="6.25" style="2940" customWidth="1"/>
    <col min="7439" max="7439" width="7.875" style="2940" customWidth="1"/>
    <col min="7440" max="7680" width="9" style="2940"/>
    <col min="7681" max="7681" width="34.375" style="2940" customWidth="1"/>
    <col min="7682" max="7682" width="6.25" style="2940" customWidth="1"/>
    <col min="7683" max="7683" width="13.875" style="2940" customWidth="1"/>
    <col min="7684" max="7684" width="6.25" style="2940" customWidth="1"/>
    <col min="7685" max="7685" width="34.375" style="2940" customWidth="1"/>
    <col min="7686" max="7686" width="7.875" style="2940" customWidth="1"/>
    <col min="7687" max="7688" width="13.875" style="2940" customWidth="1"/>
    <col min="7689" max="7689" width="8.375" style="2940" customWidth="1"/>
    <col min="7690" max="7690" width="9" style="2940" customWidth="1"/>
    <col min="7691" max="7691" width="26.125" style="2940" customWidth="1"/>
    <col min="7692" max="7692" width="10.625" style="2940" customWidth="1"/>
    <col min="7693" max="7693" width="14.375" style="2940" customWidth="1"/>
    <col min="7694" max="7694" width="6.25" style="2940" customWidth="1"/>
    <col min="7695" max="7695" width="7.875" style="2940" customWidth="1"/>
    <col min="7696" max="7936" width="9" style="2940"/>
    <col min="7937" max="7937" width="34.375" style="2940" customWidth="1"/>
    <col min="7938" max="7938" width="6.25" style="2940" customWidth="1"/>
    <col min="7939" max="7939" width="13.875" style="2940" customWidth="1"/>
    <col min="7940" max="7940" width="6.25" style="2940" customWidth="1"/>
    <col min="7941" max="7941" width="34.375" style="2940" customWidth="1"/>
    <col min="7942" max="7942" width="7.875" style="2940" customWidth="1"/>
    <col min="7943" max="7944" width="13.875" style="2940" customWidth="1"/>
    <col min="7945" max="7945" width="8.375" style="2940" customWidth="1"/>
    <col min="7946" max="7946" width="9" style="2940" customWidth="1"/>
    <col min="7947" max="7947" width="26.125" style="2940" customWidth="1"/>
    <col min="7948" max="7948" width="10.625" style="2940" customWidth="1"/>
    <col min="7949" max="7949" width="14.375" style="2940" customWidth="1"/>
    <col min="7950" max="7950" width="6.25" style="2940" customWidth="1"/>
    <col min="7951" max="7951" width="7.875" style="2940" customWidth="1"/>
    <col min="7952" max="8192" width="9" style="2940"/>
    <col min="8193" max="8193" width="34.375" style="2940" customWidth="1"/>
    <col min="8194" max="8194" width="6.25" style="2940" customWidth="1"/>
    <col min="8195" max="8195" width="13.875" style="2940" customWidth="1"/>
    <col min="8196" max="8196" width="6.25" style="2940" customWidth="1"/>
    <col min="8197" max="8197" width="34.375" style="2940" customWidth="1"/>
    <col min="8198" max="8198" width="7.875" style="2940" customWidth="1"/>
    <col min="8199" max="8200" width="13.875" style="2940" customWidth="1"/>
    <col min="8201" max="8201" width="8.375" style="2940" customWidth="1"/>
    <col min="8202" max="8202" width="9" style="2940" customWidth="1"/>
    <col min="8203" max="8203" width="26.125" style="2940" customWidth="1"/>
    <col min="8204" max="8204" width="10.625" style="2940" customWidth="1"/>
    <col min="8205" max="8205" width="14.375" style="2940" customWidth="1"/>
    <col min="8206" max="8206" width="6.25" style="2940" customWidth="1"/>
    <col min="8207" max="8207" width="7.875" style="2940" customWidth="1"/>
    <col min="8208" max="8448" width="9" style="2940"/>
    <col min="8449" max="8449" width="34.375" style="2940" customWidth="1"/>
    <col min="8450" max="8450" width="6.25" style="2940" customWidth="1"/>
    <col min="8451" max="8451" width="13.875" style="2940" customWidth="1"/>
    <col min="8452" max="8452" width="6.25" style="2940" customWidth="1"/>
    <col min="8453" max="8453" width="34.375" style="2940" customWidth="1"/>
    <col min="8454" max="8454" width="7.875" style="2940" customWidth="1"/>
    <col min="8455" max="8456" width="13.875" style="2940" customWidth="1"/>
    <col min="8457" max="8457" width="8.375" style="2940" customWidth="1"/>
    <col min="8458" max="8458" width="9" style="2940" customWidth="1"/>
    <col min="8459" max="8459" width="26.125" style="2940" customWidth="1"/>
    <col min="8460" max="8460" width="10.625" style="2940" customWidth="1"/>
    <col min="8461" max="8461" width="14.375" style="2940" customWidth="1"/>
    <col min="8462" max="8462" width="6.25" style="2940" customWidth="1"/>
    <col min="8463" max="8463" width="7.875" style="2940" customWidth="1"/>
    <col min="8464" max="8704" width="9" style="2940"/>
    <col min="8705" max="8705" width="34.375" style="2940" customWidth="1"/>
    <col min="8706" max="8706" width="6.25" style="2940" customWidth="1"/>
    <col min="8707" max="8707" width="13.875" style="2940" customWidth="1"/>
    <col min="8708" max="8708" width="6.25" style="2940" customWidth="1"/>
    <col min="8709" max="8709" width="34.375" style="2940" customWidth="1"/>
    <col min="8710" max="8710" width="7.875" style="2940" customWidth="1"/>
    <col min="8711" max="8712" width="13.875" style="2940" customWidth="1"/>
    <col min="8713" max="8713" width="8.375" style="2940" customWidth="1"/>
    <col min="8714" max="8714" width="9" style="2940" customWidth="1"/>
    <col min="8715" max="8715" width="26.125" style="2940" customWidth="1"/>
    <col min="8716" max="8716" width="10.625" style="2940" customWidth="1"/>
    <col min="8717" max="8717" width="14.375" style="2940" customWidth="1"/>
    <col min="8718" max="8718" width="6.25" style="2940" customWidth="1"/>
    <col min="8719" max="8719" width="7.875" style="2940" customWidth="1"/>
    <col min="8720" max="8960" width="9" style="2940"/>
    <col min="8961" max="8961" width="34.375" style="2940" customWidth="1"/>
    <col min="8962" max="8962" width="6.25" style="2940" customWidth="1"/>
    <col min="8963" max="8963" width="13.875" style="2940" customWidth="1"/>
    <col min="8964" max="8964" width="6.25" style="2940" customWidth="1"/>
    <col min="8965" max="8965" width="34.375" style="2940" customWidth="1"/>
    <col min="8966" max="8966" width="7.875" style="2940" customWidth="1"/>
    <col min="8967" max="8968" width="13.875" style="2940" customWidth="1"/>
    <col min="8969" max="8969" width="8.375" style="2940" customWidth="1"/>
    <col min="8970" max="8970" width="9" style="2940" customWidth="1"/>
    <col min="8971" max="8971" width="26.125" style="2940" customWidth="1"/>
    <col min="8972" max="8972" width="10.625" style="2940" customWidth="1"/>
    <col min="8973" max="8973" width="14.375" style="2940" customWidth="1"/>
    <col min="8974" max="8974" width="6.25" style="2940" customWidth="1"/>
    <col min="8975" max="8975" width="7.875" style="2940" customWidth="1"/>
    <col min="8976" max="9216" width="9" style="2940"/>
    <col min="9217" max="9217" width="34.375" style="2940" customWidth="1"/>
    <col min="9218" max="9218" width="6.25" style="2940" customWidth="1"/>
    <col min="9219" max="9219" width="13.875" style="2940" customWidth="1"/>
    <col min="9220" max="9220" width="6.25" style="2940" customWidth="1"/>
    <col min="9221" max="9221" width="34.375" style="2940" customWidth="1"/>
    <col min="9222" max="9222" width="7.875" style="2940" customWidth="1"/>
    <col min="9223" max="9224" width="13.875" style="2940" customWidth="1"/>
    <col min="9225" max="9225" width="8.375" style="2940" customWidth="1"/>
    <col min="9226" max="9226" width="9" style="2940" customWidth="1"/>
    <col min="9227" max="9227" width="26.125" style="2940" customWidth="1"/>
    <col min="9228" max="9228" width="10.625" style="2940" customWidth="1"/>
    <col min="9229" max="9229" width="14.375" style="2940" customWidth="1"/>
    <col min="9230" max="9230" width="6.25" style="2940" customWidth="1"/>
    <col min="9231" max="9231" width="7.875" style="2940" customWidth="1"/>
    <col min="9232" max="9472" width="9" style="2940"/>
    <col min="9473" max="9473" width="34.375" style="2940" customWidth="1"/>
    <col min="9474" max="9474" width="6.25" style="2940" customWidth="1"/>
    <col min="9475" max="9475" width="13.875" style="2940" customWidth="1"/>
    <col min="9476" max="9476" width="6.25" style="2940" customWidth="1"/>
    <col min="9477" max="9477" width="34.375" style="2940" customWidth="1"/>
    <col min="9478" max="9478" width="7.875" style="2940" customWidth="1"/>
    <col min="9479" max="9480" width="13.875" style="2940" customWidth="1"/>
    <col min="9481" max="9481" width="8.375" style="2940" customWidth="1"/>
    <col min="9482" max="9482" width="9" style="2940" customWidth="1"/>
    <col min="9483" max="9483" width="26.125" style="2940" customWidth="1"/>
    <col min="9484" max="9484" width="10.625" style="2940" customWidth="1"/>
    <col min="9485" max="9485" width="14.375" style="2940" customWidth="1"/>
    <col min="9486" max="9486" width="6.25" style="2940" customWidth="1"/>
    <col min="9487" max="9487" width="7.875" style="2940" customWidth="1"/>
    <col min="9488" max="9728" width="9" style="2940"/>
    <col min="9729" max="9729" width="34.375" style="2940" customWidth="1"/>
    <col min="9730" max="9730" width="6.25" style="2940" customWidth="1"/>
    <col min="9731" max="9731" width="13.875" style="2940" customWidth="1"/>
    <col min="9732" max="9732" width="6.25" style="2940" customWidth="1"/>
    <col min="9733" max="9733" width="34.375" style="2940" customWidth="1"/>
    <col min="9734" max="9734" width="7.875" style="2940" customWidth="1"/>
    <col min="9735" max="9736" width="13.875" style="2940" customWidth="1"/>
    <col min="9737" max="9737" width="8.375" style="2940" customWidth="1"/>
    <col min="9738" max="9738" width="9" style="2940" customWidth="1"/>
    <col min="9739" max="9739" width="26.125" style="2940" customWidth="1"/>
    <col min="9740" max="9740" width="10.625" style="2940" customWidth="1"/>
    <col min="9741" max="9741" width="14.375" style="2940" customWidth="1"/>
    <col min="9742" max="9742" width="6.25" style="2940" customWidth="1"/>
    <col min="9743" max="9743" width="7.875" style="2940" customWidth="1"/>
    <col min="9744" max="9984" width="9" style="2940"/>
    <col min="9985" max="9985" width="34.375" style="2940" customWidth="1"/>
    <col min="9986" max="9986" width="6.25" style="2940" customWidth="1"/>
    <col min="9987" max="9987" width="13.875" style="2940" customWidth="1"/>
    <col min="9988" max="9988" width="6.25" style="2940" customWidth="1"/>
    <col min="9989" max="9989" width="34.375" style="2940" customWidth="1"/>
    <col min="9990" max="9990" width="7.875" style="2940" customWidth="1"/>
    <col min="9991" max="9992" width="13.875" style="2940" customWidth="1"/>
    <col min="9993" max="9993" width="8.375" style="2940" customWidth="1"/>
    <col min="9994" max="9994" width="9" style="2940" customWidth="1"/>
    <col min="9995" max="9995" width="26.125" style="2940" customWidth="1"/>
    <col min="9996" max="9996" width="10.625" style="2940" customWidth="1"/>
    <col min="9997" max="9997" width="14.375" style="2940" customWidth="1"/>
    <col min="9998" max="9998" width="6.25" style="2940" customWidth="1"/>
    <col min="9999" max="9999" width="7.875" style="2940" customWidth="1"/>
    <col min="10000" max="10240" width="9" style="2940"/>
    <col min="10241" max="10241" width="34.375" style="2940" customWidth="1"/>
    <col min="10242" max="10242" width="6.25" style="2940" customWidth="1"/>
    <col min="10243" max="10243" width="13.875" style="2940" customWidth="1"/>
    <col min="10244" max="10244" width="6.25" style="2940" customWidth="1"/>
    <col min="10245" max="10245" width="34.375" style="2940" customWidth="1"/>
    <col min="10246" max="10246" width="7.875" style="2940" customWidth="1"/>
    <col min="10247" max="10248" width="13.875" style="2940" customWidth="1"/>
    <col min="10249" max="10249" width="8.375" style="2940" customWidth="1"/>
    <col min="10250" max="10250" width="9" style="2940" customWidth="1"/>
    <col min="10251" max="10251" width="26.125" style="2940" customWidth="1"/>
    <col min="10252" max="10252" width="10.625" style="2940" customWidth="1"/>
    <col min="10253" max="10253" width="14.375" style="2940" customWidth="1"/>
    <col min="10254" max="10254" width="6.25" style="2940" customWidth="1"/>
    <col min="10255" max="10255" width="7.875" style="2940" customWidth="1"/>
    <col min="10256" max="10496" width="9" style="2940"/>
    <col min="10497" max="10497" width="34.375" style="2940" customWidth="1"/>
    <col min="10498" max="10498" width="6.25" style="2940" customWidth="1"/>
    <col min="10499" max="10499" width="13.875" style="2940" customWidth="1"/>
    <col min="10500" max="10500" width="6.25" style="2940" customWidth="1"/>
    <col min="10501" max="10501" width="34.375" style="2940" customWidth="1"/>
    <col min="10502" max="10502" width="7.875" style="2940" customWidth="1"/>
    <col min="10503" max="10504" width="13.875" style="2940" customWidth="1"/>
    <col min="10505" max="10505" width="8.375" style="2940" customWidth="1"/>
    <col min="10506" max="10506" width="9" style="2940" customWidth="1"/>
    <col min="10507" max="10507" width="26.125" style="2940" customWidth="1"/>
    <col min="10508" max="10508" width="10.625" style="2940" customWidth="1"/>
    <col min="10509" max="10509" width="14.375" style="2940" customWidth="1"/>
    <col min="10510" max="10510" width="6.25" style="2940" customWidth="1"/>
    <col min="10511" max="10511" width="7.875" style="2940" customWidth="1"/>
    <col min="10512" max="10752" width="9" style="2940"/>
    <col min="10753" max="10753" width="34.375" style="2940" customWidth="1"/>
    <col min="10754" max="10754" width="6.25" style="2940" customWidth="1"/>
    <col min="10755" max="10755" width="13.875" style="2940" customWidth="1"/>
    <col min="10756" max="10756" width="6.25" style="2940" customWidth="1"/>
    <col min="10757" max="10757" width="34.375" style="2940" customWidth="1"/>
    <col min="10758" max="10758" width="7.875" style="2940" customWidth="1"/>
    <col min="10759" max="10760" width="13.875" style="2940" customWidth="1"/>
    <col min="10761" max="10761" width="8.375" style="2940" customWidth="1"/>
    <col min="10762" max="10762" width="9" style="2940" customWidth="1"/>
    <col min="10763" max="10763" width="26.125" style="2940" customWidth="1"/>
    <col min="10764" max="10764" width="10.625" style="2940" customWidth="1"/>
    <col min="10765" max="10765" width="14.375" style="2940" customWidth="1"/>
    <col min="10766" max="10766" width="6.25" style="2940" customWidth="1"/>
    <col min="10767" max="10767" width="7.875" style="2940" customWidth="1"/>
    <col min="10768" max="11008" width="9" style="2940"/>
    <col min="11009" max="11009" width="34.375" style="2940" customWidth="1"/>
    <col min="11010" max="11010" width="6.25" style="2940" customWidth="1"/>
    <col min="11011" max="11011" width="13.875" style="2940" customWidth="1"/>
    <col min="11012" max="11012" width="6.25" style="2940" customWidth="1"/>
    <col min="11013" max="11013" width="34.375" style="2940" customWidth="1"/>
    <col min="11014" max="11014" width="7.875" style="2940" customWidth="1"/>
    <col min="11015" max="11016" width="13.875" style="2940" customWidth="1"/>
    <col min="11017" max="11017" width="8.375" style="2940" customWidth="1"/>
    <col min="11018" max="11018" width="9" style="2940" customWidth="1"/>
    <col min="11019" max="11019" width="26.125" style="2940" customWidth="1"/>
    <col min="11020" max="11020" width="10.625" style="2940" customWidth="1"/>
    <col min="11021" max="11021" width="14.375" style="2940" customWidth="1"/>
    <col min="11022" max="11022" width="6.25" style="2940" customWidth="1"/>
    <col min="11023" max="11023" width="7.875" style="2940" customWidth="1"/>
    <col min="11024" max="11264" width="9" style="2940"/>
    <col min="11265" max="11265" width="34.375" style="2940" customWidth="1"/>
    <col min="11266" max="11266" width="6.25" style="2940" customWidth="1"/>
    <col min="11267" max="11267" width="13.875" style="2940" customWidth="1"/>
    <col min="11268" max="11268" width="6.25" style="2940" customWidth="1"/>
    <col min="11269" max="11269" width="34.375" style="2940" customWidth="1"/>
    <col min="11270" max="11270" width="7.875" style="2940" customWidth="1"/>
    <col min="11271" max="11272" width="13.875" style="2940" customWidth="1"/>
    <col min="11273" max="11273" width="8.375" style="2940" customWidth="1"/>
    <col min="11274" max="11274" width="9" style="2940" customWidth="1"/>
    <col min="11275" max="11275" width="26.125" style="2940" customWidth="1"/>
    <col min="11276" max="11276" width="10.625" style="2940" customWidth="1"/>
    <col min="11277" max="11277" width="14.375" style="2940" customWidth="1"/>
    <col min="11278" max="11278" width="6.25" style="2940" customWidth="1"/>
    <col min="11279" max="11279" width="7.875" style="2940" customWidth="1"/>
    <col min="11280" max="11520" width="9" style="2940"/>
    <col min="11521" max="11521" width="34.375" style="2940" customWidth="1"/>
    <col min="11522" max="11522" width="6.25" style="2940" customWidth="1"/>
    <col min="11523" max="11523" width="13.875" style="2940" customWidth="1"/>
    <col min="11524" max="11524" width="6.25" style="2940" customWidth="1"/>
    <col min="11525" max="11525" width="34.375" style="2940" customWidth="1"/>
    <col min="11526" max="11526" width="7.875" style="2940" customWidth="1"/>
    <col min="11527" max="11528" width="13.875" style="2940" customWidth="1"/>
    <col min="11529" max="11529" width="8.375" style="2940" customWidth="1"/>
    <col min="11530" max="11530" width="9" style="2940" customWidth="1"/>
    <col min="11531" max="11531" width="26.125" style="2940" customWidth="1"/>
    <col min="11532" max="11532" width="10.625" style="2940" customWidth="1"/>
    <col min="11533" max="11533" width="14.375" style="2940" customWidth="1"/>
    <col min="11534" max="11534" width="6.25" style="2940" customWidth="1"/>
    <col min="11535" max="11535" width="7.875" style="2940" customWidth="1"/>
    <col min="11536" max="11776" width="9" style="2940"/>
    <col min="11777" max="11777" width="34.375" style="2940" customWidth="1"/>
    <col min="11778" max="11778" width="6.25" style="2940" customWidth="1"/>
    <col min="11779" max="11779" width="13.875" style="2940" customWidth="1"/>
    <col min="11780" max="11780" width="6.25" style="2940" customWidth="1"/>
    <col min="11781" max="11781" width="34.375" style="2940" customWidth="1"/>
    <col min="11782" max="11782" width="7.875" style="2940" customWidth="1"/>
    <col min="11783" max="11784" width="13.875" style="2940" customWidth="1"/>
    <col min="11785" max="11785" width="8.375" style="2940" customWidth="1"/>
    <col min="11786" max="11786" width="9" style="2940" customWidth="1"/>
    <col min="11787" max="11787" width="26.125" style="2940" customWidth="1"/>
    <col min="11788" max="11788" width="10.625" style="2940" customWidth="1"/>
    <col min="11789" max="11789" width="14.375" style="2940" customWidth="1"/>
    <col min="11790" max="11790" width="6.25" style="2940" customWidth="1"/>
    <col min="11791" max="11791" width="7.875" style="2940" customWidth="1"/>
    <col min="11792" max="12032" width="9" style="2940"/>
    <col min="12033" max="12033" width="34.375" style="2940" customWidth="1"/>
    <col min="12034" max="12034" width="6.25" style="2940" customWidth="1"/>
    <col min="12035" max="12035" width="13.875" style="2940" customWidth="1"/>
    <col min="12036" max="12036" width="6.25" style="2940" customWidth="1"/>
    <col min="12037" max="12037" width="34.375" style="2940" customWidth="1"/>
    <col min="12038" max="12038" width="7.875" style="2940" customWidth="1"/>
    <col min="12039" max="12040" width="13.875" style="2940" customWidth="1"/>
    <col min="12041" max="12041" width="8.375" style="2940" customWidth="1"/>
    <col min="12042" max="12042" width="9" style="2940" customWidth="1"/>
    <col min="12043" max="12043" width="26.125" style="2940" customWidth="1"/>
    <col min="12044" max="12044" width="10.625" style="2940" customWidth="1"/>
    <col min="12045" max="12045" width="14.375" style="2940" customWidth="1"/>
    <col min="12046" max="12046" width="6.25" style="2940" customWidth="1"/>
    <col min="12047" max="12047" width="7.875" style="2940" customWidth="1"/>
    <col min="12048" max="12288" width="9" style="2940"/>
    <col min="12289" max="12289" width="34.375" style="2940" customWidth="1"/>
    <col min="12290" max="12290" width="6.25" style="2940" customWidth="1"/>
    <col min="12291" max="12291" width="13.875" style="2940" customWidth="1"/>
    <col min="12292" max="12292" width="6.25" style="2940" customWidth="1"/>
    <col min="12293" max="12293" width="34.375" style="2940" customWidth="1"/>
    <col min="12294" max="12294" width="7.875" style="2940" customWidth="1"/>
    <col min="12295" max="12296" width="13.875" style="2940" customWidth="1"/>
    <col min="12297" max="12297" width="8.375" style="2940" customWidth="1"/>
    <col min="12298" max="12298" width="9" style="2940" customWidth="1"/>
    <col min="12299" max="12299" width="26.125" style="2940" customWidth="1"/>
    <col min="12300" max="12300" width="10.625" style="2940" customWidth="1"/>
    <col min="12301" max="12301" width="14.375" style="2940" customWidth="1"/>
    <col min="12302" max="12302" width="6.25" style="2940" customWidth="1"/>
    <col min="12303" max="12303" width="7.875" style="2940" customWidth="1"/>
    <col min="12304" max="12544" width="9" style="2940"/>
    <col min="12545" max="12545" width="34.375" style="2940" customWidth="1"/>
    <col min="12546" max="12546" width="6.25" style="2940" customWidth="1"/>
    <col min="12547" max="12547" width="13.875" style="2940" customWidth="1"/>
    <col min="12548" max="12548" width="6.25" style="2940" customWidth="1"/>
    <col min="12549" max="12549" width="34.375" style="2940" customWidth="1"/>
    <col min="12550" max="12550" width="7.875" style="2940" customWidth="1"/>
    <col min="12551" max="12552" width="13.875" style="2940" customWidth="1"/>
    <col min="12553" max="12553" width="8.375" style="2940" customWidth="1"/>
    <col min="12554" max="12554" width="9" style="2940" customWidth="1"/>
    <col min="12555" max="12555" width="26.125" style="2940" customWidth="1"/>
    <col min="12556" max="12556" width="10.625" style="2940" customWidth="1"/>
    <col min="12557" max="12557" width="14.375" style="2940" customWidth="1"/>
    <col min="12558" max="12558" width="6.25" style="2940" customWidth="1"/>
    <col min="12559" max="12559" width="7.875" style="2940" customWidth="1"/>
    <col min="12560" max="12800" width="9" style="2940"/>
    <col min="12801" max="12801" width="34.375" style="2940" customWidth="1"/>
    <col min="12802" max="12802" width="6.25" style="2940" customWidth="1"/>
    <col min="12803" max="12803" width="13.875" style="2940" customWidth="1"/>
    <col min="12804" max="12804" width="6.25" style="2940" customWidth="1"/>
    <col min="12805" max="12805" width="34.375" style="2940" customWidth="1"/>
    <col min="12806" max="12806" width="7.875" style="2940" customWidth="1"/>
    <col min="12807" max="12808" width="13.875" style="2940" customWidth="1"/>
    <col min="12809" max="12809" width="8.375" style="2940" customWidth="1"/>
    <col min="12810" max="12810" width="9" style="2940" customWidth="1"/>
    <col min="12811" max="12811" width="26.125" style="2940" customWidth="1"/>
    <col min="12812" max="12812" width="10.625" style="2940" customWidth="1"/>
    <col min="12813" max="12813" width="14.375" style="2940" customWidth="1"/>
    <col min="12814" max="12814" width="6.25" style="2940" customWidth="1"/>
    <col min="12815" max="12815" width="7.875" style="2940" customWidth="1"/>
    <col min="12816" max="13056" width="9" style="2940"/>
    <col min="13057" max="13057" width="34.375" style="2940" customWidth="1"/>
    <col min="13058" max="13058" width="6.25" style="2940" customWidth="1"/>
    <col min="13059" max="13059" width="13.875" style="2940" customWidth="1"/>
    <col min="13060" max="13060" width="6.25" style="2940" customWidth="1"/>
    <col min="13061" max="13061" width="34.375" style="2940" customWidth="1"/>
    <col min="13062" max="13062" width="7.875" style="2940" customWidth="1"/>
    <col min="13063" max="13064" width="13.875" style="2940" customWidth="1"/>
    <col min="13065" max="13065" width="8.375" style="2940" customWidth="1"/>
    <col min="13066" max="13066" width="9" style="2940" customWidth="1"/>
    <col min="13067" max="13067" width="26.125" style="2940" customWidth="1"/>
    <col min="13068" max="13068" width="10.625" style="2940" customWidth="1"/>
    <col min="13069" max="13069" width="14.375" style="2940" customWidth="1"/>
    <col min="13070" max="13070" width="6.25" style="2940" customWidth="1"/>
    <col min="13071" max="13071" width="7.875" style="2940" customWidth="1"/>
    <col min="13072" max="13312" width="9" style="2940"/>
    <col min="13313" max="13313" width="34.375" style="2940" customWidth="1"/>
    <col min="13314" max="13314" width="6.25" style="2940" customWidth="1"/>
    <col min="13315" max="13315" width="13.875" style="2940" customWidth="1"/>
    <col min="13316" max="13316" width="6.25" style="2940" customWidth="1"/>
    <col min="13317" max="13317" width="34.375" style="2940" customWidth="1"/>
    <col min="13318" max="13318" width="7.875" style="2940" customWidth="1"/>
    <col min="13319" max="13320" width="13.875" style="2940" customWidth="1"/>
    <col min="13321" max="13321" width="8.375" style="2940" customWidth="1"/>
    <col min="13322" max="13322" width="9" style="2940" customWidth="1"/>
    <col min="13323" max="13323" width="26.125" style="2940" customWidth="1"/>
    <col min="13324" max="13324" width="10.625" style="2940" customWidth="1"/>
    <col min="13325" max="13325" width="14.375" style="2940" customWidth="1"/>
    <col min="13326" max="13326" width="6.25" style="2940" customWidth="1"/>
    <col min="13327" max="13327" width="7.875" style="2940" customWidth="1"/>
    <col min="13328" max="13568" width="9" style="2940"/>
    <col min="13569" max="13569" width="34.375" style="2940" customWidth="1"/>
    <col min="13570" max="13570" width="6.25" style="2940" customWidth="1"/>
    <col min="13571" max="13571" width="13.875" style="2940" customWidth="1"/>
    <col min="13572" max="13572" width="6.25" style="2940" customWidth="1"/>
    <col min="13573" max="13573" width="34.375" style="2940" customWidth="1"/>
    <col min="13574" max="13574" width="7.875" style="2940" customWidth="1"/>
    <col min="13575" max="13576" width="13.875" style="2940" customWidth="1"/>
    <col min="13577" max="13577" width="8.375" style="2940" customWidth="1"/>
    <col min="13578" max="13578" width="9" style="2940" customWidth="1"/>
    <col min="13579" max="13579" width="26.125" style="2940" customWidth="1"/>
    <col min="13580" max="13580" width="10.625" style="2940" customWidth="1"/>
    <col min="13581" max="13581" width="14.375" style="2940" customWidth="1"/>
    <col min="13582" max="13582" width="6.25" style="2940" customWidth="1"/>
    <col min="13583" max="13583" width="7.875" style="2940" customWidth="1"/>
    <col min="13584" max="13824" width="9" style="2940"/>
    <col min="13825" max="13825" width="34.375" style="2940" customWidth="1"/>
    <col min="13826" max="13826" width="6.25" style="2940" customWidth="1"/>
    <col min="13827" max="13827" width="13.875" style="2940" customWidth="1"/>
    <col min="13828" max="13828" width="6.25" style="2940" customWidth="1"/>
    <col min="13829" max="13829" width="34.375" style="2940" customWidth="1"/>
    <col min="13830" max="13830" width="7.875" style="2940" customWidth="1"/>
    <col min="13831" max="13832" width="13.875" style="2940" customWidth="1"/>
    <col min="13833" max="13833" width="8.375" style="2940" customWidth="1"/>
    <col min="13834" max="13834" width="9" style="2940" customWidth="1"/>
    <col min="13835" max="13835" width="26.125" style="2940" customWidth="1"/>
    <col min="13836" max="13836" width="10.625" style="2940" customWidth="1"/>
    <col min="13837" max="13837" width="14.375" style="2940" customWidth="1"/>
    <col min="13838" max="13838" width="6.25" style="2940" customWidth="1"/>
    <col min="13839" max="13839" width="7.875" style="2940" customWidth="1"/>
    <col min="13840" max="14080" width="9" style="2940"/>
    <col min="14081" max="14081" width="34.375" style="2940" customWidth="1"/>
    <col min="14082" max="14082" width="6.25" style="2940" customWidth="1"/>
    <col min="14083" max="14083" width="13.875" style="2940" customWidth="1"/>
    <col min="14084" max="14084" width="6.25" style="2940" customWidth="1"/>
    <col min="14085" max="14085" width="34.375" style="2940" customWidth="1"/>
    <col min="14086" max="14086" width="7.875" style="2940" customWidth="1"/>
    <col min="14087" max="14088" width="13.875" style="2940" customWidth="1"/>
    <col min="14089" max="14089" width="8.375" style="2940" customWidth="1"/>
    <col min="14090" max="14090" width="9" style="2940" customWidth="1"/>
    <col min="14091" max="14091" width="26.125" style="2940" customWidth="1"/>
    <col min="14092" max="14092" width="10.625" style="2940" customWidth="1"/>
    <col min="14093" max="14093" width="14.375" style="2940" customWidth="1"/>
    <col min="14094" max="14094" width="6.25" style="2940" customWidth="1"/>
    <col min="14095" max="14095" width="7.875" style="2940" customWidth="1"/>
    <col min="14096" max="14336" width="9" style="2940"/>
    <col min="14337" max="14337" width="34.375" style="2940" customWidth="1"/>
    <col min="14338" max="14338" width="6.25" style="2940" customWidth="1"/>
    <col min="14339" max="14339" width="13.875" style="2940" customWidth="1"/>
    <col min="14340" max="14340" width="6.25" style="2940" customWidth="1"/>
    <col min="14341" max="14341" width="34.375" style="2940" customWidth="1"/>
    <col min="14342" max="14342" width="7.875" style="2940" customWidth="1"/>
    <col min="14343" max="14344" width="13.875" style="2940" customWidth="1"/>
    <col min="14345" max="14345" width="8.375" style="2940" customWidth="1"/>
    <col min="14346" max="14346" width="9" style="2940" customWidth="1"/>
    <col min="14347" max="14347" width="26.125" style="2940" customWidth="1"/>
    <col min="14348" max="14348" width="10.625" style="2940" customWidth="1"/>
    <col min="14349" max="14349" width="14.375" style="2940" customWidth="1"/>
    <col min="14350" max="14350" width="6.25" style="2940" customWidth="1"/>
    <col min="14351" max="14351" width="7.875" style="2940" customWidth="1"/>
    <col min="14352" max="14592" width="9" style="2940"/>
    <col min="14593" max="14593" width="34.375" style="2940" customWidth="1"/>
    <col min="14594" max="14594" width="6.25" style="2940" customWidth="1"/>
    <col min="14595" max="14595" width="13.875" style="2940" customWidth="1"/>
    <col min="14596" max="14596" width="6.25" style="2940" customWidth="1"/>
    <col min="14597" max="14597" width="34.375" style="2940" customWidth="1"/>
    <col min="14598" max="14598" width="7.875" style="2940" customWidth="1"/>
    <col min="14599" max="14600" width="13.875" style="2940" customWidth="1"/>
    <col min="14601" max="14601" width="8.375" style="2940" customWidth="1"/>
    <col min="14602" max="14602" width="9" style="2940" customWidth="1"/>
    <col min="14603" max="14603" width="26.125" style="2940" customWidth="1"/>
    <col min="14604" max="14604" width="10.625" style="2940" customWidth="1"/>
    <col min="14605" max="14605" width="14.375" style="2940" customWidth="1"/>
    <col min="14606" max="14606" width="6.25" style="2940" customWidth="1"/>
    <col min="14607" max="14607" width="7.875" style="2940" customWidth="1"/>
    <col min="14608" max="14848" width="9" style="2940"/>
    <col min="14849" max="14849" width="34.375" style="2940" customWidth="1"/>
    <col min="14850" max="14850" width="6.25" style="2940" customWidth="1"/>
    <col min="14851" max="14851" width="13.875" style="2940" customWidth="1"/>
    <col min="14852" max="14852" width="6.25" style="2940" customWidth="1"/>
    <col min="14853" max="14853" width="34.375" style="2940" customWidth="1"/>
    <col min="14854" max="14854" width="7.875" style="2940" customWidth="1"/>
    <col min="14855" max="14856" width="13.875" style="2940" customWidth="1"/>
    <col min="14857" max="14857" width="8.375" style="2940" customWidth="1"/>
    <col min="14858" max="14858" width="9" style="2940" customWidth="1"/>
    <col min="14859" max="14859" width="26.125" style="2940" customWidth="1"/>
    <col min="14860" max="14860" width="10.625" style="2940" customWidth="1"/>
    <col min="14861" max="14861" width="14.375" style="2940" customWidth="1"/>
    <col min="14862" max="14862" width="6.25" style="2940" customWidth="1"/>
    <col min="14863" max="14863" width="7.875" style="2940" customWidth="1"/>
    <col min="14864" max="15104" width="9" style="2940"/>
    <col min="15105" max="15105" width="34.375" style="2940" customWidth="1"/>
    <col min="15106" max="15106" width="6.25" style="2940" customWidth="1"/>
    <col min="15107" max="15107" width="13.875" style="2940" customWidth="1"/>
    <col min="15108" max="15108" width="6.25" style="2940" customWidth="1"/>
    <col min="15109" max="15109" width="34.375" style="2940" customWidth="1"/>
    <col min="15110" max="15110" width="7.875" style="2940" customWidth="1"/>
    <col min="15111" max="15112" width="13.875" style="2940" customWidth="1"/>
    <col min="15113" max="15113" width="8.375" style="2940" customWidth="1"/>
    <col min="15114" max="15114" width="9" style="2940" customWidth="1"/>
    <col min="15115" max="15115" width="26.125" style="2940" customWidth="1"/>
    <col min="15116" max="15116" width="10.625" style="2940" customWidth="1"/>
    <col min="15117" max="15117" width="14.375" style="2940" customWidth="1"/>
    <col min="15118" max="15118" width="6.25" style="2940" customWidth="1"/>
    <col min="15119" max="15119" width="7.875" style="2940" customWidth="1"/>
    <col min="15120" max="15360" width="9" style="2940"/>
    <col min="15361" max="15361" width="34.375" style="2940" customWidth="1"/>
    <col min="15362" max="15362" width="6.25" style="2940" customWidth="1"/>
    <col min="15363" max="15363" width="13.875" style="2940" customWidth="1"/>
    <col min="15364" max="15364" width="6.25" style="2940" customWidth="1"/>
    <col min="15365" max="15365" width="34.375" style="2940" customWidth="1"/>
    <col min="15366" max="15366" width="7.875" style="2940" customWidth="1"/>
    <col min="15367" max="15368" width="13.875" style="2940" customWidth="1"/>
    <col min="15369" max="15369" width="8.375" style="2940" customWidth="1"/>
    <col min="15370" max="15370" width="9" style="2940" customWidth="1"/>
    <col min="15371" max="15371" width="26.125" style="2940" customWidth="1"/>
    <col min="15372" max="15372" width="10.625" style="2940" customWidth="1"/>
    <col min="15373" max="15373" width="14.375" style="2940" customWidth="1"/>
    <col min="15374" max="15374" width="6.25" style="2940" customWidth="1"/>
    <col min="15375" max="15375" width="7.875" style="2940" customWidth="1"/>
    <col min="15376" max="15616" width="9" style="2940"/>
    <col min="15617" max="15617" width="34.375" style="2940" customWidth="1"/>
    <col min="15618" max="15618" width="6.25" style="2940" customWidth="1"/>
    <col min="15619" max="15619" width="13.875" style="2940" customWidth="1"/>
    <col min="15620" max="15620" width="6.25" style="2940" customWidth="1"/>
    <col min="15621" max="15621" width="34.375" style="2940" customWidth="1"/>
    <col min="15622" max="15622" width="7.875" style="2940" customWidth="1"/>
    <col min="15623" max="15624" width="13.875" style="2940" customWidth="1"/>
    <col min="15625" max="15625" width="8.375" style="2940" customWidth="1"/>
    <col min="15626" max="15626" width="9" style="2940" customWidth="1"/>
    <col min="15627" max="15627" width="26.125" style="2940" customWidth="1"/>
    <col min="15628" max="15628" width="10.625" style="2940" customWidth="1"/>
    <col min="15629" max="15629" width="14.375" style="2940" customWidth="1"/>
    <col min="15630" max="15630" width="6.25" style="2940" customWidth="1"/>
    <col min="15631" max="15631" width="7.875" style="2940" customWidth="1"/>
    <col min="15632" max="15872" width="9" style="2940"/>
    <col min="15873" max="15873" width="34.375" style="2940" customWidth="1"/>
    <col min="15874" max="15874" width="6.25" style="2940" customWidth="1"/>
    <col min="15875" max="15875" width="13.875" style="2940" customWidth="1"/>
    <col min="15876" max="15876" width="6.25" style="2940" customWidth="1"/>
    <col min="15877" max="15877" width="34.375" style="2940" customWidth="1"/>
    <col min="15878" max="15878" width="7.875" style="2940" customWidth="1"/>
    <col min="15879" max="15880" width="13.875" style="2940" customWidth="1"/>
    <col min="15881" max="15881" width="8.375" style="2940" customWidth="1"/>
    <col min="15882" max="15882" width="9" style="2940" customWidth="1"/>
    <col min="15883" max="15883" width="26.125" style="2940" customWidth="1"/>
    <col min="15884" max="15884" width="10.625" style="2940" customWidth="1"/>
    <col min="15885" max="15885" width="14.375" style="2940" customWidth="1"/>
    <col min="15886" max="15886" width="6.25" style="2940" customWidth="1"/>
    <col min="15887" max="15887" width="7.875" style="2940" customWidth="1"/>
    <col min="15888" max="16128" width="9" style="2940"/>
    <col min="16129" max="16129" width="34.375" style="2940" customWidth="1"/>
    <col min="16130" max="16130" width="6.25" style="2940" customWidth="1"/>
    <col min="16131" max="16131" width="13.875" style="2940" customWidth="1"/>
    <col min="16132" max="16132" width="6.25" style="2940" customWidth="1"/>
    <col min="16133" max="16133" width="34.375" style="2940" customWidth="1"/>
    <col min="16134" max="16134" width="7.875" style="2940" customWidth="1"/>
    <col min="16135" max="16136" width="13.875" style="2940" customWidth="1"/>
    <col min="16137" max="16137" width="8.375" style="2940" customWidth="1"/>
    <col min="16138" max="16138" width="9" style="2940" customWidth="1"/>
    <col min="16139" max="16139" width="26.125" style="2940" customWidth="1"/>
    <col min="16140" max="16140" width="10.625" style="2940" customWidth="1"/>
    <col min="16141" max="16141" width="14.375" style="2940" customWidth="1"/>
    <col min="16142" max="16142" width="6.25" style="2940" customWidth="1"/>
    <col min="16143" max="16143" width="7.875" style="2940" customWidth="1"/>
    <col min="16144" max="16384" width="9" style="2940"/>
  </cols>
  <sheetData>
    <row r="1" spans="1:15">
      <c r="A1" s="2940" t="s">
        <v>2998</v>
      </c>
      <c r="B1" s="2940" t="s">
        <v>2999</v>
      </c>
      <c r="C1" s="2940" t="s">
        <v>3000</v>
      </c>
      <c r="D1" s="2940" t="s">
        <v>3001</v>
      </c>
      <c r="E1" s="2940" t="s">
        <v>3002</v>
      </c>
      <c r="F1" s="2940" t="s">
        <v>3003</v>
      </c>
      <c r="G1" s="2940" t="s">
        <v>3004</v>
      </c>
      <c r="H1" s="2940" t="s">
        <v>3005</v>
      </c>
      <c r="I1" s="2940" t="s">
        <v>2035</v>
      </c>
      <c r="J1" s="2940" t="s">
        <v>3006</v>
      </c>
      <c r="K1" s="2940" t="s">
        <v>3007</v>
      </c>
      <c r="L1" s="2940" t="s">
        <v>3008</v>
      </c>
      <c r="M1" s="2940" t="s">
        <v>3009</v>
      </c>
      <c r="N1" s="2940" t="s">
        <v>3010</v>
      </c>
      <c r="O1" s="2940" t="s">
        <v>3011</v>
      </c>
    </row>
    <row r="2" spans="1:15">
      <c r="A2" s="2940" t="s">
        <v>3012</v>
      </c>
      <c r="B2" s="2940" t="s">
        <v>3013</v>
      </c>
      <c r="C2" s="2940" t="s">
        <v>3014</v>
      </c>
      <c r="D2" s="2940" t="s">
        <v>3015</v>
      </c>
      <c r="E2" s="2940" t="s">
        <v>3012</v>
      </c>
      <c r="F2" s="2940" t="s">
        <v>3016</v>
      </c>
      <c r="G2" s="2940">
        <v>52846</v>
      </c>
      <c r="H2" s="2940">
        <v>79269</v>
      </c>
      <c r="I2" s="2940" t="s">
        <v>3017</v>
      </c>
      <c r="J2" s="2940" t="s">
        <v>3018</v>
      </c>
      <c r="K2" s="2940" t="s">
        <v>3019</v>
      </c>
      <c r="L2" s="2940">
        <v>7927</v>
      </c>
      <c r="M2" s="2940">
        <v>1000</v>
      </c>
      <c r="N2" s="2940">
        <v>0</v>
      </c>
      <c r="O2" s="2940" t="s">
        <v>3020</v>
      </c>
    </row>
    <row r="3" spans="1:15" s="3182" customFormat="1">
      <c r="A3" s="3182" t="s">
        <v>3021</v>
      </c>
      <c r="B3" s="3182" t="s">
        <v>3013</v>
      </c>
      <c r="C3" s="3182" t="s">
        <v>3014</v>
      </c>
      <c r="D3" s="3182" t="s">
        <v>3015</v>
      </c>
      <c r="E3" s="3182" t="s">
        <v>3021</v>
      </c>
      <c r="F3" s="3182" t="s">
        <v>3016</v>
      </c>
      <c r="G3" s="3182">
        <v>85558</v>
      </c>
      <c r="H3" s="3182">
        <v>154004.4</v>
      </c>
      <c r="I3" s="3182" t="s">
        <v>3022</v>
      </c>
      <c r="J3" s="3182" t="s">
        <v>3023</v>
      </c>
      <c r="K3" s="3182" t="s">
        <v>3024</v>
      </c>
      <c r="L3" s="3182">
        <v>49870</v>
      </c>
      <c r="M3" s="3182">
        <v>3238.21</v>
      </c>
      <c r="N3" s="3182">
        <v>70.2</v>
      </c>
      <c r="O3" s="3182" t="s">
        <v>3020</v>
      </c>
    </row>
    <row r="4" spans="1:15">
      <c r="A4" s="2940" t="s">
        <v>3025</v>
      </c>
      <c r="B4" s="2940" t="s">
        <v>3013</v>
      </c>
      <c r="C4" s="2940" t="s">
        <v>3014</v>
      </c>
      <c r="D4" s="2940" t="s">
        <v>3015</v>
      </c>
      <c r="E4" s="2940" t="s">
        <v>3025</v>
      </c>
      <c r="F4" s="2940" t="s">
        <v>3016</v>
      </c>
      <c r="G4" s="2940">
        <v>60440</v>
      </c>
      <c r="H4" s="2940">
        <v>132968</v>
      </c>
      <c r="I4" s="2940" t="s">
        <v>3026</v>
      </c>
      <c r="J4" s="2940" t="s">
        <v>3023</v>
      </c>
      <c r="K4" s="2940" t="s">
        <v>3027</v>
      </c>
      <c r="L4" s="2940">
        <v>29000</v>
      </c>
      <c r="M4" s="2940">
        <v>2180.98</v>
      </c>
      <c r="N4" s="2940">
        <v>147.86000000000001</v>
      </c>
      <c r="O4" s="2940" t="s">
        <v>3020</v>
      </c>
    </row>
    <row r="5" spans="1:15" s="3182" customFormat="1">
      <c r="A5" s="3182" t="s">
        <v>3028</v>
      </c>
      <c r="B5" s="3182" t="s">
        <v>3013</v>
      </c>
      <c r="C5" s="3182" t="s">
        <v>3014</v>
      </c>
      <c r="D5" s="3182" t="s">
        <v>3015</v>
      </c>
      <c r="E5" s="3182" t="s">
        <v>3028</v>
      </c>
      <c r="F5" s="3182" t="s">
        <v>3016</v>
      </c>
      <c r="G5" s="3182">
        <v>72028</v>
      </c>
      <c r="H5" s="3182">
        <v>144056</v>
      </c>
      <c r="I5" s="3182" t="s">
        <v>3029</v>
      </c>
      <c r="J5" s="3182" t="s">
        <v>3023</v>
      </c>
      <c r="K5" s="3182" t="s">
        <v>3030</v>
      </c>
      <c r="L5" s="3182">
        <v>43450</v>
      </c>
      <c r="M5" s="3182">
        <v>3016.19</v>
      </c>
      <c r="N5" s="3182">
        <v>93.11</v>
      </c>
      <c r="O5" s="3182" t="s">
        <v>3020</v>
      </c>
    </row>
    <row r="6" spans="1:15">
      <c r="A6" s="2940" t="s">
        <v>3031</v>
      </c>
      <c r="B6" s="2940" t="s">
        <v>3013</v>
      </c>
      <c r="C6" s="2940" t="s">
        <v>3014</v>
      </c>
      <c r="D6" s="2940" t="s">
        <v>3015</v>
      </c>
      <c r="E6" s="2940" t="s">
        <v>3031</v>
      </c>
      <c r="F6" s="2940" t="s">
        <v>3016</v>
      </c>
      <c r="G6" s="2940">
        <v>45562</v>
      </c>
      <c r="H6" s="2940">
        <v>100236.4</v>
      </c>
      <c r="I6" s="2940" t="s">
        <v>3026</v>
      </c>
      <c r="J6" s="2940" t="s">
        <v>3023</v>
      </c>
      <c r="K6" s="2940" t="s">
        <v>3027</v>
      </c>
      <c r="L6" s="2940">
        <v>13740</v>
      </c>
      <c r="M6" s="2940">
        <v>1370.75</v>
      </c>
      <c r="N6" s="2940">
        <v>69.63</v>
      </c>
      <c r="O6" s="2940" t="s">
        <v>3020</v>
      </c>
    </row>
    <row r="7" spans="1:15" s="3182" customFormat="1">
      <c r="A7" s="3182" t="s">
        <v>3032</v>
      </c>
      <c r="B7" s="3182" t="s">
        <v>3013</v>
      </c>
      <c r="C7" s="3182" t="s">
        <v>3014</v>
      </c>
      <c r="D7" s="3182" t="s">
        <v>3015</v>
      </c>
      <c r="E7" s="3182" t="s">
        <v>3032</v>
      </c>
      <c r="F7" s="3182" t="s">
        <v>3016</v>
      </c>
      <c r="G7" s="3182">
        <v>67668</v>
      </c>
      <c r="H7" s="3182">
        <v>94735.2</v>
      </c>
      <c r="I7" s="3182" t="s">
        <v>3033</v>
      </c>
      <c r="J7" s="3182" t="s">
        <v>3023</v>
      </c>
      <c r="K7" s="3182" t="s">
        <v>3024</v>
      </c>
      <c r="L7" s="3182">
        <v>34310</v>
      </c>
      <c r="M7" s="3182">
        <v>3621.67</v>
      </c>
      <c r="N7" s="3182">
        <v>54.55</v>
      </c>
      <c r="O7" s="3182" t="s">
        <v>3020</v>
      </c>
    </row>
    <row r="8" spans="1:15">
      <c r="A8" s="2940" t="s">
        <v>3034</v>
      </c>
      <c r="B8" s="2940" t="s">
        <v>3013</v>
      </c>
      <c r="C8" s="2940" t="s">
        <v>3014</v>
      </c>
      <c r="D8" s="2940" t="s">
        <v>3015</v>
      </c>
      <c r="E8" s="2940" t="s">
        <v>3034</v>
      </c>
      <c r="F8" s="2940" t="s">
        <v>3016</v>
      </c>
      <c r="G8" s="2940">
        <v>83186</v>
      </c>
      <c r="H8" s="2940">
        <v>191327.8</v>
      </c>
      <c r="I8" s="2940" t="s">
        <v>3035</v>
      </c>
      <c r="J8" s="2940" t="s">
        <v>3023</v>
      </c>
      <c r="K8" s="2940" t="s">
        <v>3036</v>
      </c>
      <c r="L8" s="2940">
        <v>59800</v>
      </c>
      <c r="M8" s="2940">
        <v>3125.53</v>
      </c>
      <c r="N8" s="2940">
        <v>109.82</v>
      </c>
      <c r="O8" s="2940" t="s">
        <v>3020</v>
      </c>
    </row>
    <row r="9" spans="1:15">
      <c r="A9" s="2940" t="s">
        <v>3037</v>
      </c>
      <c r="B9" s="2940" t="s">
        <v>3013</v>
      </c>
      <c r="C9" s="2940" t="s">
        <v>3038</v>
      </c>
      <c r="D9" s="2940" t="s">
        <v>3015</v>
      </c>
      <c r="E9" s="2940" t="s">
        <v>3037</v>
      </c>
      <c r="F9" s="2940" t="s">
        <v>3016</v>
      </c>
      <c r="G9" s="2940">
        <v>13259</v>
      </c>
      <c r="H9" s="2940">
        <v>26518</v>
      </c>
      <c r="I9" s="2940" t="s">
        <v>3039</v>
      </c>
      <c r="J9" s="2940" t="s">
        <v>3040</v>
      </c>
      <c r="K9" s="2940" t="s">
        <v>3041</v>
      </c>
      <c r="L9" s="2940">
        <v>610</v>
      </c>
      <c r="M9" s="2940">
        <v>230.03</v>
      </c>
      <c r="N9" s="2940">
        <v>0</v>
      </c>
      <c r="O9" s="2940" t="s">
        <v>3042</v>
      </c>
    </row>
    <row r="10" spans="1:15">
      <c r="A10" s="2940" t="s">
        <v>3043</v>
      </c>
      <c r="B10" s="2940" t="s">
        <v>3013</v>
      </c>
      <c r="C10" s="2940" t="s">
        <v>3038</v>
      </c>
      <c r="D10" s="2940" t="s">
        <v>3015</v>
      </c>
      <c r="E10" s="2940" t="s">
        <v>3043</v>
      </c>
      <c r="F10" s="2940" t="s">
        <v>3016</v>
      </c>
      <c r="G10" s="2940">
        <v>4701</v>
      </c>
      <c r="H10" s="2940">
        <v>7051.5</v>
      </c>
      <c r="I10" s="2940" t="s">
        <v>3044</v>
      </c>
      <c r="J10" s="2940" t="s">
        <v>3040</v>
      </c>
      <c r="K10" s="2940" t="s">
        <v>3045</v>
      </c>
      <c r="L10" s="2940">
        <v>213</v>
      </c>
      <c r="M10" s="2940">
        <v>302.06</v>
      </c>
      <c r="N10" s="2940">
        <v>0</v>
      </c>
      <c r="O10" s="2940" t="s">
        <v>3042</v>
      </c>
    </row>
    <row r="11" spans="1:15">
      <c r="A11" s="2940" t="s">
        <v>3046</v>
      </c>
      <c r="B11" s="2940" t="s">
        <v>3013</v>
      </c>
      <c r="C11" s="2940" t="s">
        <v>3038</v>
      </c>
      <c r="D11" s="2940" t="s">
        <v>3015</v>
      </c>
      <c r="E11" s="2940" t="s">
        <v>3046</v>
      </c>
      <c r="F11" s="2940" t="s">
        <v>3016</v>
      </c>
      <c r="G11" s="2940">
        <v>24013</v>
      </c>
      <c r="H11" s="2940">
        <v>28815.599999999999</v>
      </c>
      <c r="I11" s="2940" t="s">
        <v>3047</v>
      </c>
      <c r="J11" s="2940" t="s">
        <v>3040</v>
      </c>
      <c r="K11" s="2940" t="s">
        <v>3048</v>
      </c>
      <c r="L11" s="2940">
        <v>1393</v>
      </c>
      <c r="M11" s="2940">
        <v>483.42</v>
      </c>
      <c r="N11" s="2940">
        <v>0</v>
      </c>
      <c r="O11" s="2940" t="s">
        <v>3042</v>
      </c>
    </row>
    <row r="12" spans="1:15">
      <c r="A12" s="2940" t="s">
        <v>3049</v>
      </c>
      <c r="B12" s="2940" t="s">
        <v>3013</v>
      </c>
      <c r="C12" s="2940" t="s">
        <v>3014</v>
      </c>
      <c r="D12" s="2940" t="s">
        <v>3015</v>
      </c>
      <c r="E12" s="2940" t="s">
        <v>3049</v>
      </c>
      <c r="F12" s="2940" t="s">
        <v>3016</v>
      </c>
      <c r="G12" s="2940">
        <v>49652</v>
      </c>
      <c r="H12" s="2940">
        <v>79443.199999999997</v>
      </c>
      <c r="I12" s="2940" t="s">
        <v>3050</v>
      </c>
      <c r="J12" s="2940" t="s">
        <v>3051</v>
      </c>
      <c r="K12" s="2940" t="s">
        <v>3052</v>
      </c>
      <c r="L12" s="2940">
        <v>10270</v>
      </c>
      <c r="M12" s="2940">
        <v>1292.75</v>
      </c>
      <c r="N12" s="2940">
        <v>27.28</v>
      </c>
      <c r="O12" s="2940" t="s">
        <v>3020</v>
      </c>
    </row>
    <row r="13" spans="1:15">
      <c r="A13" s="2940" t="s">
        <v>3053</v>
      </c>
      <c r="B13" s="2940" t="s">
        <v>3013</v>
      </c>
      <c r="C13" s="2940" t="s">
        <v>3014</v>
      </c>
      <c r="D13" s="2940" t="s">
        <v>3015</v>
      </c>
      <c r="E13" s="2940" t="s">
        <v>3053</v>
      </c>
      <c r="F13" s="2940" t="s">
        <v>3016</v>
      </c>
      <c r="G13" s="2940">
        <v>17052</v>
      </c>
      <c r="H13" s="2940">
        <v>37514.400000000001</v>
      </c>
      <c r="I13" s="2940" t="s">
        <v>3054</v>
      </c>
      <c r="J13" s="2940" t="s">
        <v>3051</v>
      </c>
      <c r="K13" s="2940" t="s">
        <v>3055</v>
      </c>
      <c r="L13" s="2940">
        <v>5020</v>
      </c>
      <c r="M13" s="2940">
        <v>1338.15</v>
      </c>
      <c r="N13" s="2940">
        <v>50.57</v>
      </c>
      <c r="O13" s="2940" t="s">
        <v>3020</v>
      </c>
    </row>
    <row r="14" spans="1:15">
      <c r="A14" s="2940" t="s">
        <v>3056</v>
      </c>
      <c r="B14" s="2940" t="s">
        <v>3013</v>
      </c>
      <c r="C14" s="2940" t="s">
        <v>3014</v>
      </c>
      <c r="D14" s="2940" t="s">
        <v>3015</v>
      </c>
      <c r="E14" s="2940" t="s">
        <v>3056</v>
      </c>
      <c r="F14" s="2940" t="s">
        <v>3016</v>
      </c>
      <c r="G14" s="2940">
        <v>63215</v>
      </c>
      <c r="H14" s="2940">
        <v>63215</v>
      </c>
      <c r="I14" s="2940" t="s">
        <v>3057</v>
      </c>
      <c r="J14" s="2940" t="s">
        <v>3058</v>
      </c>
      <c r="K14" s="2940" t="s">
        <v>3059</v>
      </c>
      <c r="L14" s="2940">
        <v>6290</v>
      </c>
      <c r="M14" s="2940">
        <v>995.01</v>
      </c>
      <c r="N14" s="2940">
        <v>0</v>
      </c>
      <c r="O14" s="2940" t="s">
        <v>3020</v>
      </c>
    </row>
    <row r="15" spans="1:15">
      <c r="A15" s="2940" t="s">
        <v>3060</v>
      </c>
      <c r="B15" s="2940" t="s">
        <v>3013</v>
      </c>
      <c r="C15" s="2940" t="s">
        <v>3014</v>
      </c>
      <c r="D15" s="2940" t="s">
        <v>3015</v>
      </c>
      <c r="E15" s="2940" t="s">
        <v>3060</v>
      </c>
      <c r="F15" s="2940" t="s">
        <v>3016</v>
      </c>
      <c r="G15" s="2940">
        <v>33769</v>
      </c>
      <c r="H15" s="2940">
        <v>67538</v>
      </c>
      <c r="I15" s="2940" t="s">
        <v>3061</v>
      </c>
      <c r="J15" s="2940" t="s">
        <v>3062</v>
      </c>
      <c r="K15" s="2940" t="s">
        <v>3063</v>
      </c>
      <c r="L15" s="2940">
        <v>4863</v>
      </c>
      <c r="M15" s="2940">
        <v>720.03</v>
      </c>
      <c r="N15" s="2940">
        <v>0</v>
      </c>
      <c r="O15" s="2940" t="s">
        <v>3020</v>
      </c>
    </row>
    <row r="16" spans="1:15">
      <c r="A16" s="2940" t="s">
        <v>3064</v>
      </c>
      <c r="B16" s="2940" t="s">
        <v>3013</v>
      </c>
      <c r="C16" s="2940" t="s">
        <v>3014</v>
      </c>
      <c r="D16" s="2940" t="s">
        <v>3015</v>
      </c>
      <c r="E16" s="2940" t="s">
        <v>3064</v>
      </c>
      <c r="F16" s="2940" t="s">
        <v>3016</v>
      </c>
      <c r="G16" s="2940">
        <v>63658</v>
      </c>
      <c r="H16" s="2940">
        <v>114584.4</v>
      </c>
      <c r="I16" s="2940" t="s">
        <v>3022</v>
      </c>
      <c r="J16" s="2940" t="s">
        <v>3065</v>
      </c>
      <c r="K16" s="2940" t="s">
        <v>3066</v>
      </c>
      <c r="L16" s="2940">
        <v>8601</v>
      </c>
      <c r="M16" s="2940">
        <v>750.62</v>
      </c>
      <c r="N16" s="2940">
        <v>0</v>
      </c>
      <c r="O16" s="2940" t="s">
        <v>3020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2041</v>
      </c>
      <c r="B1" s="3188"/>
      <c r="C1" s="3188"/>
      <c r="D1" s="3188"/>
      <c r="E1" s="3188"/>
      <c r="F1" s="3188"/>
      <c r="G1" s="3188"/>
      <c r="H1" s="3188"/>
      <c r="I1" s="3188"/>
      <c r="J1" s="3188"/>
      <c r="K1" s="3188"/>
      <c r="L1" s="3188"/>
      <c r="M1" s="3188"/>
      <c r="N1" s="3188"/>
      <c r="O1" s="3188"/>
      <c r="P1" s="3188"/>
      <c r="Q1" s="3188"/>
      <c r="R1" s="3188"/>
    </row>
    <row r="2" spans="1:18">
      <c r="A2" s="1809" t="s">
        <v>2043</v>
      </c>
      <c r="B2" s="1809"/>
      <c r="C2" s="1809"/>
      <c r="D2" s="1809"/>
      <c r="E2" s="1809"/>
      <c r="F2" s="1809"/>
      <c r="G2" s="1809"/>
      <c r="H2" s="1809"/>
      <c r="I2" s="1810"/>
      <c r="J2" s="1810"/>
      <c r="K2" s="1811" t="str">
        <f>"估价期日："&amp;TEXT(项目基本情况!D3,"yyyy年m月d日;;")</f>
        <v>估价期日：2018年9月12日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9" t="s">
        <v>2032</v>
      </c>
      <c r="B3" s="3189" t="s">
        <v>2734</v>
      </c>
      <c r="C3" s="3190" t="s">
        <v>2033</v>
      </c>
      <c r="D3" s="3189" t="s">
        <v>2738</v>
      </c>
      <c r="E3" s="3184" t="s">
        <v>2034</v>
      </c>
      <c r="F3" s="3184"/>
      <c r="G3" s="3184"/>
      <c r="H3" s="3184" t="s">
        <v>2035</v>
      </c>
      <c r="I3" s="3184"/>
      <c r="J3" s="3184"/>
      <c r="K3" s="3190" t="s">
        <v>2036</v>
      </c>
      <c r="L3" s="3190" t="s">
        <v>2037</v>
      </c>
      <c r="M3" s="3189" t="s">
        <v>2735</v>
      </c>
      <c r="N3" s="3191" t="str">
        <f>"（分摊）"&amp;项目基本情况!B16&amp;"国有建设用地使用权面积/㎡"</f>
        <v>（分摊）出让国有建设用地使用权面积/㎡</v>
      </c>
      <c r="O3" s="3189" t="s">
        <v>2066</v>
      </c>
      <c r="P3" s="3190" t="s">
        <v>2046</v>
      </c>
      <c r="Q3" s="3190" t="s">
        <v>2067</v>
      </c>
      <c r="R3" s="3190" t="s">
        <v>2038</v>
      </c>
    </row>
    <row r="4" spans="1:18" ht="36.75" customHeight="1">
      <c r="A4" s="3189"/>
      <c r="B4" s="3189"/>
      <c r="C4" s="3190"/>
      <c r="D4" s="3189"/>
      <c r="E4" s="2651" t="s">
        <v>2045</v>
      </c>
      <c r="F4" s="2651" t="s">
        <v>2747</v>
      </c>
      <c r="G4" s="2651" t="s">
        <v>2039</v>
      </c>
      <c r="H4" s="2651" t="s">
        <v>2040</v>
      </c>
      <c r="I4" s="2651" t="s">
        <v>2748</v>
      </c>
      <c r="J4" s="2651" t="s">
        <v>2039</v>
      </c>
      <c r="K4" s="3190"/>
      <c r="L4" s="3190"/>
      <c r="M4" s="3189"/>
      <c r="N4" s="3191"/>
      <c r="O4" s="3189"/>
      <c r="P4" s="3190"/>
      <c r="Q4" s="3190"/>
      <c r="R4" s="3190"/>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52337</v>
      </c>
      <c r="O5" s="1812">
        <f>项目基本情况!C21</f>
        <v>104674</v>
      </c>
      <c r="P5" s="1812">
        <f ca="1">结果表!E42</f>
        <v>6722</v>
      </c>
      <c r="Q5" s="1812">
        <f ca="1">结果表!D42</f>
        <v>3361</v>
      </c>
      <c r="R5" s="1813">
        <f ca="1">结果表!C42</f>
        <v>35181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4">
        <f ca="1">结果表!O39</f>
        <v>35181</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4"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2" t="s">
        <v>2068</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2069</v>
      </c>
      <c r="B5" s="3195"/>
      <c r="C5" s="3195"/>
      <c r="D5" s="3195"/>
    </row>
    <row r="6" spans="1:4">
      <c r="A6" s="3192" t="s">
        <v>2047</v>
      </c>
      <c r="B6" s="3192"/>
      <c r="C6" s="3192"/>
      <c r="D6" s="3192"/>
    </row>
    <row r="7" spans="1:4" ht="33" customHeight="1">
      <c r="A7" s="3192" t="s">
        <v>2578</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2071</v>
      </c>
      <c r="B12" s="3195"/>
      <c r="C12" s="3195"/>
      <c r="D12" s="3195"/>
    </row>
    <row r="13" spans="1:4">
      <c r="A13" s="3193" t="s">
        <v>2749</v>
      </c>
      <c r="B13" s="3193"/>
      <c r="C13" s="3193"/>
      <c r="D13" s="3193"/>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2705</v>
      </c>
      <c r="B17" s="3192"/>
      <c r="C17" s="3192"/>
      <c r="D17" s="3192"/>
    </row>
    <row r="18" spans="1:4">
      <c r="A18" s="3192" t="s">
        <v>2697</v>
      </c>
      <c r="B18" s="3192"/>
      <c r="C18" s="3192"/>
      <c r="D18" s="3192"/>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192" t="s">
        <v>2702</v>
      </c>
      <c r="B23" s="3192"/>
      <c r="C23" s="3192"/>
      <c r="D23" s="3192"/>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43356</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2577</v>
      </c>
      <c r="B15" s="2345">
        <v>1120070085</v>
      </c>
      <c r="C15" s="3007">
        <v>43814</v>
      </c>
      <c r="D15" s="2345" t="s">
        <v>2577</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2056</v>
      </c>
      <c r="B24" s="2347" t="s">
        <v>2056</v>
      </c>
      <c r="C24" s="3007"/>
      <c r="D24" s="3009" t="s">
        <v>2056</v>
      </c>
      <c r="E24" s="2347" t="s">
        <v>2056</v>
      </c>
      <c r="F24" s="2348"/>
    </row>
    <row r="25" spans="1:7" ht="20.25" customHeight="1">
      <c r="A25" s="3208" t="s">
        <v>1929</v>
      </c>
      <c r="B25" s="3208"/>
      <c r="C25" s="3208"/>
      <c r="D25" s="3208"/>
      <c r="E25" s="3208"/>
      <c r="F25" s="3208"/>
      <c r="G25" s="3208"/>
    </row>
    <row r="26" spans="1:7" ht="20.25" customHeight="1">
      <c r="A26" s="3209" t="s">
        <v>1930</v>
      </c>
      <c r="B26" s="3209"/>
      <c r="C26" s="3209"/>
      <c r="D26" s="3209" t="s">
        <v>1931</v>
      </c>
      <c r="E26" s="3209"/>
      <c r="F26" s="3209"/>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大丰市常新璐西侧，疏港路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0"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12日，在规划利用条件下、设定土地开发程度为红线外“七通”、宗地内场地，设定用途为，剩余土地使用年限为的出让国有建设用地使用权价格。</v>
      </c>
      <c r="D53" s="1769"/>
      <c r="E53" s="1769"/>
    </row>
    <row r="54" spans="1:5">
      <c r="A54" s="3210"/>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0"/>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0"/>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0"/>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2018-09-13T07:45:33Z</dcterms:modified>
</cp:coreProperties>
</file>