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D19" i="9"/>
  <c r="C17" i="9"/>
  <c r="D17" i="9"/>
  <c r="C18" i="9"/>
  <c r="D18" i="9"/>
  <c r="G19" i="9"/>
  <c r="D27" i="9"/>
  <c r="D28" i="9"/>
  <c r="M6" i="1"/>
  <c r="M16" i="1"/>
  <c r="N16" i="1"/>
  <c r="F50" i="68"/>
  <c r="L14" i="1"/>
  <c r="B29" i="1"/>
  <c r="H3" i="78"/>
  <c r="F34" i="78"/>
  <c r="N6" i="1"/>
  <c r="N14" i="1"/>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G41" i="43"/>
  <c r="D35" i="78"/>
  <c r="D34" i="78"/>
  <c r="G3" i="43"/>
  <c r="E22" i="43"/>
  <c r="G22" i="43"/>
  <c r="F22" i="43"/>
  <c r="H22" i="43"/>
  <c r="D22" i="43"/>
  <c r="C21" i="43"/>
  <c r="K67" i="43"/>
  <c r="D67" i="43"/>
  <c r="K59" i="43"/>
  <c r="J59" i="43"/>
  <c r="D59" i="43"/>
  <c r="K60" i="43"/>
  <c r="J60" i="43"/>
  <c r="D60" i="43"/>
  <c r="K61" i="43"/>
  <c r="D61" i="43"/>
  <c r="K62" i="43"/>
  <c r="D62" i="43"/>
  <c r="M63" i="43"/>
  <c r="D63" i="43"/>
  <c r="K64" i="43"/>
  <c r="D64" i="43"/>
  <c r="K65" i="43"/>
  <c r="D65" i="43"/>
  <c r="K66" i="43"/>
  <c r="J66" i="43"/>
  <c r="D66" i="43"/>
  <c r="E59" i="43"/>
  <c r="B57" i="43"/>
  <c r="C24" i="43"/>
  <c r="C19" i="43"/>
  <c r="H6" i="1"/>
  <c r="D29" i="43"/>
  <c r="G1" i="77"/>
  <c r="T7" i="1"/>
  <c r="M7" i="1"/>
  <c r="F15" i="77"/>
  <c r="F17" i="77"/>
  <c r="F18" i="77"/>
  <c r="F20" i="77"/>
  <c r="F23" i="77"/>
  <c r="F21" i="77"/>
  <c r="F28" i="77"/>
  <c r="C28" i="77"/>
  <c r="F32" i="77"/>
  <c r="F33" i="77"/>
  <c r="F34" i="77"/>
  <c r="R8" i="1"/>
  <c r="AE8" i="1"/>
  <c r="F15" i="4"/>
  <c r="F6" i="1"/>
  <c r="J50" i="15"/>
  <c r="J51" i="15"/>
  <c r="M47" i="77"/>
  <c r="G15" i="4"/>
  <c r="F7" i="1"/>
  <c r="J50" i="77"/>
  <c r="J51" i="77"/>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Y7" i="1"/>
  <c r="Y6" i="1"/>
  <c r="N7" i="1"/>
  <c r="G20" i="6"/>
  <c r="G19" i="6"/>
  <c r="F19" i="6"/>
  <c r="C11" i="4"/>
  <c r="D3" i="4"/>
  <c r="B7" i="4"/>
  <c r="G2" i="43"/>
  <c r="I2" i="43"/>
  <c r="M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AZ5" i="3"/>
  <c r="H13" i="3"/>
  <c r="G13" i="3"/>
  <c r="H14" i="3"/>
  <c r="G14" i="3"/>
  <c r="H15" i="3"/>
  <c r="G15" i="3"/>
  <c r="H16" i="3"/>
  <c r="G16" i="3"/>
  <c r="H17" i="3"/>
  <c r="G17" i="3"/>
  <c r="H18" i="3"/>
  <c r="G18" i="3"/>
  <c r="H19" i="3"/>
  <c r="G19" i="3"/>
  <c r="H20" i="3"/>
  <c r="G20" i="3"/>
  <c r="H21" i="3"/>
  <c r="AC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C19" i="68"/>
  <c r="J57" i="15"/>
  <c r="J55" i="15"/>
  <c r="J58" i="15"/>
  <c r="J59" i="15"/>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B3" i="70"/>
  <c r="D20" i="9"/>
  <c r="M27" i="67"/>
  <c r="E8" i="76"/>
  <c r="M24" i="15"/>
  <c r="F40" i="67"/>
  <c r="B3" i="68"/>
  <c r="C20" i="9"/>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C57" i="68"/>
  <c r="D35" i="9"/>
  <c r="F42" i="67"/>
  <c r="M22" i="67"/>
  <c r="M6" i="67"/>
  <c r="B7" i="76"/>
  <c r="F3" i="73"/>
  <c r="M23" i="15"/>
  <c r="M27" i="15"/>
  <c r="C56" i="68"/>
  <c r="D34" i="9"/>
  <c r="D2" i="35"/>
  <c r="M28" i="15"/>
  <c r="C76" i="15"/>
  <c r="L47" i="67"/>
  <c r="B13" i="76"/>
  <c r="L47" i="15"/>
  <c r="F9" i="67"/>
  <c r="E11" i="76"/>
  <c r="D6" i="73"/>
  <c r="L51" i="15"/>
  <c r="L57" i="15"/>
  <c r="L58" i="15"/>
  <c r="L59" i="15"/>
  <c r="L60" i="15"/>
  <c r="M26" i="67"/>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G20" i="9"/>
  <c r="C103" i="9"/>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C21" i="9"/>
  <c r="D22" i="9"/>
  <c r="C102" i="9"/>
  <c r="J20" i="15"/>
  <c r="D103" i="9"/>
  <c r="B20" i="31"/>
  <c r="F69" i="67"/>
  <c r="J20" i="67"/>
  <c r="F71" i="15"/>
  <c r="F65" i="67"/>
  <c r="Q71" i="15"/>
  <c r="M7" i="67"/>
  <c r="J6" i="67"/>
  <c r="F50" i="67"/>
  <c r="F51" i="67"/>
  <c r="C6" i="67"/>
  <c r="F51" i="15"/>
  <c r="F64" i="15"/>
  <c r="I54" i="67"/>
  <c r="J57" i="67"/>
  <c r="J55" i="67"/>
  <c r="J58" i="67"/>
  <c r="Q50" i="67"/>
  <c r="L56" i="67"/>
  <c r="C27" i="67"/>
  <c r="K1" i="73"/>
  <c r="C16" i="67"/>
  <c r="F59" i="15"/>
  <c r="F31" i="15"/>
  <c r="F31" i="67"/>
  <c r="M17" i="15"/>
  <c r="F59" i="67"/>
  <c r="M17" i="67"/>
  <c r="C17" i="67"/>
  <c r="C14"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P28" i="43"/>
  <c r="M28" i="43"/>
  <c r="O28" i="43"/>
  <c r="Q60" i="15"/>
  <c r="Q73" i="15"/>
  <c r="Q74" i="15"/>
  <c r="Q61" i="15"/>
  <c r="Q61" i="67"/>
  <c r="Q74" i="67"/>
  <c r="D6" i="71"/>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35" i="9"/>
  <c r="F118" i="9"/>
  <c r="C53" i="67"/>
  <c r="C48" i="67"/>
  <c r="C10" i="67"/>
  <c r="C5" i="67"/>
  <c r="J24" i="15"/>
  <c r="J18" i="15"/>
  <c r="C53" i="15"/>
  <c r="C48" i="15"/>
  <c r="F24" i="67"/>
  <c r="C24" i="67"/>
  <c r="F22" i="11"/>
  <c r="F22" i="69"/>
  <c r="F25" i="12"/>
  <c r="T14" i="43"/>
  <c r="V14" i="43"/>
  <c r="T13" i="43"/>
  <c r="V13" i="43"/>
  <c r="T4" i="43"/>
  <c r="V4" i="43"/>
  <c r="T8" i="43"/>
  <c r="V8" i="43"/>
  <c r="T11" i="43"/>
  <c r="V11" i="43"/>
  <c r="T10" i="43"/>
  <c r="V10" i="43"/>
  <c r="T2" i="43"/>
  <c r="V2" i="43"/>
  <c r="T12" i="43"/>
  <c r="V12" i="43"/>
  <c r="T7" i="43"/>
  <c r="V7" i="43"/>
  <c r="T5" i="43"/>
  <c r="V5" i="43"/>
  <c r="T9" i="43"/>
  <c r="V9" i="43"/>
  <c r="T6" i="43"/>
  <c r="V6" i="43"/>
  <c r="T15" i="43"/>
  <c r="V15" i="43"/>
  <c r="T3" i="43"/>
  <c r="V3" i="43"/>
  <c r="T16" i="43"/>
  <c r="V16" i="43"/>
  <c r="C34" i="9"/>
  <c r="D118" i="9"/>
  <c r="D119" i="9"/>
  <c r="D5" i="52"/>
  <c r="B49" i="72"/>
  <c r="C26" i="12"/>
  <c r="D25" i="12"/>
  <c r="C27" i="12"/>
  <c r="C25" i="1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G34" i="43"/>
  <c r="I34" i="43"/>
  <c r="G39" i="43"/>
  <c r="I39" i="43"/>
  <c r="G38" i="43"/>
  <c r="I38" i="43"/>
  <c r="C30" i="43"/>
  <c r="E30" i="43"/>
  <c r="G36" i="43"/>
  <c r="I36" i="43"/>
  <c r="G35" i="43"/>
  <c r="I35" i="43"/>
  <c r="G37" i="43"/>
  <c r="I37" i="43"/>
  <c r="C41" i="69"/>
  <c r="C49" i="69"/>
  <c r="C51" i="69"/>
  <c r="C22" i="69"/>
  <c r="C31" i="69"/>
  <c r="C32" i="12"/>
  <c r="B2" i="12"/>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B3"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<sst xmlns="http://schemas.openxmlformats.org/spreadsheetml/2006/main" count="7892" uniqueCount="3202">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</sst>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0" borderId="1" xfId="0" applyFont="1" applyFill="1" applyBorder="1" applyAlignment="1">
      <alignment horizontal="center" vertical="center" wrapText="1"/>
    </xf>
    <xf numFmtId="0" fontId="143" fillId="0" borderId="1" xfId="6" applyFont="1" applyFill="1" applyBorder="1" applyAlignment="1">
      <alignment horizontal="center" vertical="center"/>
    </xf>
    <xf numFmtId="0" fontId="143" fillId="0" borderId="0" xfId="6" applyFont="1" applyFill="1" applyAlignment="1">
      <alignment vertical="center"/>
    </xf>
    <xf numFmtId="0" fontId="143" fillId="0" borderId="1" xfId="6" applyFont="1" applyFill="1" applyBorder="1" applyAlignment="1">
      <alignment horizontal="left" vertical="center" wrapText="1"/>
    </xf>
    <xf numFmtId="0" fontId="143" fillId="0" borderId="0" xfId="6" applyFont="1" applyFill="1" applyAlignment="1">
      <alignment horizontal="left" vertical="center" wrapText="1"/>
    </xf>
    <xf numFmtId="0" fontId="143" fillId="0" borderId="1" xfId="0" applyFont="1" applyFill="1" applyBorder="1" applyAlignment="1">
      <alignment horizontal="center" vertical="center"/>
    </xf>
    <xf numFmtId="0" fontId="143" fillId="0" borderId="1" xfId="1" applyFont="1" applyFill="1" applyBorder="1" applyAlignment="1">
      <alignment horizontal="center" vertical="center"/>
    </xf>
    <xf numFmtId="0" fontId="143" fillId="0" borderId="0" xfId="6" applyFont="1" applyFill="1" applyAlignment="1">
      <alignment horizontal="center" vertical="center"/>
    </xf>
    <xf numFmtId="43" fontId="143" fillId="0" borderId="1" xfId="17" applyFont="1" applyFill="1" applyBorder="1" applyAlignment="1">
      <alignment vertical="center" wrapText="1"/>
    </xf>
    <xf numFmtId="43" fontId="143" fillId="0" borderId="0" xfId="17" applyFont="1" applyFill="1" applyAlignment="1">
      <alignment vertical="center"/>
    </xf>
    <xf numFmtId="197" fontId="143" fillId="0" borderId="1" xfId="18" applyNumberFormat="1" applyFont="1" applyFill="1" applyBorder="1" applyAlignment="1">
      <alignment horizontal="center" vertical="center" wrapText="1"/>
    </xf>
    <xf numFmtId="197" fontId="143" fillId="0" borderId="1" xfId="18" applyNumberFormat="1" applyFont="1" applyFill="1" applyBorder="1" applyAlignment="1">
      <alignment vertical="center" wrapText="1"/>
    </xf>
    <xf numFmtId="197" fontId="143" fillId="0" borderId="0" xfId="6" applyNumberFormat="1" applyFont="1" applyFill="1" applyAlignment="1">
      <alignment vertical="center"/>
    </xf>
    <xf numFmtId="43" fontId="143" fillId="0" borderId="1" xfId="17" applyFont="1" applyFill="1" applyBorder="1" applyAlignment="1">
      <alignment horizontal="center" vertical="center" wrapText="1"/>
    </xf>
    <xf numFmtId="43" fontId="143" fillId="0" borderId="1" xfId="17" applyFont="1" applyFill="1" applyBorder="1" applyAlignment="1">
      <alignment horizontal="center" vertical="center"/>
    </xf>
    <xf numFmtId="43"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60" xfId="6" applyFont="1" applyFill="1" applyBorder="1" applyAlignment="1">
      <alignment horizontal="center" vertical="center"/>
    </xf>
    <xf numFmtId="0" fontId="143" fillId="0" borderId="60" xfId="6" applyFont="1" applyFill="1" applyBorder="1" applyAlignment="1">
      <alignment horizontal="center" vertical="center"/>
    </xf>
    <xf numFmtId="0" fontId="56"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北京市海淀区海淀东三街2号-4层-401号等29套商贸综合用房房地产房地产抵押价值预评估</v>
      </c>
    </row>
    <row r="3" spans="1:2" s="1593" customFormat="1">
      <c r="A3" s="1591" t="s">
        <v>1217</v>
      </c>
      <c r="B3" s="1592" t="str">
        <f>'预评函-封皮'!B40</f>
        <v>都会洪业（天津）有限公司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受贵公司委托，我公司对北京市海淀区海淀东三街2号-4层-401号等29套商贸综合用房房地产房地产抵押价值进行了预评估。</v>
      </c>
    </row>
    <row r="7" spans="1:2" s="1593" customFormat="1">
      <c r="A7" s="1591" t="s">
        <v>1260</v>
      </c>
      <c r="B7" s="159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为估价委托人在向上海浦东发展银行股份有限公司北京永定路支行办理贷款手续过程中，确定房地产抵押贷款额度提供参考依据而评估房地产抵押价值。</v>
      </c>
    </row>
    <row r="12" spans="1:2" s="1593" customFormat="1">
      <c r="A12" s="1591" t="s">
        <v>1222</v>
      </c>
      <c r="B12" s="1592" t="str">
        <f>'预评函-1'!A15</f>
        <v>2019年5月13日（评估专业人员实地查勘之日）</v>
      </c>
    </row>
    <row r="13" spans="1:2" s="1593" customFormat="1">
      <c r="A13" s="1591" t="s">
        <v>1223</v>
      </c>
      <c r="B13" s="159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127774</v>
      </c>
    </row>
    <row r="21" spans="1:2" s="1593" customFormat="1">
      <c r="A21" s="1591" t="s">
        <v>1231</v>
      </c>
      <c r="B21" s="1592">
        <f ca="1">'预评函-2'!D7</f>
        <v>35770</v>
      </c>
    </row>
    <row r="22" spans="1:2" s="1593" customFormat="1">
      <c r="A22" s="1591" t="s">
        <v>1232</v>
      </c>
      <c r="B22" s="1592" t="str">
        <f ca="1">'预评函-2'!D6</f>
        <v>壹拾贰亿柒仟柒佰柒拾肆万元整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127774</v>
      </c>
    </row>
    <row r="31" spans="1:2" s="1593" customFormat="1">
      <c r="A31" s="1591" t="s">
        <v>1270</v>
      </c>
      <c r="B31" s="1592">
        <f ca="1">'预评函-2'!D15</f>
        <v>35770</v>
      </c>
    </row>
    <row r="32" spans="1:2" s="1593" customFormat="1">
      <c r="A32" s="1591" t="s">
        <v>1237</v>
      </c>
      <c r="B32" s="1592" t="str">
        <f ca="1">'预评函-2'!D14</f>
        <v>壹拾贰亿柒仟柒佰柒拾肆万元整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北京市海淀区海淀东三街2号-4层-401号等29套商贸综合用房房地产房地产</v>
      </c>
    </row>
    <row r="42" spans="1:2" s="1593" customFormat="1">
      <c r="A42" s="1591" t="s">
        <v>1284</v>
      </c>
      <c r="B42" s="1592" t="str">
        <f>'预评函-3'!B2</f>
        <v>建筑面积</v>
      </c>
    </row>
    <row r="43" spans="1:2" s="1593" customFormat="1">
      <c r="A43" s="1591" t="s">
        <v>1285</v>
      </c>
      <c r="B43" s="1592">
        <f>'预评函-3'!B4</f>
        <v>35720.530000000006</v>
      </c>
    </row>
    <row r="44" spans="1:2" s="1593" customFormat="1">
      <c r="A44" s="1591" t="s">
        <v>1269</v>
      </c>
      <c r="B44" s="1592" t="str">
        <f>'预评函-3'!C2</f>
        <v>(分摊)土地面积</v>
      </c>
    </row>
    <row r="45" spans="1:2" s="1593" customFormat="1">
      <c r="A45" s="1591" t="s">
        <v>1241</v>
      </c>
      <c r="B45" s="1592">
        <f>'预评函-3'!C4</f>
        <v>2729.06</v>
      </c>
    </row>
    <row r="46" spans="1:2" s="1593" customFormat="1">
      <c r="A46" s="1591" t="s">
        <v>1267</v>
      </c>
      <c r="B46" s="1592" t="str">
        <f>'预评函-3'!D2</f>
        <v>出让国有建设用地使用权价值</v>
      </c>
    </row>
    <row r="47" spans="1:2" s="1593" customFormat="1">
      <c r="A47" s="1591" t="s">
        <v>1242</v>
      </c>
      <c r="B47" s="1592">
        <f ca="1">'预评函-3'!D4</f>
        <v>109247</v>
      </c>
    </row>
    <row r="48" spans="1:2" s="1593" customFormat="1">
      <c r="A48" s="1591" t="s">
        <v>1243</v>
      </c>
      <c r="B48" s="1592">
        <f ca="1">'预评函-3'!E4</f>
        <v>30583</v>
      </c>
    </row>
    <row r="49" spans="1:2" s="1593" customFormat="1">
      <c r="A49" s="1591" t="s">
        <v>1244</v>
      </c>
      <c r="B49" s="1592" t="str">
        <f ca="1">'预评函-3'!D5</f>
        <v>壹拾亿玖仟贰佰肆拾柒万元整</v>
      </c>
    </row>
    <row r="50" spans="1:2" s="1593" customFormat="1">
      <c r="A50" s="1591" t="s">
        <v>1268</v>
      </c>
      <c r="B50" s="1592" t="str">
        <f>'预评函-3'!F2</f>
        <v>建筑物价值</v>
      </c>
    </row>
    <row r="51" spans="1:2" s="1593" customFormat="1">
      <c r="A51" s="1591" t="s">
        <v>1245</v>
      </c>
      <c r="B51" s="1592">
        <f ca="1">'预评函-3'!F4</f>
        <v>18527</v>
      </c>
    </row>
    <row r="52" spans="1:2" s="1593" customFormat="1">
      <c r="A52" s="1591" t="s">
        <v>1246</v>
      </c>
      <c r="B52" s="1592">
        <f ca="1">'预评函-3'!G4</f>
        <v>5187</v>
      </c>
    </row>
    <row r="53" spans="1:2" s="1593" customFormat="1">
      <c r="A53" s="1591" t="s">
        <v>1274</v>
      </c>
      <c r="B53" s="1592" t="str">
        <f ca="1">'预评函-3'!F5</f>
        <v>壹亿捌仟伍佰贰拾柒万元整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7" t="s">
        <v>3105</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3103</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2" t="s">
        <v>861</v>
      </c>
      <c r="C54" s="2019" t="s">
        <v>1277</v>
      </c>
    </row>
    <row r="55" spans="1:4">
      <c r="A55" s="3023"/>
      <c r="B55" s="2022" t="s">
        <v>862</v>
      </c>
      <c r="C55" s="2019" t="s">
        <v>1278</v>
      </c>
    </row>
    <row r="56" spans="1:4">
      <c r="A56" s="3023"/>
      <c r="B56" s="2022" t="s">
        <v>863</v>
      </c>
      <c r="C56" s="2019" t="s">
        <v>1282</v>
      </c>
    </row>
    <row r="57" spans="1:4">
      <c r="A57" s="302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1771</v>
      </c>
      <c r="B1" s="3032"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033"/>
      <c r="D1" s="3033"/>
      <c r="E1" s="3033"/>
      <c r="F1" s="3033"/>
      <c r="G1" s="3033"/>
      <c r="H1" s="3033"/>
      <c r="I1" s="303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2035" t="s">
        <v>1773</v>
      </c>
      <c r="B3" s="2036">
        <v>43598</v>
      </c>
      <c r="C3" s="2037" t="s">
        <v>1774</v>
      </c>
      <c r="D3" s="2036">
        <f>B3</f>
        <v>43598</v>
      </c>
      <c r="E3" s="2026"/>
      <c r="F3" s="2026"/>
      <c r="G3" s="2026"/>
      <c r="H3" s="2026"/>
      <c r="I3" s="2026"/>
      <c r="J3" s="2026"/>
      <c r="K3" s="2027"/>
      <c r="L3" s="2028"/>
      <c r="M3" s="2028"/>
      <c r="N3" s="2029"/>
      <c r="O3" s="2030"/>
      <c r="P3" s="2029"/>
      <c r="Q3" s="2029"/>
      <c r="R3" s="2029"/>
      <c r="S3" s="2031"/>
    </row>
    <row r="4" spans="1:19" ht="18" customHeight="1" thickBot="1">
      <c r="A4" s="2038" t="s">
        <v>1775</v>
      </c>
      <c r="B4" s="2039" t="s">
        <v>3050</v>
      </c>
      <c r="C4" s="1037">
        <f ca="1">SUMIF(注册房地产估价师,B4,估价师及机构信息!B3:B24)</f>
        <v>1120000080</v>
      </c>
      <c r="D4" s="2039" t="s">
        <v>3051</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1" t="s">
        <v>3048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62" t="s">
        <v>3049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都会洪业（天津）有限公司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3052</v>
      </c>
      <c r="C8" s="2054"/>
      <c r="D8" s="3035" t="s">
        <v>1780</v>
      </c>
      <c r="E8" s="2055" t="s">
        <v>3053</v>
      </c>
      <c r="F8" s="2056"/>
      <c r="G8" s="2026"/>
      <c r="H8" s="2026"/>
      <c r="I8" s="2026"/>
      <c r="J8" s="2042"/>
      <c r="K8" s="2043"/>
      <c r="L8" s="2028"/>
      <c r="M8" s="2028"/>
      <c r="N8" s="2029"/>
      <c r="O8" s="2030"/>
      <c r="P8" s="2029"/>
      <c r="Q8" s="2029"/>
      <c r="R8" s="2029"/>
    </row>
    <row r="9" spans="1:19" ht="18" customHeight="1" thickBot="1">
      <c r="A9" s="2040" t="s">
        <v>1781</v>
      </c>
      <c r="B9" s="2057" t="s">
        <v>3053</v>
      </c>
      <c r="C9" s="2058"/>
      <c r="D9" s="3036"/>
      <c r="E9" s="2057"/>
      <c r="F9" s="2059"/>
      <c r="G9" s="2060"/>
      <c r="H9" s="2060"/>
      <c r="I9" s="2060"/>
      <c r="J9" s="2042"/>
      <c r="K9" s="2052"/>
      <c r="L9" s="2028"/>
      <c r="M9" s="2028"/>
      <c r="N9" s="2029"/>
      <c r="O9" s="2030"/>
      <c r="P9" s="2029"/>
      <c r="Q9" s="2029"/>
      <c r="R9" s="2029"/>
    </row>
    <row r="10" spans="1:19" ht="18" customHeight="1" thickTop="1">
      <c r="A10" s="2061" t="s">
        <v>1782</v>
      </c>
      <c r="B10" s="2062" t="s">
        <v>3054</v>
      </c>
      <c r="C10" s="2063"/>
      <c r="D10" s="2046"/>
      <c r="E10" s="2064" t="s">
        <v>1783</v>
      </c>
      <c r="F10" s="2065" t="s">
        <v>3056</v>
      </c>
      <c r="G10" s="2066"/>
      <c r="H10" s="2067"/>
      <c r="I10" s="2046"/>
      <c r="J10" s="2042"/>
      <c r="K10" s="2052"/>
      <c r="L10" s="2028"/>
      <c r="M10" s="2028"/>
      <c r="N10" s="2029"/>
      <c r="O10" s="2030"/>
      <c r="P10" s="2029"/>
      <c r="Q10" s="2029"/>
      <c r="R10" s="2029"/>
    </row>
    <row r="11" spans="1:19" ht="18" customHeight="1">
      <c r="A11" s="2068" t="s">
        <v>1784</v>
      </c>
      <c r="B11" s="2069" t="s">
        <v>3055</v>
      </c>
      <c r="C11" s="2070" t="str">
        <f>B7</f>
        <v>都会洪业（天津）有限公司</v>
      </c>
      <c r="D11" s="2071"/>
      <c r="E11" s="2042"/>
      <c r="F11" s="2042"/>
      <c r="G11" s="2042"/>
      <c r="H11" s="2042"/>
      <c r="I11" s="2042"/>
      <c r="J11" s="2042"/>
      <c r="K11" s="2052"/>
      <c r="L11" s="2028"/>
      <c r="M11" s="2028"/>
      <c r="N11" s="2029"/>
      <c r="O11" s="2030"/>
      <c r="P11" s="2029"/>
      <c r="Q11" s="2029"/>
      <c r="R11" s="2029"/>
    </row>
    <row r="12" spans="1:19" ht="18" customHeight="1">
      <c r="A12" s="2072" t="s">
        <v>1785</v>
      </c>
      <c r="B12" s="2069" t="s">
        <v>3057</v>
      </c>
      <c r="C12" s="2073" t="s">
        <v>1786</v>
      </c>
      <c r="D12" s="2074" t="s">
        <v>1787</v>
      </c>
      <c r="E12" s="2074" t="s">
        <v>1788</v>
      </c>
      <c r="F12" s="2074" t="s">
        <v>1789</v>
      </c>
      <c r="G12" s="2074" t="s">
        <v>1790</v>
      </c>
      <c r="H12" s="2074" t="s">
        <v>1791</v>
      </c>
      <c r="I12" s="2074" t="s">
        <v>1792</v>
      </c>
      <c r="J12" s="2042"/>
      <c r="K12" s="2052"/>
      <c r="L12" s="2028"/>
      <c r="M12" s="2028"/>
      <c r="N12" s="2029"/>
      <c r="O12" s="2030"/>
      <c r="P12" s="2029"/>
      <c r="Q12" s="2029"/>
      <c r="R12" s="2029"/>
    </row>
    <row r="13" spans="1:19" ht="18" customHeight="1">
      <c r="A13" s="2075"/>
      <c r="B13" s="2076"/>
      <c r="C13" s="2077" t="s">
        <v>1793</v>
      </c>
      <c r="D13" s="2078"/>
      <c r="E13" s="2078"/>
      <c r="F13" s="2078">
        <v>55285</v>
      </c>
      <c r="G13" s="2078">
        <v>55285</v>
      </c>
      <c r="H13" s="2078"/>
      <c r="I13" s="1047"/>
      <c r="J13" s="2042"/>
      <c r="K13" s="2052"/>
      <c r="L13" s="2028"/>
      <c r="M13" s="2028"/>
      <c r="N13" s="2029"/>
      <c r="O13" s="2030"/>
      <c r="P13" s="2029"/>
      <c r="Q13" s="2029"/>
      <c r="R13" s="2029"/>
    </row>
    <row r="14" spans="1:19" ht="18" customHeight="1">
      <c r="A14" s="2075"/>
      <c r="B14" s="2076"/>
      <c r="C14" s="2077" t="s">
        <v>1794</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32.01</v>
      </c>
      <c r="G15" s="1049">
        <f>IF(B12="出让",IF(G13="","",ROUNDDOWN(MIN((G13-$D$3)/365,G14),2)),G14)</f>
        <v>32.01</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1796</v>
      </c>
      <c r="B16" s="3042"/>
      <c r="C16" s="3043"/>
      <c r="D16" s="3044"/>
      <c r="E16" s="2084" t="s">
        <v>1797</v>
      </c>
      <c r="F16" s="3045" t="s">
        <v>3108</v>
      </c>
      <c r="G16" s="3046"/>
      <c r="H16" s="3046"/>
      <c r="I16" s="3047"/>
      <c r="J16" s="2029"/>
      <c r="K16" s="2081"/>
      <c r="L16" s="2082"/>
      <c r="M16" s="2082"/>
      <c r="N16" s="2083"/>
      <c r="O16" s="2082"/>
      <c r="P16" s="2083"/>
      <c r="Q16" s="2029"/>
      <c r="R16" s="2029"/>
    </row>
    <row r="17" spans="1:22" ht="18" customHeight="1">
      <c r="A17" s="2085" t="s">
        <v>1798</v>
      </c>
      <c r="B17" s="2035" t="s">
        <v>1799</v>
      </c>
      <c r="C17" s="1054">
        <f>'数据-汇总表'!E3</f>
        <v>35720.530000000006</v>
      </c>
      <c r="D17" s="2086" t="s">
        <v>1800</v>
      </c>
      <c r="E17" s="3048"/>
      <c r="F17" s="3049"/>
      <c r="G17" s="3049"/>
      <c r="H17" s="3049"/>
      <c r="I17" s="3050"/>
      <c r="J17" s="2029"/>
      <c r="K17" s="2087"/>
      <c r="L17" s="2082"/>
      <c r="M17" s="2082"/>
      <c r="N17" s="2083"/>
      <c r="O17" s="2082"/>
      <c r="P17" s="2083"/>
      <c r="Q17" s="2029"/>
      <c r="R17" s="2029"/>
      <c r="S17" s="2029"/>
      <c r="T17" s="2029"/>
      <c r="U17" s="2029"/>
      <c r="V17" s="2029"/>
    </row>
    <row r="18" spans="1:22" ht="36" customHeight="1" thickBot="1">
      <c r="A18" s="2088" t="s">
        <v>1801</v>
      </c>
      <c r="B18" s="2038" t="s">
        <v>1802</v>
      </c>
      <c r="C18" s="1444">
        <f>'数据-汇总表'!D3</f>
        <v>2729.06</v>
      </c>
      <c r="D18" s="2089" t="s">
        <v>1800</v>
      </c>
      <c r="E18" s="3051" t="s">
        <v>3068</v>
      </c>
      <c r="F18" s="3052"/>
      <c r="G18" s="3052"/>
      <c r="H18" s="3052"/>
      <c r="I18" s="3053"/>
      <c r="J18" s="2029"/>
      <c r="K18" s="2087"/>
      <c r="L18" s="2082"/>
      <c r="M18" s="2082"/>
      <c r="N18" s="2083"/>
      <c r="O18" s="2082"/>
      <c r="P18" s="2083"/>
      <c r="Q18" s="2029"/>
      <c r="R18" s="2029"/>
      <c r="S18" s="2029"/>
      <c r="T18" s="2029"/>
      <c r="U18" s="2029"/>
      <c r="V18" s="2029"/>
    </row>
    <row r="19" spans="1:22" ht="37.5" customHeight="1" thickTop="1" thickBot="1">
      <c r="A19" s="373" t="s">
        <v>1803</v>
      </c>
      <c r="B19" s="352" t="s">
        <v>1804</v>
      </c>
      <c r="C19" s="2090" t="s">
        <v>3060</v>
      </c>
      <c r="D19" s="2091" t="s">
        <v>1805</v>
      </c>
      <c r="E19" s="2092" t="s">
        <v>3060</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1806</v>
      </c>
      <c r="B20" s="3038" t="s">
        <v>1807</v>
      </c>
      <c r="C20" s="3039"/>
      <c r="D20" s="3040" t="s">
        <v>1808</v>
      </c>
      <c r="E20" s="3041"/>
      <c r="F20" s="2096" t="s">
        <v>1809</v>
      </c>
      <c r="G20" s="2042"/>
      <c r="H20" s="2042"/>
      <c r="I20" s="2042"/>
      <c r="J20" s="2042"/>
      <c r="K20" s="3037"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8"/>
      <c r="N20" s="2083"/>
      <c r="O20" s="2082"/>
      <c r="P20" s="2083"/>
      <c r="Q20" s="2029"/>
      <c r="R20" s="2029"/>
      <c r="S20" s="2029"/>
      <c r="T20" s="2029"/>
      <c r="U20" s="2029"/>
      <c r="V20" s="2029"/>
    </row>
    <row r="21" spans="1:22" ht="24.75" customHeight="1">
      <c r="A21" s="2095"/>
      <c r="B21" s="2097" t="s">
        <v>1811</v>
      </c>
      <c r="C21" s="2098" t="s">
        <v>3069</v>
      </c>
      <c r="D21" s="2099"/>
      <c r="E21" s="2100" t="s">
        <v>1812</v>
      </c>
      <c r="F21" s="2101"/>
      <c r="G21" s="2042"/>
      <c r="H21" s="2042"/>
      <c r="I21" s="2042"/>
      <c r="J21" s="2042"/>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1813</v>
      </c>
      <c r="C22" s="2098" t="s">
        <v>3069</v>
      </c>
      <c r="D22" s="2026"/>
      <c r="E22" s="2026"/>
      <c r="F22" s="2103"/>
      <c r="G22" s="2042"/>
      <c r="H22" s="2042"/>
      <c r="I22" s="2042"/>
      <c r="J22" s="2042"/>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1814</v>
      </c>
      <c r="B23" s="183" t="s">
        <v>1815</v>
      </c>
      <c r="C23" s="2105"/>
      <c r="D23" s="2106" t="s">
        <v>1815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1816</v>
      </c>
      <c r="C24" s="2110"/>
      <c r="D24" s="2104" t="s">
        <v>1816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1817</v>
      </c>
      <c r="C25" s="2110"/>
      <c r="D25" s="2104" t="s">
        <v>1817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1818</v>
      </c>
      <c r="C26" s="2114"/>
      <c r="D26" s="2115" t="s">
        <v>1819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25" t="s">
        <v>1820</v>
      </c>
      <c r="B27" s="2061" t="s">
        <v>1821</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25"/>
      <c r="B28" s="2035" t="s">
        <v>1822</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25"/>
      <c r="B29" s="2035" t="s">
        <v>1823</v>
      </c>
      <c r="C29" s="2123" t="s">
        <v>3060</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26"/>
      <c r="B30" s="2035" t="s">
        <v>1824</v>
      </c>
      <c r="C30" s="3027"/>
      <c r="D30" s="3028"/>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29" t="s">
        <v>1825</v>
      </c>
      <c r="B31" s="2125" t="s">
        <v>3061</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30"/>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30"/>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1826</v>
      </c>
      <c r="B34" s="2132" t="s">
        <v>3062</v>
      </c>
      <c r="C34" s="2132" t="s">
        <v>3063</v>
      </c>
      <c r="D34" s="2132" t="s">
        <v>3064</v>
      </c>
      <c r="E34" s="2132" t="s">
        <v>3065</v>
      </c>
      <c r="F34" s="2132" t="s">
        <v>3066</v>
      </c>
      <c r="G34" s="2132" t="s">
        <v>3067</v>
      </c>
      <c r="H34" s="2132"/>
      <c r="I34" s="2042"/>
      <c r="J34" s="2042"/>
      <c r="K34" s="1795">
        <f>COUNTIF(B34:H34,"——")</f>
        <v>0</v>
      </c>
      <c r="L34" s="2073" t="s">
        <v>1827</v>
      </c>
      <c r="M34" s="2073" t="s">
        <v>1828</v>
      </c>
      <c r="N34" s="2073" t="s">
        <v>1829</v>
      </c>
      <c r="O34" s="2073" t="s">
        <v>1830</v>
      </c>
      <c r="P34" s="2073" t="s">
        <v>1831</v>
      </c>
      <c r="Q34" s="2073" t="s">
        <v>1832</v>
      </c>
      <c r="R34" s="2073" t="s">
        <v>1833</v>
      </c>
      <c r="S34" s="3024" t="s">
        <v>1834</v>
      </c>
      <c r="T34" s="2133" t="str">
        <f>NUMBERSTRING(7-K34,1)&amp;"通"</f>
        <v>七通</v>
      </c>
      <c r="U34" s="2029"/>
      <c r="V34" s="2029"/>
    </row>
    <row r="35" spans="1:22" ht="18" customHeight="1">
      <c r="A35" s="2134"/>
      <c r="B35" s="3031" t="s">
        <v>1835</v>
      </c>
      <c r="C35" s="3031"/>
      <c r="D35" s="3031"/>
      <c r="E35" s="3031"/>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29"/>
      <c r="V35" s="2029"/>
    </row>
    <row r="36" spans="1:22" ht="18" customHeight="1">
      <c r="A36" s="2136"/>
      <c r="B36" s="2135" t="s">
        <v>1836</v>
      </c>
      <c r="C36" s="2135" t="s">
        <v>1837</v>
      </c>
      <c r="D36" s="2135" t="s">
        <v>1838</v>
      </c>
      <c r="E36" s="2135" t="s">
        <v>1839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1840</v>
      </c>
      <c r="B37" s="2139"/>
      <c r="C37" s="2139" t="s">
        <v>269</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1841</v>
      </c>
      <c r="B38" s="2141"/>
      <c r="C38" s="2141" t="s">
        <v>138</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1844</v>
      </c>
      <c r="B42" s="1795" t="s">
        <v>1845</v>
      </c>
      <c r="C42" s="1795" t="s">
        <v>1846</v>
      </c>
      <c r="D42" s="1795" t="s">
        <v>1847</v>
      </c>
      <c r="E42" s="1795" t="s">
        <v>1848</v>
      </c>
      <c r="F42" s="1795" t="s">
        <v>1849</v>
      </c>
      <c r="G42" s="1795" t="s">
        <v>1850</v>
      </c>
      <c r="H42" s="1795" t="s">
        <v>1851</v>
      </c>
      <c r="I42" s="1795" t="s">
        <v>1852</v>
      </c>
      <c r="J42" s="2151" t="s">
        <v>1853</v>
      </c>
      <c r="K42" s="2074" t="s">
        <v>1854</v>
      </c>
      <c r="L42" s="2074" t="s">
        <v>1855</v>
      </c>
      <c r="M42" s="2074" t="s">
        <v>1856</v>
      </c>
      <c r="N42" s="1795" t="s">
        <v>1857</v>
      </c>
      <c r="O42" s="1795" t="s">
        <v>1858</v>
      </c>
      <c r="P42" s="1795" t="s">
        <v>1859</v>
      </c>
      <c r="Q42" s="2073" t="s">
        <v>1860</v>
      </c>
      <c r="R42" s="2073" t="s">
        <v>1861</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1867</v>
      </c>
      <c r="AZ2" s="1270"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2729.06</v>
      </c>
      <c r="B3" s="14">
        <f>IF(C3="否",G5-AT5,G5)</f>
        <v>35720.530000000006</v>
      </c>
      <c r="C3" s="2167" t="s">
        <v>1870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1871</v>
      </c>
      <c r="B5" s="1803"/>
      <c r="C5" s="1803"/>
      <c r="D5" s="1806"/>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1355.37</v>
      </c>
      <c r="BR5" s="18">
        <f t="shared" si="1"/>
        <v>0</v>
      </c>
      <c r="BS5" s="18">
        <f t="shared" si="1"/>
        <v>0</v>
      </c>
      <c r="BT5" s="19">
        <f t="shared" si="1"/>
        <v>0</v>
      </c>
    </row>
    <row r="6" spans="1:72" s="2176" customFormat="1" ht="12.75">
      <c r="A6" s="15" t="s">
        <v>1872</v>
      </c>
      <c r="B6" s="2173"/>
      <c r="C6" s="2173"/>
      <c r="D6" s="2174"/>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1872</v>
      </c>
      <c r="AW6" s="2173"/>
      <c r="AX6" s="2173"/>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103.55</v>
      </c>
      <c r="BR6" s="16">
        <f t="shared" si="5"/>
        <v>0</v>
      </c>
      <c r="BS6" s="16">
        <f t="shared" si="5"/>
        <v>0</v>
      </c>
      <c r="BT6" s="22">
        <f t="shared" si="5"/>
        <v>0</v>
      </c>
    </row>
    <row r="7" spans="1:72" s="2166" customFormat="1" ht="24.75">
      <c r="A7" s="2108" t="s">
        <v>1873</v>
      </c>
      <c r="B7" s="2108" t="s">
        <v>1874</v>
      </c>
      <c r="C7" s="2108" t="s">
        <v>1875</v>
      </c>
      <c r="D7" s="2108" t="s">
        <v>1876</v>
      </c>
      <c r="E7" s="2108" t="s">
        <v>1877</v>
      </c>
      <c r="F7" s="2108" t="s">
        <v>1878</v>
      </c>
      <c r="G7" s="2177" t="s">
        <v>1879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1880</v>
      </c>
      <c r="AV7" s="23" t="s">
        <v>1881</v>
      </c>
      <c r="AW7" s="2165" t="s">
        <v>1882</v>
      </c>
      <c r="AX7" s="23" t="s">
        <v>1875</v>
      </c>
      <c r="AY7" s="1803" t="s">
        <v>1883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1884</v>
      </c>
      <c r="H8" s="2183" t="s">
        <v>1885</v>
      </c>
      <c r="I8" s="2184"/>
      <c r="J8" s="1818"/>
      <c r="K8" s="1818"/>
      <c r="L8" s="1818"/>
      <c r="M8" s="1818"/>
      <c r="N8" s="1818"/>
      <c r="O8" s="1818"/>
      <c r="P8" s="1818"/>
      <c r="Q8" s="1818"/>
      <c r="R8" s="1818"/>
      <c r="S8" s="1818"/>
      <c r="T8" s="1818"/>
      <c r="U8" s="1818"/>
      <c r="V8" s="2185"/>
      <c r="W8" s="1818"/>
      <c r="X8" s="1818"/>
      <c r="Y8" s="1818"/>
      <c r="Z8" s="1818"/>
      <c r="AA8" s="2185"/>
      <c r="AB8" s="2186"/>
      <c r="AC8" s="981" t="s">
        <v>1886</v>
      </c>
      <c r="AD8" s="2187"/>
      <c r="AE8" s="2179"/>
      <c r="AF8" s="1818"/>
      <c r="AG8" s="1818"/>
      <c r="AH8" s="1818"/>
      <c r="AI8" s="1818"/>
      <c r="AJ8" s="1818"/>
      <c r="AK8" s="1818"/>
      <c r="AL8" s="1818"/>
      <c r="AM8" s="1818"/>
      <c r="AN8" s="1818"/>
      <c r="AO8" s="1818"/>
      <c r="AP8" s="1818"/>
      <c r="AQ8" s="1818"/>
      <c r="AR8" s="1818"/>
      <c r="AS8" s="1818"/>
      <c r="AT8" s="1292" t="s">
        <v>1887</v>
      </c>
      <c r="AU8" s="2181" t="s">
        <v>1888</v>
      </c>
      <c r="AV8" s="1292"/>
      <c r="AW8" s="2164"/>
      <c r="AX8" s="1292"/>
      <c r="AY8" s="2165"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1891</v>
      </c>
      <c r="I9" s="2190" t="s">
        <v>3093</v>
      </c>
      <c r="J9" s="981"/>
      <c r="K9" s="2190" t="s">
        <v>3095</v>
      </c>
      <c r="L9" s="981"/>
      <c r="M9" s="2190" t="s">
        <v>3095</v>
      </c>
      <c r="N9" s="981"/>
      <c r="O9" s="2190"/>
      <c r="P9" s="981"/>
      <c r="Q9" s="2190"/>
      <c r="R9" s="981"/>
      <c r="S9" s="2190"/>
      <c r="T9" s="981"/>
      <c r="U9" s="2190"/>
      <c r="V9" s="981"/>
      <c r="W9" s="2190"/>
      <c r="X9" s="2191"/>
      <c r="Y9" s="2190"/>
      <c r="Z9" s="981"/>
      <c r="AA9" s="2190"/>
      <c r="AB9" s="981"/>
      <c r="AC9" s="2182"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2"/>
      <c r="AT9" s="2181"/>
      <c r="AU9" s="2181" t="s">
        <v>1894</v>
      </c>
      <c r="AV9" s="1292"/>
      <c r="AW9" s="2164"/>
      <c r="AX9" s="1292"/>
      <c r="AY9" s="28"/>
      <c r="AZ9" s="28" t="s">
        <v>1884</v>
      </c>
      <c r="BA9" s="2193" t="s">
        <v>1895</v>
      </c>
      <c r="BB9" s="2194"/>
      <c r="BC9" s="1338"/>
      <c r="BD9" s="1338"/>
      <c r="BE9" s="1338"/>
      <c r="BF9" s="1338"/>
      <c r="BG9" s="1338"/>
      <c r="BH9" s="1338"/>
      <c r="BI9" s="1338"/>
      <c r="BJ9" s="1338"/>
      <c r="BK9" s="2195"/>
      <c r="BL9" s="15" t="s">
        <v>1896</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27</v>
      </c>
      <c r="L10" s="981"/>
      <c r="M10" s="2196" t="s">
        <v>3096</v>
      </c>
      <c r="N10" s="981"/>
      <c r="O10" s="2196"/>
      <c r="P10" s="981"/>
      <c r="Q10" s="2196"/>
      <c r="R10" s="981"/>
      <c r="S10" s="2196"/>
      <c r="T10" s="981"/>
      <c r="U10" s="2196"/>
      <c r="V10" s="981"/>
      <c r="W10" s="2196"/>
      <c r="X10" s="981"/>
      <c r="Y10" s="2196"/>
      <c r="Z10" s="981"/>
      <c r="AA10" s="2196"/>
      <c r="AB10" s="981"/>
      <c r="AC10" s="1292"/>
      <c r="AD10" s="15" t="s">
        <v>1897</v>
      </c>
      <c r="AE10" s="2197"/>
      <c r="AF10" s="15" t="s">
        <v>1897</v>
      </c>
      <c r="AG10" s="2197"/>
      <c r="AH10" s="15" t="s">
        <v>1898</v>
      </c>
      <c r="AI10" s="2197"/>
      <c r="AJ10" s="15" t="s">
        <v>1898</v>
      </c>
      <c r="AK10" s="2197"/>
      <c r="AL10" s="15" t="s">
        <v>1899</v>
      </c>
      <c r="AM10" s="1298"/>
      <c r="AN10" s="15" t="s">
        <v>1899</v>
      </c>
      <c r="AO10" s="1298"/>
      <c r="AP10" s="15" t="s">
        <v>1900</v>
      </c>
      <c r="AQ10" s="1298"/>
      <c r="AR10" s="15" t="s">
        <v>1900</v>
      </c>
      <c r="AS10" s="1298"/>
      <c r="AT10" s="2181"/>
      <c r="AU10" s="2181"/>
      <c r="AV10" s="1292"/>
      <c r="AW10" s="2164"/>
      <c r="AX10" s="1292"/>
      <c r="AY10" s="28"/>
      <c r="AZ10" s="28"/>
      <c r="BA10" s="2198" t="s">
        <v>1891</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3094</v>
      </c>
      <c r="J11" s="2202"/>
      <c r="K11" s="2201" t="s">
        <v>3094</v>
      </c>
      <c r="L11" s="2202"/>
      <c r="M11" s="2201" t="s">
        <v>3097</v>
      </c>
      <c r="N11" s="2202"/>
      <c r="O11" s="2201"/>
      <c r="P11" s="2202"/>
      <c r="Q11" s="2201"/>
      <c r="R11" s="2202"/>
      <c r="S11" s="2201"/>
      <c r="T11" s="2202"/>
      <c r="U11" s="2201"/>
      <c r="V11" s="2202"/>
      <c r="W11" s="2201"/>
      <c r="X11" s="2202"/>
      <c r="Y11" s="2201"/>
      <c r="Z11" s="2202"/>
      <c r="AA11" s="2201"/>
      <c r="AB11" s="2202"/>
      <c r="AC11" s="1292"/>
      <c r="AD11" s="2203" t="s">
        <v>1901</v>
      </c>
      <c r="AE11" s="1819"/>
      <c r="AF11" s="2203" t="s">
        <v>1901</v>
      </c>
      <c r="AG11" s="1819"/>
      <c r="AH11" s="2203" t="s">
        <v>1902</v>
      </c>
      <c r="AI11" s="2204"/>
      <c r="AJ11" s="2203" t="s">
        <v>1902</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办公</v>
      </c>
      <c r="BD11" s="2186" t="str">
        <f>M10</f>
        <v>车库—办公</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8"/>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6" t="s">
        <v>1904</v>
      </c>
      <c r="AT12" s="2209"/>
      <c r="AU12" s="2206"/>
      <c r="AV12" s="31"/>
      <c r="AW12" s="2165"/>
      <c r="AX12" s="31"/>
      <c r="AY12" s="2210"/>
      <c r="AZ12" s="28"/>
      <c r="BA12" s="2198"/>
      <c r="BB12" s="24" t="str">
        <f>I11</f>
        <v>办公楼</v>
      </c>
      <c r="BC12" s="2211" t="str">
        <f>K11</f>
        <v>办公楼</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51">
      <c r="A13" s="1272"/>
      <c r="B13" s="1272" t="s">
        <v>3070</v>
      </c>
      <c r="C13" s="3311">
        <v>-401</v>
      </c>
      <c r="D13" s="2212" t="s">
        <v>3092</v>
      </c>
      <c r="E13" s="16">
        <f>IF($C$3="是",ROUND($A$3*G13/$B$3,2),ROUND($A$3*(G13-AT13)/$B$3,2))</f>
        <v>54.29</v>
      </c>
      <c r="F13" s="32"/>
      <c r="G13" s="33">
        <f>H13+AC13+AT13</f>
        <v>710.56</v>
      </c>
      <c r="H13" s="20">
        <f>SUMIF(I$12:AB$12,"总值",I13:AB13)</f>
        <v>710.56</v>
      </c>
      <c r="I13" s="2213"/>
      <c r="J13" s="2213"/>
      <c r="K13" s="2213">
        <v>710.56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京（2016）海淀区不动产权第0047728号</v>
      </c>
      <c r="AX13" s="11">
        <f t="shared" si="6"/>
        <v>-401</v>
      </c>
      <c r="AY13" s="1806">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311">
        <v>-402</v>
      </c>
      <c r="D14" s="2212" t="s">
        <v>3092</v>
      </c>
      <c r="E14" s="16">
        <f>IF($C$3="是",ROUND($A$3*G14/$B$3,2),ROUND($A$3*(G14-AT14)/$B$3,2))</f>
        <v>2.81</v>
      </c>
      <c r="F14" s="32"/>
      <c r="G14" s="33">
        <f>H14+AC14+AT14</f>
        <v>36.729999999999997</v>
      </c>
      <c r="H14" s="20">
        <f>SUMIF(I$12:AB$12,"总值",I14:AB14)</f>
        <v>36.729999999999997</v>
      </c>
      <c r="I14" s="2213"/>
      <c r="J14" s="2213"/>
      <c r="K14" s="2213">
        <v>36.729999999999997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-402</v>
      </c>
      <c r="AY14" s="1806">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2"/>
      <c r="B15" s="1272" t="s">
        <v>3071</v>
      </c>
      <c r="C15" s="3311">
        <v>-301</v>
      </c>
      <c r="D15" s="2212" t="s">
        <v>3092</v>
      </c>
      <c r="E15" s="16">
        <f>IF($C$3="是",ROUND($A$3*G15/$B$3,2),ROUND($A$3*(G15-AT15)/$B$3,2))</f>
        <v>418.14</v>
      </c>
      <c r="F15" s="32"/>
      <c r="G15" s="33">
        <f>H15+AC15+AT15</f>
        <v>5472.99</v>
      </c>
      <c r="H15" s="20">
        <f>SUMIF(I$12:AB$12,"总值",I15:AB15)</f>
        <v>5472.99</v>
      </c>
      <c r="I15" s="2213"/>
      <c r="J15" s="2213"/>
      <c r="K15" s="2213"/>
      <c r="L15" s="2213"/>
      <c r="M15" s="2213">
        <v>5472.99</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京（2016）海淀区不动产权第0047727号</v>
      </c>
      <c r="AX15" s="11">
        <f t="shared" si="6"/>
        <v>-301</v>
      </c>
      <c r="AY15" s="1806">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3311">
        <v>-302</v>
      </c>
      <c r="D16" s="2212" t="s">
        <v>3092</v>
      </c>
      <c r="E16" s="16">
        <f>IF($C$3="是",ROUND($A$3*G16/$B$3,2),ROUND($A$3*(G16-AT16)/$B$3,2))</f>
        <v>23.53</v>
      </c>
      <c r="F16" s="32"/>
      <c r="G16" s="33">
        <f>H16+AC16+AT16</f>
        <v>308.01</v>
      </c>
      <c r="H16" s="20">
        <f>SUMIF(I$12:AB$12,"总值",I16:AB16)</f>
        <v>308.01</v>
      </c>
      <c r="I16" s="2213"/>
      <c r="J16" s="2213"/>
      <c r="K16" s="2213">
        <v>308.01</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-302</v>
      </c>
      <c r="AY16" s="1806">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3311">
        <v>-303</v>
      </c>
      <c r="D17" s="2212" t="s">
        <v>3092</v>
      </c>
      <c r="E17" s="16">
        <f>IF($C$3="是",ROUND($A$3*G17/$B$3,2),ROUND($A$3*(G17-AT17)/$B$3,2))</f>
        <v>2.12</v>
      </c>
      <c r="F17" s="32"/>
      <c r="G17" s="33">
        <f>H17+AC17+AT17</f>
        <v>27.7</v>
      </c>
      <c r="H17" s="20">
        <f>SUMIF(I$12:AB$12,"总值",I17:AB17)</f>
        <v>27.7</v>
      </c>
      <c r="I17" s="2213"/>
      <c r="J17" s="2213"/>
      <c r="K17" s="2213">
        <v>27.7</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-303</v>
      </c>
      <c r="AY17" s="1806">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312">
        <v>-304</v>
      </c>
      <c r="D18" s="2212" t="s">
        <v>3092</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3072</v>
      </c>
      <c r="C19" s="3312">
        <v>-201</v>
      </c>
      <c r="D19" s="2212" t="s">
        <v>3092</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t="str">
        <f t="shared" si="12"/>
        <v>京（2016）海淀区不动产权第0047708号</v>
      </c>
      <c r="AX19" s="1795">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312">
        <v>-202</v>
      </c>
      <c r="D20" s="2212" t="s">
        <v>3092</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3073</v>
      </c>
      <c r="C21" s="3312">
        <v>-101</v>
      </c>
      <c r="D21" s="2212" t="s">
        <v>3092</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2218"/>
      <c r="AV21" s="1795">
        <f t="shared" si="11"/>
        <v>0</v>
      </c>
      <c r="AW21" s="1795" t="str">
        <f t="shared" si="12"/>
        <v>京（2016）海淀区不动产权第0047699号</v>
      </c>
      <c r="AX21" s="1795">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1355.37</v>
      </c>
      <c r="BR21" s="35">
        <f t="shared" si="33"/>
        <v>0</v>
      </c>
      <c r="BS21" s="35">
        <f t="shared" si="34"/>
        <v>0</v>
      </c>
      <c r="BT21" s="43">
        <f t="shared" si="35"/>
        <v>0</v>
      </c>
    </row>
    <row r="22" spans="1:72">
      <c r="A22" s="9"/>
      <c r="B22" s="34"/>
      <c r="C22" s="3312">
        <v>-102</v>
      </c>
      <c r="D22" s="2212" t="s">
        <v>3092</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312">
        <v>-103</v>
      </c>
      <c r="D23" s="2212" t="s">
        <v>3092</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3074</v>
      </c>
      <c r="C24" s="3312">
        <v>101</v>
      </c>
      <c r="D24" s="2212" t="s">
        <v>3092</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t="str">
        <f t="shared" si="12"/>
        <v>京（2016）海淀区不动产证第0047731号</v>
      </c>
      <c r="AX24" s="1795">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3075</v>
      </c>
      <c r="C25" s="3312">
        <v>201</v>
      </c>
      <c r="D25" s="2212" t="s">
        <v>3092</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t="str">
        <f t="shared" si="12"/>
        <v>京（2016）海淀区不动产证第0047730号</v>
      </c>
      <c r="AX25" s="1795">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3076</v>
      </c>
      <c r="C26" s="3312">
        <v>301</v>
      </c>
      <c r="D26" s="2212" t="s">
        <v>3092</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t="str">
        <f t="shared" si="12"/>
        <v>京（2016）海淀区不动产证第0047732号</v>
      </c>
      <c r="AX26" s="1795">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3077</v>
      </c>
      <c r="C27" s="3312">
        <v>501</v>
      </c>
      <c r="D27" s="2212" t="s">
        <v>3092</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t="str">
        <f t="shared" si="12"/>
        <v>京（2016）海淀区不动产证第0047747号</v>
      </c>
      <c r="AX27" s="1795">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3078</v>
      </c>
      <c r="C28" s="3312">
        <v>601</v>
      </c>
      <c r="D28" s="2212" t="s">
        <v>3092</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t="str">
        <f t="shared" si="12"/>
        <v>京（2016）海淀区不动产证第0047748号</v>
      </c>
      <c r="AX28" s="1795">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3079</v>
      </c>
      <c r="C29" s="3312">
        <v>701</v>
      </c>
      <c r="D29" s="2212" t="s">
        <v>3092</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t="str">
        <f t="shared" si="12"/>
        <v>京（2016）海淀区不动产证第0047768号</v>
      </c>
      <c r="AX29" s="1795">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3080</v>
      </c>
      <c r="C30" s="3312">
        <v>801</v>
      </c>
      <c r="D30" s="2212" t="s">
        <v>3092</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t="str">
        <f t="shared" si="12"/>
        <v>京（2016）海淀区不动产证第0047765号</v>
      </c>
      <c r="AX30" s="1795">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3081</v>
      </c>
      <c r="C31" s="3312">
        <v>901</v>
      </c>
      <c r="D31" s="2212" t="s">
        <v>3092</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t="str">
        <f t="shared" si="12"/>
        <v>京（2016）海淀区不动产证第0047764号</v>
      </c>
      <c r="AX31" s="1795">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3082</v>
      </c>
      <c r="C32" s="3312">
        <v>1001</v>
      </c>
      <c r="D32" s="2212" t="s">
        <v>3092</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t="str">
        <f t="shared" si="12"/>
        <v>京（2016）海淀区不动产证第0047763号</v>
      </c>
      <c r="AX32" s="1795">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3083</v>
      </c>
      <c r="C33" s="3312">
        <v>1101</v>
      </c>
      <c r="D33" s="2212" t="s">
        <v>3092</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t="str">
        <f t="shared" si="12"/>
        <v>京（2016）海淀区不动产证第0047760号</v>
      </c>
      <c r="AX33" s="1795">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3084</v>
      </c>
      <c r="C34" s="3312">
        <v>1201</v>
      </c>
      <c r="D34" s="2212" t="s">
        <v>3092</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t="str">
        <f t="shared" si="12"/>
        <v>京（2016）海淀区不动产证第0047759号</v>
      </c>
      <c r="AX34" s="1795">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3085</v>
      </c>
      <c r="C35" s="3312">
        <v>1301</v>
      </c>
      <c r="D35" s="2212" t="s">
        <v>3092</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t="str">
        <f t="shared" si="12"/>
        <v>京（2016）海淀区不动产证第0047758号</v>
      </c>
      <c r="AX35" s="1795">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3086</v>
      </c>
      <c r="C36" s="3312">
        <v>1401</v>
      </c>
      <c r="D36" s="2212" t="s">
        <v>3092</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t="str">
        <f t="shared" si="12"/>
        <v>京（2016）海淀区不动产证第0047757号</v>
      </c>
      <c r="AX36" s="1795">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3087</v>
      </c>
      <c r="C37" s="3312">
        <v>1501</v>
      </c>
      <c r="D37" s="2212" t="s">
        <v>3092</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t="str">
        <f t="shared" si="12"/>
        <v>京（2016）海淀区不动产证第0047750号</v>
      </c>
      <c r="AX37" s="1795">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3088</v>
      </c>
      <c r="C38" s="3312">
        <v>1601</v>
      </c>
      <c r="D38" s="2212" t="s">
        <v>3092</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t="str">
        <f t="shared" si="12"/>
        <v>京（2016）海淀区不动产证第0047751号</v>
      </c>
      <c r="AX38" s="1795">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3089</v>
      </c>
      <c r="C39" s="3312">
        <v>1701</v>
      </c>
      <c r="D39" s="2212" t="s">
        <v>3092</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t="str">
        <f t="shared" si="12"/>
        <v>京（2016）海淀区不动产证第0047753号</v>
      </c>
      <c r="AX39" s="1795">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3090</v>
      </c>
      <c r="C40" s="3312">
        <v>1801</v>
      </c>
      <c r="D40" s="2212" t="s">
        <v>3092</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t="str">
        <f t="shared" si="12"/>
        <v>京（2016）海淀区不动产证第0047755号</v>
      </c>
      <c r="AX40" s="1795">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3091</v>
      </c>
      <c r="C41" s="3312">
        <v>1901</v>
      </c>
      <c r="D41" s="2212" t="s">
        <v>3092</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t="str">
        <f t="shared" si="12"/>
        <v>京（2016）海淀区不动产证第0045332号</v>
      </c>
      <c r="AX41" s="1795">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1930</v>
      </c>
      <c r="B1" s="1392"/>
      <c r="C1" s="1392"/>
      <c r="D1" s="1392"/>
      <c r="E1" s="1392"/>
      <c r="F1" s="1392"/>
      <c r="G1" s="1392"/>
      <c r="H1" s="1392"/>
      <c r="I1" s="1392"/>
      <c r="J1" s="1392"/>
      <c r="K1" s="1392"/>
      <c r="L1" s="1392"/>
      <c r="M1" s="1392"/>
      <c r="N1" s="1392"/>
      <c r="O1" s="1392"/>
      <c r="P1" s="1392"/>
    </row>
    <row r="2" spans="1:16" ht="15">
      <c r="A2" s="3065" t="s">
        <v>1931</v>
      </c>
      <c r="B2" s="3065"/>
      <c r="C2" s="3065"/>
      <c r="D2" s="967" t="s">
        <v>1907</v>
      </c>
      <c r="E2" s="2226" t="s">
        <v>1908</v>
      </c>
      <c r="F2" s="1392"/>
      <c r="G2" s="2227"/>
      <c r="H2" s="2228"/>
      <c r="I2" s="2229" t="s">
        <v>1932</v>
      </c>
      <c r="J2" s="1392"/>
      <c r="K2" s="1392"/>
      <c r="L2" s="1392"/>
      <c r="M2" s="1392"/>
      <c r="N2" s="1427"/>
      <c r="O2" s="1392"/>
      <c r="P2" s="1392"/>
    </row>
    <row r="3" spans="1:16" ht="15.75" thickBot="1">
      <c r="A3" s="3066" t="s">
        <v>1905</v>
      </c>
      <c r="B3" s="3066"/>
      <c r="C3" s="3066"/>
      <c r="D3" s="46">
        <f>'数据-基础表'!AY6</f>
        <v>2729.06</v>
      </c>
      <c r="E3" s="46">
        <f>'数据-基础表'!AZ5</f>
        <v>35720.530000000006</v>
      </c>
      <c r="F3" s="1392"/>
      <c r="G3" s="1399"/>
      <c r="H3" s="1247" t="s">
        <v>1906</v>
      </c>
      <c r="I3" s="55">
        <f>ROUND('数据-基础表'!B3/'数据-基础表'!A3,2)</f>
        <v>13.09</v>
      </c>
      <c r="J3" s="1392"/>
      <c r="K3" s="1392"/>
      <c r="L3" s="1392"/>
      <c r="M3" s="1392"/>
      <c r="N3" s="1427"/>
      <c r="O3" s="1392"/>
      <c r="P3" s="1392"/>
    </row>
    <row r="4" spans="1:16" ht="15">
      <c r="A4" s="3067"/>
      <c r="B4" s="3068"/>
      <c r="C4" s="3069"/>
      <c r="D4" s="2230" t="s">
        <v>1907</v>
      </c>
      <c r="E4" s="2231" t="s">
        <v>1908</v>
      </c>
      <c r="F4" s="1392"/>
      <c r="G4" s="2232" t="s">
        <v>1933</v>
      </c>
      <c r="H4" s="1247" t="s">
        <v>1913</v>
      </c>
      <c r="I4" s="55">
        <f>ROUND(SUMIF('数据-基础表'!I9:AS9,"地上",'数据-基础表'!I5:AS5)/'数据-基础表'!A3,2)</f>
        <v>9.61</v>
      </c>
      <c r="J4" s="1392"/>
      <c r="K4" s="1392"/>
      <c r="L4" s="1392"/>
      <c r="M4" s="1392"/>
      <c r="N4" s="1427"/>
      <c r="O4" s="1392"/>
      <c r="P4" s="1392"/>
    </row>
    <row r="5" spans="1:16">
      <c r="A5" s="47" t="s">
        <v>1909</v>
      </c>
      <c r="B5" s="3070" t="s">
        <v>1910</v>
      </c>
      <c r="C5" s="3070"/>
      <c r="D5" s="48">
        <f>ROUND($D$3*E5/$E$3,2)</f>
        <v>0</v>
      </c>
      <c r="E5" s="49">
        <f>SUMIF('数据-基础表'!$11:$11,"住宅",'数据-基础表'!$5:$5)</f>
        <v>0</v>
      </c>
      <c r="F5" s="1392"/>
      <c r="G5" s="1399"/>
      <c r="H5" s="1247" t="s">
        <v>1906</v>
      </c>
      <c r="I5" s="55">
        <f>ROUND(E31/D31,2)</f>
        <v>13.09</v>
      </c>
      <c r="J5" s="1392"/>
      <c r="K5" s="1392"/>
      <c r="L5" s="1392"/>
      <c r="M5" s="1392"/>
      <c r="N5" s="1392"/>
      <c r="O5" s="1392"/>
      <c r="P5" s="1392"/>
    </row>
    <row r="6" spans="1:16" ht="15" thickBot="1">
      <c r="A6" s="2233"/>
      <c r="B6" s="3070" t="s">
        <v>1911</v>
      </c>
      <c r="C6" s="3070"/>
      <c r="D6" s="48">
        <f>ROUND($D$3*E6/$E$3,2)</f>
        <v>2729.06</v>
      </c>
      <c r="E6" s="49">
        <f>E3-E5</f>
        <v>35720.530000000006</v>
      </c>
      <c r="F6" s="1392"/>
      <c r="G6" s="2234" t="s">
        <v>1912</v>
      </c>
      <c r="H6" s="1399" t="s">
        <v>1913</v>
      </c>
      <c r="I6" s="939">
        <f>ROUND(F31/D31,2)</f>
        <v>9.61</v>
      </c>
      <c r="J6" s="1392"/>
      <c r="K6" s="1392"/>
      <c r="L6" s="1392"/>
      <c r="M6" s="1392"/>
      <c r="N6" s="1392"/>
      <c r="O6" s="1392"/>
      <c r="P6" s="1392"/>
    </row>
    <row r="7" spans="1:16" ht="15">
      <c r="A7" s="3062"/>
      <c r="B7" s="3063"/>
      <c r="C7" s="3064"/>
      <c r="D7" s="2230" t="s">
        <v>1907</v>
      </c>
      <c r="E7" s="2235" t="s">
        <v>1914</v>
      </c>
      <c r="F7" s="1392"/>
      <c r="G7" s="2227" t="s">
        <v>1915</v>
      </c>
      <c r="H7" s="64"/>
      <c r="I7" s="420"/>
      <c r="J7" s="1392"/>
      <c r="K7" s="1392"/>
      <c r="L7" s="1392"/>
      <c r="M7" s="1392"/>
      <c r="N7" s="1392"/>
      <c r="O7" s="1392"/>
      <c r="P7" s="1392"/>
    </row>
    <row r="8" spans="1:16">
      <c r="A8" s="47" t="s">
        <v>1916</v>
      </c>
      <c r="B8" s="50" t="s">
        <v>1917</v>
      </c>
      <c r="C8" s="48" t="s">
        <v>1918</v>
      </c>
      <c r="D8" s="48">
        <f t="shared" ref="D8:D15" si="0">ROUND($D$3*E8/$E$3,2)</f>
        <v>1899.7</v>
      </c>
      <c r="E8" s="51">
        <f>SUMIF('数据-基础表'!BB10:BK10,"地上",'数据-基础表'!BB5:BK5)</f>
        <v>24865.040000000005</v>
      </c>
      <c r="F8" s="1392"/>
      <c r="G8" s="2236"/>
      <c r="H8" s="2236"/>
      <c r="I8" s="1392"/>
      <c r="J8" s="1392"/>
      <c r="K8" s="1392"/>
      <c r="L8" s="1392"/>
      <c r="M8" s="1392"/>
      <c r="N8" s="1392"/>
      <c r="O8" s="1392"/>
      <c r="P8" s="1392"/>
    </row>
    <row r="9" spans="1:16">
      <c r="A9" s="2237"/>
      <c r="B9" s="2238"/>
      <c r="C9" s="48" t="s">
        <v>1919</v>
      </c>
      <c r="D9" s="48">
        <f t="shared" si="0"/>
        <v>0</v>
      </c>
      <c r="E9" s="52">
        <v>0</v>
      </c>
      <c r="F9" s="1392"/>
      <c r="G9" s="2236"/>
      <c r="H9" s="2236"/>
      <c r="I9" s="1392"/>
      <c r="J9" s="1392"/>
      <c r="K9" s="1392"/>
      <c r="L9" s="1392"/>
      <c r="M9" s="1392"/>
      <c r="N9" s="1392"/>
      <c r="O9" s="1392"/>
      <c r="P9" s="1392"/>
    </row>
    <row r="10" spans="1:16">
      <c r="A10" s="2237"/>
      <c r="B10" s="2238"/>
      <c r="C10" s="48" t="s">
        <v>1928</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1920</v>
      </c>
      <c r="D11" s="48">
        <f t="shared" si="0"/>
        <v>189.22</v>
      </c>
      <c r="E11" s="51">
        <f>SUMPRODUCT(('数据-基础表'!BB10:BK10="地下")*('数据-基础表'!BB11:BK11="办公")*('数据-基础表'!BB5:BK5))+'数据-基础表'!BP5</f>
        <v>2476.71</v>
      </c>
      <c r="F11" s="1392"/>
      <c r="G11" s="2236"/>
      <c r="H11" s="2236"/>
      <c r="I11" s="1392"/>
      <c r="J11" s="1392"/>
      <c r="K11" s="1392"/>
      <c r="L11" s="1392"/>
      <c r="M11" s="1392"/>
      <c r="N11" s="1392"/>
      <c r="O11" s="1392"/>
      <c r="P11" s="1392"/>
    </row>
    <row r="12" spans="1:16">
      <c r="A12" s="2237"/>
      <c r="B12" s="2238"/>
      <c r="C12" s="48" t="s">
        <v>1921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1929</v>
      </c>
      <c r="D15" s="48">
        <f t="shared" si="0"/>
        <v>536.59</v>
      </c>
      <c r="E15" s="51">
        <f>SUMPRODUCT(('数据-基础表'!BB10:BK10="地下")*('数据-基础表'!BB11:BK11="车库—办公")*('数据-基础表'!BB5:BK5))</f>
        <v>7023.41</v>
      </c>
      <c r="F15" s="1392"/>
      <c r="G15" s="2236"/>
      <c r="H15" s="2236"/>
      <c r="I15" s="1392"/>
      <c r="J15" s="1392"/>
      <c r="K15" s="1392"/>
      <c r="L15" s="1392"/>
      <c r="M15" s="1392"/>
      <c r="N15" s="1392"/>
      <c r="O15" s="1392"/>
      <c r="P15" s="1392"/>
    </row>
    <row r="16" spans="1:16" ht="15.75" thickBot="1">
      <c r="A16" s="2233"/>
      <c r="B16" s="2238"/>
      <c r="C16" s="50" t="s">
        <v>1923</v>
      </c>
      <c r="D16" s="50">
        <f>SUM(D8:D15)</f>
        <v>2625.51</v>
      </c>
      <c r="E16" s="53">
        <f>SUM(E8:E15)</f>
        <v>34365.160000000003</v>
      </c>
      <c r="F16" s="1392"/>
      <c r="G16" s="2236"/>
      <c r="H16" s="2239" t="s">
        <v>1935</v>
      </c>
      <c r="I16" s="2240"/>
      <c r="J16" s="1392"/>
      <c r="K16" s="3059" t="s">
        <v>1935</v>
      </c>
      <c r="L16" s="3060"/>
      <c r="M16" s="3060"/>
      <c r="N16" s="3060"/>
      <c r="O16" s="3060"/>
      <c r="P16" s="3061"/>
    </row>
    <row r="17" spans="1:19" ht="15">
      <c r="A17" s="2241" t="s">
        <v>1936</v>
      </c>
      <c r="B17" s="2242" t="s">
        <v>1937</v>
      </c>
      <c r="C17" s="2243" t="s">
        <v>1938</v>
      </c>
      <c r="D17" s="2244" t="s">
        <v>1926</v>
      </c>
      <c r="E17" s="2245" t="s">
        <v>1927</v>
      </c>
      <c r="F17" s="2246"/>
      <c r="G17" s="2247"/>
      <c r="H17" s="2248" t="s">
        <v>1939</v>
      </c>
      <c r="I17" s="2249" t="s">
        <v>1924</v>
      </c>
      <c r="J17" s="1392"/>
      <c r="K17" s="3056" t="s">
        <v>1940</v>
      </c>
      <c r="L17" s="3057"/>
      <c r="M17" s="3058"/>
      <c r="N17" s="3056" t="s">
        <v>1941</v>
      </c>
      <c r="O17" s="3057"/>
      <c r="P17" s="3058"/>
      <c r="R17" s="2227" t="s">
        <v>1942</v>
      </c>
      <c r="S17" s="64"/>
    </row>
    <row r="18" spans="1:19" ht="15">
      <c r="A18" s="2237"/>
      <c r="B18" s="2250"/>
      <c r="C18" s="2251"/>
      <c r="D18" s="2252"/>
      <c r="E18" s="2253" t="s">
        <v>1943</v>
      </c>
      <c r="F18" s="2254" t="s">
        <v>1944</v>
      </c>
      <c r="G18" s="2255" t="s">
        <v>1945</v>
      </c>
      <c r="H18" s="1262" t="s">
        <v>1946</v>
      </c>
      <c r="I18" s="2256" t="s">
        <v>1947</v>
      </c>
      <c r="J18" s="1392"/>
      <c r="K18" s="1262" t="s">
        <v>1948</v>
      </c>
      <c r="L18" s="2257" t="s">
        <v>1949</v>
      </c>
      <c r="M18" s="1046" t="s">
        <v>1950</v>
      </c>
      <c r="N18" s="1262" t="s">
        <v>1948</v>
      </c>
      <c r="O18" s="2257" t="s">
        <v>1949</v>
      </c>
      <c r="P18" s="1046" t="s">
        <v>1950</v>
      </c>
      <c r="R18" s="1247" t="s">
        <v>1951</v>
      </c>
      <c r="S18" s="1247" t="s">
        <v>1952</v>
      </c>
    </row>
    <row r="19" spans="1:19">
      <c r="A19" s="2258"/>
      <c r="B19" s="50" t="s">
        <v>1925</v>
      </c>
      <c r="C19" s="2963" t="s">
        <v>3099</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2"/>
      <c r="K19" s="1391">
        <f t="shared" ref="K19:K26" si="3">ROUND(E$28*E19/E$27,2)</f>
        <v>1078.3699999999999</v>
      </c>
      <c r="L19" s="1247">
        <f t="shared" ref="L19:L26" si="4">ROUND(IF(COUNTIF(C19,"*住宅*")&gt;0,E$29*E19/E$32,0),2)</f>
        <v>0</v>
      </c>
      <c r="M19" s="1403">
        <f>K19+L19</f>
        <v>1078.3699999999999</v>
      </c>
      <c r="N19" s="2260"/>
      <c r="O19" s="2261"/>
      <c r="P19" s="1403">
        <f>N19+O19</f>
        <v>0</v>
      </c>
      <c r="R19" s="1247">
        <f t="shared" ref="R19:S26" si="5">D19+H19</f>
        <v>2171.31</v>
      </c>
      <c r="S19" s="1248">
        <f t="shared" si="5"/>
        <v>28420.120000000003</v>
      </c>
    </row>
    <row r="20" spans="1:19">
      <c r="A20" s="2262"/>
      <c r="B20" s="50" t="s">
        <v>1953</v>
      </c>
      <c r="C20" s="2963" t="s">
        <v>3100</v>
      </c>
      <c r="D20" s="48">
        <f t="shared" ref="D20:D26" si="6">ROUND($D$3*E20/$E$3,2)</f>
        <v>536.59</v>
      </c>
      <c r="E20" s="56">
        <f t="shared" si="1"/>
        <v>7023.41</v>
      </c>
      <c r="F20" s="57"/>
      <c r="G20" s="58">
        <f>'数据-基础表'!M5</f>
        <v>7023.41</v>
      </c>
      <c r="H20" s="723">
        <f t="shared" ref="H20:H26" si="7">ROUND($D$3*I20/$E$3,2)</f>
        <v>21.16</v>
      </c>
      <c r="I20" s="51">
        <f t="shared" si="2"/>
        <v>277</v>
      </c>
      <c r="J20" s="1392"/>
      <c r="K20" s="1391">
        <f t="shared" si="3"/>
        <v>277</v>
      </c>
      <c r="L20" s="1247">
        <f t="shared" si="4"/>
        <v>0</v>
      </c>
      <c r="M20" s="1403">
        <f t="shared" ref="M20:M26" si="8">K20+L20</f>
        <v>277</v>
      </c>
      <c r="N20" s="2260"/>
      <c r="O20" s="2261"/>
      <c r="P20" s="1403">
        <f t="shared" ref="P20:P26" si="9">N20+O20</f>
        <v>0</v>
      </c>
      <c r="R20" s="1247">
        <f t="shared" si="5"/>
        <v>557.75</v>
      </c>
      <c r="S20" s="1248">
        <f t="shared" si="5"/>
        <v>7300.41</v>
      </c>
    </row>
    <row r="21" spans="1:19">
      <c r="A21" s="2262"/>
      <c r="B21" s="50" t="s">
        <v>1953</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1954</v>
      </c>
      <c r="D27" s="1393">
        <f>SUM(D19:D26)</f>
        <v>2625.51</v>
      </c>
      <c r="E27" s="1394">
        <f>IF(SUM(E19:E26)='数据-基础表'!BA5,SUM(E19:E26),IF(F27="地上面积有误","面积有误","地下面积有误"))</f>
        <v>34365.160000000003</v>
      </c>
      <c r="F27" s="1393">
        <f>IF(SUM(F19:F26)=E8,SUM(F19:F26),"地上面积有误")</f>
        <v>24865.040000000005</v>
      </c>
      <c r="G27" s="1395">
        <f>SUM(G19:G26)</f>
        <v>9500.119999999999</v>
      </c>
      <c r="H27" s="1396">
        <f>SUM(H19:H26)</f>
        <v>103.55</v>
      </c>
      <c r="I27" s="1397">
        <f>SUM(I19:I26)</f>
        <v>1355.37</v>
      </c>
      <c r="J27" s="1392"/>
      <c r="K27" s="1400">
        <f>SUM(K19:K26)</f>
        <v>1355.37</v>
      </c>
      <c r="L27" s="1401">
        <f>SUM(L19:L26)</f>
        <v>0</v>
      </c>
      <c r="M27" s="1404">
        <f>SUM(M19:M26)</f>
        <v>1355.37</v>
      </c>
      <c r="N27" s="1400">
        <f t="shared" ref="N27:O27" si="10">SUM(N19:N26)</f>
        <v>0</v>
      </c>
      <c r="O27" s="1401">
        <f t="shared" si="10"/>
        <v>0</v>
      </c>
      <c r="P27" s="1402">
        <f>SUM(P19:P26)</f>
        <v>0</v>
      </c>
      <c r="R27" s="1249">
        <f>IF(SUM(R19:R26)=$D$3,SUM(R19:R26),SUM(R19:R26)&amp;"误差"&amp;ROUND(SUM(R19:R26)-$D$3,2))</f>
        <v>2729.06</v>
      </c>
      <c r="S27" s="1247">
        <f>IF(SUM(S19:S26)=$E$3,SUM(S19:S26),SUM(S19:S26)&amp;"误差"&amp;ROUND(SUM(S19:S26)-E3,2))</f>
        <v>35720.53</v>
      </c>
    </row>
    <row r="28" spans="1:19">
      <c r="A28" s="2262"/>
      <c r="B28" s="50" t="s">
        <v>1955</v>
      </c>
      <c r="C28" s="1259" t="s">
        <v>1956</v>
      </c>
      <c r="D28" s="48">
        <f>ROUND($D$3*E28/$E$3,2)</f>
        <v>103.55</v>
      </c>
      <c r="E28" s="56">
        <f>SUM(F28:G28)</f>
        <v>1355.37</v>
      </c>
      <c r="F28" s="64">
        <f>'数据-基础表'!BQ5+'数据-基础表'!BS5</f>
        <v>1355.37</v>
      </c>
      <c r="G28" s="65">
        <f>'数据-基础表'!BR5+'数据-基础表'!BT5</f>
        <v>0</v>
      </c>
      <c r="H28" s="1392"/>
      <c r="I28" s="1392"/>
      <c r="J28" s="1392"/>
      <c r="K28" s="1392"/>
      <c r="L28" s="1392"/>
      <c r="M28" s="1392"/>
      <c r="N28" s="1392"/>
      <c r="O28" s="1392"/>
      <c r="P28" s="1392"/>
    </row>
    <row r="29" spans="1:19">
      <c r="A29" s="2262"/>
      <c r="B29" s="50" t="s">
        <v>1955</v>
      </c>
      <c r="C29" s="226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1954</v>
      </c>
      <c r="D30" s="1393">
        <f>SUM(D28:D29)</f>
        <v>103.55</v>
      </c>
      <c r="E30" s="1393">
        <f>SUM(E28:E29)</f>
        <v>1355.37</v>
      </c>
      <c r="F30" s="1393">
        <f>SUM(F28:F29)</f>
        <v>1355.37</v>
      </c>
      <c r="G30" s="1395">
        <f>SUM(G28:G29)</f>
        <v>0</v>
      </c>
      <c r="H30" s="1392"/>
      <c r="I30" s="1392"/>
      <c r="J30" s="1392"/>
      <c r="K30" s="1392"/>
      <c r="L30" s="1392"/>
      <c r="M30" s="1392"/>
      <c r="N30" s="1392"/>
      <c r="O30" s="1392"/>
      <c r="P30" s="1392"/>
    </row>
    <row r="31" spans="1:19" ht="15.75" thickBot="1">
      <c r="A31" s="2268"/>
      <c r="B31" s="2269"/>
      <c r="C31" s="1007" t="s">
        <v>1958</v>
      </c>
      <c r="D31" s="729">
        <f>D27+D30</f>
        <v>2729.0600000000004</v>
      </c>
      <c r="E31" s="729">
        <f>E27+E30</f>
        <v>35720.530000000006</v>
      </c>
      <c r="F31" s="730">
        <f>F27+F30</f>
        <v>26220.410000000003</v>
      </c>
      <c r="G31" s="731">
        <f>G27+G30</f>
        <v>9500.119999999999</v>
      </c>
      <c r="H31" s="1392"/>
      <c r="I31" s="1392"/>
      <c r="J31" s="1392"/>
      <c r="K31" s="1392"/>
      <c r="L31" s="1392"/>
      <c r="M31" s="1392"/>
      <c r="N31" s="1392"/>
      <c r="O31" s="1392"/>
      <c r="P31" s="1392"/>
    </row>
    <row r="32" spans="1:19">
      <c r="A32" s="2232"/>
      <c r="B32" s="2232" t="s">
        <v>1959</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1960</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1961</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1962</v>
      </c>
      <c r="B4" s="2280"/>
      <c r="C4" s="2281"/>
      <c r="D4" s="2282"/>
      <c r="E4" s="2281" t="s">
        <v>1963</v>
      </c>
      <c r="F4" s="2281"/>
      <c r="G4" s="2281"/>
      <c r="H4" s="2281"/>
      <c r="I4" s="2281"/>
      <c r="J4" s="2283"/>
      <c r="K4" s="2284"/>
      <c r="L4" s="2285"/>
      <c r="M4" s="2281"/>
      <c r="N4" s="2281" t="s">
        <v>1964</v>
      </c>
      <c r="O4" s="2281"/>
      <c r="P4" s="2281"/>
      <c r="Q4" s="2281"/>
      <c r="R4" s="2281"/>
      <c r="S4" s="2283"/>
      <c r="T4" s="2286" t="str">
        <f>'数据-汇总表'!I17</f>
        <v>按面积比例</v>
      </c>
      <c r="U4" s="2280" t="s">
        <v>1965</v>
      </c>
      <c r="V4" s="2281"/>
      <c r="W4" s="2281"/>
      <c r="X4" s="2281"/>
      <c r="Y4" s="2283"/>
      <c r="Z4" s="2243" t="s">
        <v>1966</v>
      </c>
      <c r="AA4" s="2243"/>
      <c r="AB4" s="2243"/>
      <c r="AC4" s="2243"/>
      <c r="AD4" s="2243"/>
      <c r="AE4" s="2241" t="s">
        <v>1967</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1968</v>
      </c>
      <c r="B5" s="2289" t="s">
        <v>1969</v>
      </c>
      <c r="C5" s="2290" t="s">
        <v>1970</v>
      </c>
      <c r="D5" s="2291" t="s">
        <v>1971</v>
      </c>
      <c r="E5" s="1268" t="s">
        <v>1972</v>
      </c>
      <c r="F5" s="2292" t="s">
        <v>1973</v>
      </c>
      <c r="G5" s="1268" t="s">
        <v>1974</v>
      </c>
      <c r="H5" s="1268" t="s">
        <v>1975</v>
      </c>
      <c r="I5" s="1268" t="s">
        <v>1976</v>
      </c>
      <c r="J5" s="2293" t="s">
        <v>1977</v>
      </c>
      <c r="K5" s="2294" t="s">
        <v>1978</v>
      </c>
      <c r="L5" s="2295" t="s">
        <v>1979</v>
      </c>
      <c r="M5" s="2296" t="s">
        <v>1980</v>
      </c>
      <c r="N5" s="2297" t="s">
        <v>3101</v>
      </c>
      <c r="O5" s="2295" t="s">
        <v>1981</v>
      </c>
      <c r="P5" s="2298" t="s">
        <v>1982</v>
      </c>
      <c r="Q5" s="69" t="s">
        <v>1983</v>
      </c>
      <c r="R5" s="2299" t="s">
        <v>1984</v>
      </c>
      <c r="S5" s="2300" t="s">
        <v>1985</v>
      </c>
      <c r="T5" s="2301" t="s">
        <v>1986</v>
      </c>
      <c r="U5" s="1267" t="s">
        <v>1987</v>
      </c>
      <c r="V5" s="1268" t="s">
        <v>1988</v>
      </c>
      <c r="W5" s="1268" t="s">
        <v>1989</v>
      </c>
      <c r="X5" s="71"/>
      <c r="Y5" s="70" t="s">
        <v>1990</v>
      </c>
      <c r="Z5" s="2302" t="s">
        <v>1987</v>
      </c>
      <c r="AA5" s="1268" t="s">
        <v>1988</v>
      </c>
      <c r="AB5" s="1268" t="s">
        <v>1989</v>
      </c>
      <c r="AC5" s="71"/>
      <c r="AD5" s="71" t="s">
        <v>1990</v>
      </c>
      <c r="AE5" s="1267" t="s">
        <v>1991</v>
      </c>
      <c r="AF5" s="1268" t="s">
        <v>1992</v>
      </c>
      <c r="AG5" s="70" t="s">
        <v>1993</v>
      </c>
      <c r="AH5" s="1267" t="s">
        <v>1994</v>
      </c>
      <c r="AI5" s="2302" t="s">
        <v>1995</v>
      </c>
      <c r="AJ5" s="2302" t="s">
        <v>1996</v>
      </c>
      <c r="AK5" s="1268" t="s">
        <v>1997</v>
      </c>
      <c r="AL5" s="1268" t="s">
        <v>1998</v>
      </c>
      <c r="AM5" s="70" t="s">
        <v>1999</v>
      </c>
      <c r="AN5" s="2303" t="s">
        <v>2000</v>
      </c>
      <c r="AO5" s="2073" t="s">
        <v>2001</v>
      </c>
      <c r="AP5" s="1249"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写字楼</v>
      </c>
      <c r="B6" s="2306" t="str">
        <f>IF(A6=0,"","经营性")</f>
        <v>经营性</v>
      </c>
      <c r="C6" s="2307" t="s">
        <v>27</v>
      </c>
      <c r="D6" s="1051">
        <f>SUMIF(项目基本情况!D$12:I$12,C6,项目基本情况!D$14:I$14)</f>
        <v>50</v>
      </c>
      <c r="E6" s="1048">
        <f>IF(B6="","",SUMIF(项目基本情况!D$12:I$12,C6,项目基本情况!D$13:I$13))</f>
        <v>55285</v>
      </c>
      <c r="F6" s="72">
        <f>SUMIF(项目基本情况!D$12:I$12,C6,项目基本情况!D$15:I$15)</f>
        <v>32.01</v>
      </c>
      <c r="G6" s="73">
        <f ca="1">IF(ISERROR(ROUND(POWER(1+H6,D6-F6)*(POWER(1+H6,F6)-1)/(POWER(1+H6,D6)-1),3)),0,ROUND(POWER(1+H6,D6-F6)*(POWER(1+H6,F6)-1)/(POWER(1+H6,D6)-1),3))</f>
        <v>0.872</v>
      </c>
      <c r="H6" s="802">
        <f ca="1">基准地价修正!G20</f>
        <v>5.1999999999999998E-2</v>
      </c>
      <c r="I6" s="802">
        <v>0.06</v>
      </c>
      <c r="J6" s="74">
        <v>8.5000000000000006E-2</v>
      </c>
      <c r="K6" s="1251">
        <f>SUMIF('数据-汇总表'!C$19:C$33,A6,'数据-汇总表'!E$19:E$33)</f>
        <v>27341.750000000004</v>
      </c>
      <c r="L6" s="803">
        <v>4000</v>
      </c>
      <c r="M6" s="75">
        <f t="shared" ref="M6:M14" si="0">ROUND(K6*L6/10000,0)</f>
        <v>10937</v>
      </c>
      <c r="N6" s="801">
        <f>ROUND(1-(1-0%)*(2019-2008)/60,2)</f>
        <v>0.82</v>
      </c>
      <c r="O6" s="75" t="str">
        <f>IF($N$5="成新度","——",ROUND(M6*N6,0))</f>
        <v>——</v>
      </c>
      <c r="P6" s="76" t="str">
        <f>IF($N$5="成新度","——",M6-O6)</f>
        <v>——</v>
      </c>
      <c r="Q6" s="804">
        <v>0.2</v>
      </c>
      <c r="R6" s="77">
        <f ca="1">SUMIF('数据-汇总表'!C$19:C$33,A6,'数据-汇总表'!R$19:R$27)</f>
        <v>2171.31</v>
      </c>
      <c r="S6" s="54">
        <f>IF('数据-汇总表'!$I$17="按面积比例",SUMIF('数据-汇总表'!C$19:C$33,A6,'数据-汇总表'!K$19:K$33),SUMIF('数据-汇总表'!C$19:C$33,A6,'数据-汇总表'!N$19:N$33))</f>
        <v>1078.3699999999999</v>
      </c>
      <c r="T6" s="1443">
        <f>ROUND($L$14*S6/10000,0)</f>
        <v>324</v>
      </c>
      <c r="U6" s="78">
        <v>10</v>
      </c>
      <c r="V6" s="79">
        <v>0.03</v>
      </c>
      <c r="W6" s="79">
        <v>0.1</v>
      </c>
      <c r="X6" s="1261"/>
      <c r="Y6" s="80">
        <f>'数据-取费表'!N6</f>
        <v>0.82</v>
      </c>
      <c r="Z6" s="81"/>
      <c r="AA6" s="74"/>
      <c r="AB6" s="74"/>
      <c r="AC6" s="1261"/>
      <c r="AD6" s="82"/>
      <c r="AE6" s="1262">
        <f ca="1">IF(AN6="",0,SUMIF(INDIRECT("'"&amp;AN6&amp;"'"&amp;"!E:E"),$AE$5,INDIRECT("'"&amp;AN6&amp;"'"&amp;"!F:F")))</f>
        <v>32.01</v>
      </c>
      <c r="AF6" s="1804"/>
      <c r="AG6" s="147">
        <f>IF(AF6="",0,AE6-AF6)</f>
        <v>0</v>
      </c>
      <c r="AH6" s="83"/>
      <c r="AI6" s="85">
        <v>365</v>
      </c>
      <c r="AJ6" s="86"/>
      <c r="AK6" s="87">
        <v>1.4999999999999999E-2</v>
      </c>
      <c r="AL6" s="88">
        <v>1.5E-3</v>
      </c>
      <c r="AM6" s="89">
        <v>0.01</v>
      </c>
      <c r="AN6" s="2308" t="s">
        <v>3104</v>
      </c>
      <c r="AO6" s="55">
        <f ca="1">SUMIF(INDIRECT("'"&amp;AN6&amp;"'"&amp;"!A:A"),"总价",INDIRECT("'"&amp;AN6&amp;"'"&amp;"!B:B"))</f>
        <v>141516</v>
      </c>
      <c r="AP6" s="2309">
        <f>IF(C6="住宅",K6*L6,0)</f>
        <v>0</v>
      </c>
      <c r="AQ6" s="55">
        <f>ROUND($L$14*$N$14*S6/10000,0)</f>
        <v>265</v>
      </c>
      <c r="AR6" s="55">
        <f>ROUND($L$14*(1-$N$14)*S6/10000,0)</f>
        <v>58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地下车库</v>
      </c>
      <c r="B7" s="2306" t="str">
        <f t="shared" ref="B7:B13" si="1">IF(A7=0,"","经营性")</f>
        <v>经营性</v>
      </c>
      <c r="C7" s="2307" t="s">
        <v>3097</v>
      </c>
      <c r="D7" s="1051">
        <f>SUMIF(项目基本情况!D$12:I$12,C7,项目基本情况!D$14:I$14)</f>
        <v>50</v>
      </c>
      <c r="E7" s="1048">
        <f>IF(B7="","",SUMIF(项目基本情况!D$12:I$12,C7,项目基本情况!D$13:I$13))</f>
        <v>55285</v>
      </c>
      <c r="F7" s="72">
        <f>SUMIF(项目基本情况!D$12:I$12,C7,项目基本情况!D$15:I$15)</f>
        <v>32.01</v>
      </c>
      <c r="G7" s="73">
        <f t="shared" ref="G7:G11" si="2">IF(ISERROR(ROUND(POWER(1+H7,D7-F7)*(POWER(1+H7,F7)-1)/(POWER(1+H7,D7)-1),3)),0,ROUND(POWER(1+H7,D7-F7)*(POWER(1+H7,F7)-1)/(POWER(1+H7,D7)-1),3))</f>
        <v>0.86599999999999999</v>
      </c>
      <c r="H7" s="802">
        <v>0.05</v>
      </c>
      <c r="I7" s="802">
        <v>5.5E-2</v>
      </c>
      <c r="J7" s="74">
        <v>8.5000000000000006E-2</v>
      </c>
      <c r="K7" s="1251">
        <f>SUMIF('数据-汇总表'!C$19:C$33,A7,'数据-汇总表'!E$19:E$33)</f>
        <v>7023.41</v>
      </c>
      <c r="L7" s="803">
        <v>3000</v>
      </c>
      <c r="M7" s="75">
        <f t="shared" si="0"/>
        <v>2107</v>
      </c>
      <c r="N7" s="801">
        <f>ROUND(1-(1-0%)*(2019-2008)/60,2)</f>
        <v>0.82</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3">
        <f t="shared" ref="T7:T13" si="5">ROUND($L$14*S7/10000,0)</f>
        <v>83</v>
      </c>
      <c r="U7" s="78">
        <v>700</v>
      </c>
      <c r="V7" s="79">
        <v>0.02</v>
      </c>
      <c r="W7" s="79">
        <v>0.1</v>
      </c>
      <c r="X7" s="1261"/>
      <c r="Y7" s="80">
        <f>'数据-取费表'!N7</f>
        <v>0.82</v>
      </c>
      <c r="Z7" s="81"/>
      <c r="AA7" s="74"/>
      <c r="AB7" s="74"/>
      <c r="AC7" s="1261"/>
      <c r="AD7" s="82"/>
      <c r="AE7" s="1262">
        <f t="shared" ref="AE7:AE13" ca="1" si="6">IF(AN7="",0,SUMIF(INDIRECT("'"&amp;AN7&amp;"'"&amp;"!E:E"),$AE$5,INDIRECT("'"&amp;AN7&amp;"'"&amp;"!F:F")))</f>
        <v>32.01</v>
      </c>
      <c r="AF7" s="1804"/>
      <c r="AG7" s="147">
        <f t="shared" ref="AG7:AG13" si="7">IF(AF7="",0,AE7-AF7)</f>
        <v>0</v>
      </c>
      <c r="AH7" s="83">
        <v>110</v>
      </c>
      <c r="AI7" s="85">
        <v>12</v>
      </c>
      <c r="AJ7" s="86"/>
      <c r="AK7" s="87">
        <v>1.4999999999999999E-2</v>
      </c>
      <c r="AL7" s="88">
        <v>1.5E-3</v>
      </c>
      <c r="AM7" s="89">
        <v>0.01</v>
      </c>
      <c r="AN7" s="2308" t="s">
        <v>3102</v>
      </c>
      <c r="AO7" s="55">
        <f t="shared" ref="AO7:AO13" ca="1" si="8">SUMIF(INDIRECT("'"&amp;AN7&amp;"'"&amp;"!A:A"),"总价",INDIRECT("'"&amp;AN7&amp;"'"&amp;"!B:B"))</f>
        <v>302</v>
      </c>
      <c r="AP7" s="2309">
        <f t="shared" ref="AP7:AP13" si="9">IF(C7="住宅",K7*L7,0)</f>
        <v>0</v>
      </c>
      <c r="AQ7" s="55">
        <f t="shared" ref="AQ7:AQ13" si="10">ROUND($L$14*$N$14*S7/10000,0)</f>
        <v>68</v>
      </c>
      <c r="AR7" s="55">
        <f t="shared" ref="AR7:AR13" si="11">ROUND($L$14*(1-$N$14)*S7/10000,0)</f>
        <v>15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2005</v>
      </c>
      <c r="B14" s="2306" t="s">
        <v>2006</v>
      </c>
      <c r="C14" s="2311" t="s">
        <v>2005</v>
      </c>
      <c r="D14" s="1051"/>
      <c r="E14" s="1048"/>
      <c r="F14" s="72"/>
      <c r="G14" s="73"/>
      <c r="H14" s="1250"/>
      <c r="I14" s="1250"/>
      <c r="J14" s="1250"/>
      <c r="K14" s="1251">
        <f>SUMIF('数据-汇总表'!C$19:C$33,A14,'数据-汇总表'!E$19:E$33)</f>
        <v>1355.37</v>
      </c>
      <c r="L14" s="91">
        <f>L7</f>
        <v>3000</v>
      </c>
      <c r="M14" s="75">
        <f t="shared" si="0"/>
        <v>407</v>
      </c>
      <c r="N14" s="92">
        <f>N7</f>
        <v>0.82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2007</v>
      </c>
      <c r="B15" s="2306" t="s">
        <v>2006</v>
      </c>
      <c r="C15" s="231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2009</v>
      </c>
      <c r="B16" s="97"/>
      <c r="C16" s="1005"/>
      <c r="D16" s="2313"/>
      <c r="E16" s="97"/>
      <c r="F16" s="97"/>
      <c r="G16" s="98">
        <f ca="1">ROUND(SUMPRODUCT(G6:G13,K6:K13)/SUMPRODUCT((G6:G13&gt;0)*(K6:K13)),3)</f>
        <v>0.871</v>
      </c>
      <c r="H16" s="99">
        <f ca="1">ROUND(SUMPRODUCT(H6:H13,K6:K13)/SUMPRODUCT((H6:H13&gt;0)*(K6:K13)),3)</f>
        <v>5.1999999999999998E-2</v>
      </c>
      <c r="I16" s="100"/>
      <c r="J16" s="100"/>
      <c r="K16" s="101">
        <f>SUM(K6:K15)</f>
        <v>35720.530000000006</v>
      </c>
      <c r="L16" s="102">
        <f>ROUND(M16*10000/SUM(K6:K14),0)</f>
        <v>3766</v>
      </c>
      <c r="M16" s="102">
        <f>SUM(M6:M14)</f>
        <v>13451</v>
      </c>
      <c r="N16" s="103">
        <f>ROUND(SUMPRODUCT(M6:M14,N6:N14)/M16,3)</f>
        <v>0.82</v>
      </c>
      <c r="O16" s="102">
        <f>SUM(O6:O14)</f>
        <v>0</v>
      </c>
      <c r="P16" s="102">
        <f>SUM(P6:P14)</f>
        <v>0</v>
      </c>
      <c r="Q16" s="104">
        <f>ROUND(SUMPRODUCT(Q6:Q13,K6:K13)/SUMPRODUCT((Q6:Q13&gt;0)*(K6:K13)),2)</f>
        <v>0.18</v>
      </c>
      <c r="R16" s="1255">
        <f ca="1">SUM(R6:R13)</f>
        <v>2729.06</v>
      </c>
      <c r="S16" s="105">
        <f>SUM(S6:S13)</f>
        <v>1355.37</v>
      </c>
      <c r="T16" s="106">
        <f>IF(SUMIF(T6:T13,"&lt;9E307")=M14,SUMIF(T6:T13,"&lt;9E307"),"有误，请检查")</f>
        <v>407</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2011</v>
      </c>
      <c r="B19" s="112"/>
      <c r="C19" s="2276" t="s">
        <v>2012</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2013</v>
      </c>
      <c r="B20" s="113">
        <v>2</v>
      </c>
      <c r="C20" s="2276" t="s">
        <v>2014</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2015</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2016</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2017</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2018</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2019</v>
      </c>
      <c r="B26" s="2319" t="s">
        <v>2020</v>
      </c>
      <c r="C26" s="2320" t="s">
        <v>2021</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2022</v>
      </c>
      <c r="B27" s="116"/>
      <c r="C27" s="1764" t="s">
        <v>2023</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2024</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2025</v>
      </c>
      <c r="B29" s="121">
        <f>ROUND(B28*K16/10000,0)</f>
        <v>714</v>
      </c>
      <c r="C29" s="1764" t="s">
        <v>2026</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2027</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2028</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2029</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2030</v>
      </c>
      <c r="B33" s="726">
        <v>0.03</v>
      </c>
      <c r="C33" s="1763" t="s">
        <v>2031</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2032</v>
      </c>
      <c r="B34" s="122">
        <v>0</v>
      </c>
      <c r="C34" s="1763" t="s">
        <v>2033</v>
      </c>
      <c r="D34" s="2277" t="s">
        <v>2034</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2035</v>
      </c>
      <c r="B35" s="119">
        <v>200</v>
      </c>
      <c r="C35" s="1763" t="s">
        <v>2036</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2037</v>
      </c>
      <c r="B36" s="123">
        <v>1.4999999999999999E-2</v>
      </c>
      <c r="C36" s="1763" t="s">
        <v>2038</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2039</v>
      </c>
      <c r="B37" s="124">
        <v>0.02</v>
      </c>
      <c r="C37" s="1763" t="s">
        <v>2040</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2041</v>
      </c>
      <c r="B38" s="122">
        <v>0.02</v>
      </c>
      <c r="C38" s="1763" t="s">
        <v>2040</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2042</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2043</v>
      </c>
      <c r="B40" s="1300">
        <f ca="1">存贷款利率!G1</f>
        <v>4.7500000000000001E-2</v>
      </c>
      <c r="C40" s="1763" t="s">
        <v>2044</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2045</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2046</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2047</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2048</v>
      </c>
      <c r="B44" s="128">
        <v>7.0000000000000007E-2</v>
      </c>
      <c r="C44" s="1763" t="s">
        <v>2049</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2050</v>
      </c>
      <c r="B45" s="126">
        <v>0.03</v>
      </c>
      <c r="C45" s="1764" t="s">
        <v>2051</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2052</v>
      </c>
      <c r="B46" s="126">
        <v>0.02</v>
      </c>
      <c r="C46" s="1764" t="s">
        <v>2053</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2054</v>
      </c>
      <c r="B47" s="129"/>
      <c r="C47" s="1764" t="s">
        <v>2055</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2056</v>
      </c>
      <c r="B48" s="130">
        <v>0.03</v>
      </c>
      <c r="C48" s="1771" t="s">
        <v>2057</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2058</v>
      </c>
      <c r="B49" s="126">
        <v>5.0000000000000001E-4</v>
      </c>
      <c r="C49" s="1771" t="s">
        <v>2059</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2060</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2061</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2062</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2063</v>
      </c>
      <c r="B53" s="2335" t="s">
        <v>269</v>
      </c>
      <c r="C53" s="1427" t="s">
        <v>2064</v>
      </c>
      <c r="D53" s="2336" t="s">
        <v>2065</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2066</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2067</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2068</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2069</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2070</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2071</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2072</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2073</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2074</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1" t="s">
        <v>2076</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2077</v>
      </c>
      <c r="D2" s="2365"/>
      <c r="E2" s="2366"/>
      <c r="F2" s="2285"/>
      <c r="G2" s="2364" t="s">
        <v>2078</v>
      </c>
      <c r="H2" s="2367"/>
      <c r="I2" s="2367"/>
      <c r="J2" s="2367"/>
      <c r="K2" s="2367"/>
      <c r="L2" s="2367"/>
      <c r="M2" s="2367"/>
      <c r="N2" s="2367"/>
      <c r="O2" s="2367"/>
      <c r="P2" s="2367"/>
      <c r="Q2" s="2367"/>
      <c r="R2" s="2367"/>
    </row>
    <row r="3" spans="1:29" ht="54">
      <c r="A3" s="415" t="s">
        <v>2079</v>
      </c>
      <c r="B3" s="1268" t="s">
        <v>2080</v>
      </c>
      <c r="C3" s="2369" t="s">
        <v>2081</v>
      </c>
      <c r="D3" s="2370"/>
      <c r="E3" s="431" t="s">
        <v>2079</v>
      </c>
      <c r="F3" s="2371" t="s">
        <v>2082</v>
      </c>
      <c r="G3" s="2372" t="s">
        <v>2083</v>
      </c>
      <c r="H3" s="2367"/>
      <c r="I3" s="2367"/>
      <c r="J3" s="2367"/>
      <c r="K3" s="2367"/>
      <c r="L3" s="2367"/>
      <c r="M3" s="2367"/>
      <c r="N3" s="2367"/>
      <c r="O3" s="2367"/>
      <c r="P3" s="2367"/>
      <c r="Q3" s="2367"/>
      <c r="R3" s="2367"/>
    </row>
    <row r="4" spans="1:29" ht="41.25">
      <c r="A4" s="431"/>
      <c r="B4" s="1795" t="s">
        <v>2084</v>
      </c>
      <c r="C4" s="2373" t="s">
        <v>2085</v>
      </c>
      <c r="D4" s="2370"/>
      <c r="E4" s="2374"/>
      <c r="F4" s="42" t="s">
        <v>2086</v>
      </c>
      <c r="G4" s="2375" t="s">
        <v>2087</v>
      </c>
      <c r="H4" s="2367"/>
      <c r="I4" s="2367"/>
      <c r="J4" s="2367"/>
      <c r="K4" s="2367"/>
      <c r="L4" s="2367"/>
      <c r="M4" s="2367"/>
      <c r="N4" s="2367"/>
      <c r="O4" s="2367"/>
      <c r="P4" s="2367"/>
      <c r="Q4" s="2367"/>
      <c r="R4" s="2367"/>
    </row>
    <row r="5" spans="1:29" ht="41.25">
      <c r="A5" s="431"/>
      <c r="B5" s="1795" t="s">
        <v>2088</v>
      </c>
      <c r="C5" s="2373" t="s">
        <v>2089</v>
      </c>
      <c r="D5" s="2370"/>
      <c r="E5" s="2374"/>
      <c r="F5" s="1795" t="s">
        <v>2090</v>
      </c>
      <c r="G5" s="2375" t="s">
        <v>2091</v>
      </c>
      <c r="H5" s="2367"/>
      <c r="I5" s="2367"/>
      <c r="J5" s="2367"/>
      <c r="K5" s="2367"/>
      <c r="L5" s="2367"/>
      <c r="M5" s="2367"/>
      <c r="N5" s="2367"/>
      <c r="O5" s="2367"/>
      <c r="P5" s="2367"/>
      <c r="Q5" s="2367"/>
      <c r="R5" s="2367"/>
    </row>
    <row r="6" spans="1:29" ht="54">
      <c r="A6" s="431"/>
      <c r="B6" s="1795" t="s">
        <v>2092</v>
      </c>
      <c r="C6" s="2375" t="s">
        <v>2087</v>
      </c>
      <c r="D6" s="2370"/>
      <c r="E6" s="2374"/>
      <c r="F6" s="1795" t="s">
        <v>2093</v>
      </c>
      <c r="G6" s="2375" t="s">
        <v>2094</v>
      </c>
      <c r="H6" s="2367"/>
      <c r="I6" s="2367"/>
      <c r="J6" s="2367"/>
      <c r="K6" s="2367"/>
      <c r="L6" s="2367"/>
      <c r="M6" s="2367"/>
      <c r="N6" s="2367"/>
      <c r="O6" s="2367"/>
      <c r="P6" s="2367"/>
      <c r="Q6" s="2367"/>
      <c r="R6" s="2367"/>
    </row>
    <row r="7" spans="1:29" ht="41.25" thickBot="1">
      <c r="A7" s="431"/>
      <c r="B7" s="1795" t="s">
        <v>2090</v>
      </c>
      <c r="C7" s="2375" t="s">
        <v>2091</v>
      </c>
      <c r="D7" s="2376"/>
      <c r="E7" s="2377"/>
      <c r="F7" s="2378" t="s">
        <v>2095</v>
      </c>
      <c r="G7" s="2379" t="s">
        <v>2096</v>
      </c>
      <c r="H7" s="2367"/>
      <c r="I7" s="2367"/>
      <c r="J7" s="2367"/>
      <c r="K7" s="2367"/>
      <c r="L7" s="2367"/>
      <c r="M7" s="2367"/>
      <c r="N7" s="2367"/>
      <c r="O7" s="2367"/>
      <c r="P7" s="2367"/>
      <c r="Q7" s="2367"/>
      <c r="R7" s="2367"/>
    </row>
    <row r="8" spans="1:29" ht="27">
      <c r="A8" s="431"/>
      <c r="B8" s="1795" t="s">
        <v>2093</v>
      </c>
      <c r="C8" s="2375" t="s">
        <v>2094</v>
      </c>
      <c r="D8" s="2376"/>
      <c r="E8" s="2376"/>
      <c r="F8" s="1133"/>
      <c r="G8" s="1133"/>
      <c r="H8" s="2367"/>
      <c r="I8" s="2367"/>
      <c r="J8" s="2367"/>
      <c r="K8" s="2367"/>
      <c r="L8" s="2367"/>
      <c r="M8" s="2367"/>
      <c r="N8" s="2367"/>
      <c r="O8" s="2367"/>
      <c r="P8" s="2367"/>
      <c r="Q8" s="2367"/>
      <c r="R8" s="2367"/>
    </row>
    <row r="9" spans="1:29" ht="27">
      <c r="A9" s="431"/>
      <c r="B9" s="1795" t="s">
        <v>2097</v>
      </c>
      <c r="C9" s="2373" t="s">
        <v>2098</v>
      </c>
      <c r="D9" s="2370"/>
      <c r="E9" s="2376"/>
      <c r="F9" s="1133"/>
      <c r="G9" s="1133"/>
      <c r="H9" s="2367"/>
      <c r="I9" s="2367"/>
      <c r="J9" s="2367"/>
      <c r="K9" s="2367"/>
      <c r="L9" s="2367"/>
      <c r="M9" s="2367"/>
      <c r="N9" s="2367"/>
      <c r="O9" s="2367"/>
      <c r="P9" s="2367"/>
      <c r="Q9" s="2367"/>
      <c r="R9" s="2367"/>
    </row>
    <row r="10" spans="1:29" s="117" customFormat="1" ht="15.75" thickBot="1">
      <c r="A10" s="2380"/>
      <c r="B10" s="2381" t="s">
        <v>2099</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2100</v>
      </c>
      <c r="B13" s="2387"/>
      <c r="C13" s="2387"/>
      <c r="D13" s="2394"/>
      <c r="E13" s="2387"/>
      <c r="F13" s="2387"/>
      <c r="G13" s="2387"/>
    </row>
    <row r="14" spans="1:29" ht="15.75" thickBot="1">
      <c r="A14" s="2398"/>
      <c r="B14" s="2399"/>
      <c r="C14" s="2400" t="s">
        <v>2101</v>
      </c>
      <c r="D14" s="2370"/>
      <c r="E14" s="2401"/>
      <c r="F14" s="2401"/>
      <c r="G14" s="2364" t="s">
        <v>2102</v>
      </c>
    </row>
    <row r="15" spans="1:29" ht="57">
      <c r="A15" s="68" t="s">
        <v>2103</v>
      </c>
      <c r="B15" s="1267" t="s">
        <v>2080</v>
      </c>
      <c r="C15" s="2402" t="str">
        <f>C3</f>
        <v>估价对象周边居住用地比例、居住小区规模和社区发展完善程度，综合评价居住社区成熟度一般</v>
      </c>
      <c r="D15" s="2370"/>
      <c r="E15" s="2403" t="s">
        <v>2104</v>
      </c>
      <c r="F15" s="1267" t="s">
        <v>2105</v>
      </c>
      <c r="G15" s="135" t="str">
        <f>G3</f>
        <v>估价对象位于XX开发区，园区建设成熟度XX，产业集聚程度XX</v>
      </c>
    </row>
    <row r="16" spans="1:29" ht="42.75">
      <c r="A16" s="645"/>
      <c r="B16" s="2404" t="s">
        <v>2084</v>
      </c>
      <c r="C16" s="2405" t="str">
        <f>C4</f>
        <v>估价对象位于XX商圈，周边商业氛围成熟，人流量大，商业繁华度好</v>
      </c>
      <c r="D16" s="2370"/>
      <c r="E16" s="2406"/>
      <c r="F16" s="2407" t="s">
        <v>2086</v>
      </c>
      <c r="G16" s="136" t="str">
        <f>G4</f>
        <v>估价对象周边道路状况、公共交通通达情况、停车便捷程度，综合评价交通便捷度较好</v>
      </c>
    </row>
    <row r="17" spans="1:18" ht="42.75">
      <c r="A17" s="645"/>
      <c r="B17" s="2404" t="s">
        <v>2088</v>
      </c>
      <c r="C17" s="2405" t="str">
        <f>C5</f>
        <v>估价对象位于XX商圈，周边办公楼项目较多，入驻率高，办公集聚程度较好</v>
      </c>
      <c r="D17" s="2376"/>
      <c r="E17" s="2406"/>
      <c r="F17" s="2407" t="s">
        <v>2106</v>
      </c>
      <c r="G17" s="1569"/>
    </row>
    <row r="18" spans="1:18" ht="57">
      <c r="A18" s="645"/>
      <c r="B18" s="2407" t="s">
        <v>2092</v>
      </c>
      <c r="C18" s="136" t="str">
        <f>C6</f>
        <v>估价对象周边道路状况、公共交通通达情况、停车便捷程度，综合评价交通便捷度较好</v>
      </c>
      <c r="D18" s="2376"/>
      <c r="E18" s="2406"/>
      <c r="F18" s="2407" t="s">
        <v>2095</v>
      </c>
      <c r="G18" s="136" t="str">
        <f>G7</f>
        <v>该园区内是否有污染型企业，绿化情况，卫生条件，整体环境状况判断</v>
      </c>
    </row>
    <row r="19" spans="1:18" ht="28.5">
      <c r="A19" s="645"/>
      <c r="B19" s="2407" t="s">
        <v>2107</v>
      </c>
      <c r="C19" s="1569"/>
      <c r="D19" s="2370"/>
      <c r="E19" s="2406"/>
      <c r="F19" s="1795" t="s">
        <v>2090</v>
      </c>
      <c r="G19" s="136" t="str">
        <f>G5</f>
        <v>估价对象所在区域公共配套设施齐备情况</v>
      </c>
    </row>
    <row r="20" spans="1:18" ht="28.5">
      <c r="A20" s="645"/>
      <c r="B20" s="2407" t="s">
        <v>2108</v>
      </c>
      <c r="C20" s="2405" t="str">
        <f>C9</f>
        <v>区域自然环境：；人文环境；综合评价环境状况一般</v>
      </c>
      <c r="D20" s="2376"/>
      <c r="E20" s="2406"/>
      <c r="F20" s="1795" t="s">
        <v>2109</v>
      </c>
      <c r="G20" s="136" t="str">
        <f>G6</f>
        <v>估价对象所在区域基础设施水平</v>
      </c>
    </row>
    <row r="21" spans="1:18" ht="28.5">
      <c r="A21" s="645"/>
      <c r="B21" s="1795" t="s">
        <v>2090</v>
      </c>
      <c r="C21" s="136" t="str">
        <f>C7</f>
        <v>估价对象所在区域公共配套设施齐备情况</v>
      </c>
      <c r="D21" s="2370"/>
      <c r="E21" s="2406"/>
      <c r="F21" s="2407" t="s">
        <v>2110</v>
      </c>
      <c r="G21" s="2408"/>
    </row>
    <row r="22" spans="1:18" ht="13.5" customHeight="1">
      <c r="A22" s="645"/>
      <c r="B22" s="1795" t="s">
        <v>2093</v>
      </c>
      <c r="C22" s="136" t="str">
        <f>C8</f>
        <v>估价对象所在区域基础设施水平</v>
      </c>
      <c r="D22" s="2370"/>
      <c r="E22" s="2406"/>
      <c r="F22" s="2407" t="s">
        <v>2099</v>
      </c>
      <c r="G22" s="1569"/>
    </row>
    <row r="23" spans="1:18" s="2367"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7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35720.530000000006</v>
      </c>
      <c r="C1" s="1742"/>
      <c r="D1" s="1742"/>
      <c r="E1" s="1742"/>
      <c r="F1" s="1742"/>
      <c r="G1" s="1740"/>
    </row>
    <row r="2" spans="1:10" ht="16.5">
      <c r="A2" s="1743" t="s">
        <v>1349</v>
      </c>
      <c r="B2" s="1743">
        <f>SUM(C14:C23)</f>
        <v>2729.06</v>
      </c>
      <c r="C2" s="1742"/>
      <c r="D2" s="1742"/>
      <c r="E2" s="1742"/>
      <c r="F2" s="1742"/>
      <c r="G2" s="1740"/>
    </row>
    <row r="3" spans="1:10" ht="16.5">
      <c r="A3" s="1743" t="s">
        <v>1358</v>
      </c>
      <c r="B3" s="1744">
        <f>项目基本情况!D3</f>
        <v>43598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127774</v>
      </c>
      <c r="C5" s="1743">
        <f ca="1">ROUND(B5*10000/$B$1,0)</f>
        <v>35770</v>
      </c>
      <c r="D5" s="1743">
        <f ca="1">ROUND(B5*10000/$B$2,0)</f>
        <v>468198</v>
      </c>
      <c r="E5" s="1742"/>
      <c r="F5" s="1740"/>
      <c r="G5" s="1740"/>
    </row>
    <row r="6" spans="1:10" ht="16.5">
      <c r="A6" s="1743" t="s">
        <v>1352</v>
      </c>
      <c r="B6" s="1743">
        <f ca="1">SUM(G14:G23)</f>
        <v>127774</v>
      </c>
      <c r="C6" s="1743">
        <f ca="1">ROUND(B6*10000/$B$1,0)</f>
        <v>35770</v>
      </c>
      <c r="D6" s="1743">
        <f ca="1">ROUND(B6*10000/$B$2,0)</f>
        <v>468198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35720.530000000006</v>
      </c>
      <c r="C14" s="1741">
        <f>结果表!C118</f>
        <v>2729.06</v>
      </c>
      <c r="D14" s="1741">
        <f ca="1">结果表!H118</f>
        <v>127774</v>
      </c>
      <c r="E14" s="1741">
        <f ca="1">ROUND(D14*10000/B14,0)</f>
        <v>35770</v>
      </c>
      <c r="F14" s="1741">
        <f ca="1">ROUND(D14*10000/C14,0)</f>
        <v>468198</v>
      </c>
      <c r="G14" s="1741">
        <f ca="1">结果表!D122</f>
        <v>127774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2113</v>
      </c>
      <c r="B1" s="2418"/>
      <c r="C1" s="2419"/>
      <c r="D1" s="2418"/>
      <c r="E1" s="2418"/>
      <c r="F1" s="2420" t="s">
        <v>2114</v>
      </c>
      <c r="G1" s="2069" t="s">
        <v>3061</v>
      </c>
      <c r="H1" s="2421" t="str">
        <f>IF(G1="现房","——","估价对象范围")</f>
        <v>——</v>
      </c>
      <c r="I1" s="2422"/>
    </row>
    <row r="2" spans="1:12" ht="21.75" customHeight="1" thickBot="1">
      <c r="A2" s="3106" t="str">
        <f>项目基本情况!S2</f>
        <v>北京市海淀区海淀东三街2号-4层-401号等29套商贸综合用房房地产房地产</v>
      </c>
      <c r="B2" s="3107"/>
      <c r="C2" s="3107"/>
      <c r="D2" s="3107"/>
      <c r="E2" s="3107"/>
      <c r="F2" s="3107"/>
      <c r="G2" s="3107"/>
      <c r="H2" s="3107"/>
      <c r="I2" s="3108"/>
    </row>
    <row r="3" spans="1:12" ht="12.75">
      <c r="A3" s="3110" t="s">
        <v>2115</v>
      </c>
      <c r="B3" s="3111"/>
      <c r="C3" s="3111"/>
      <c r="D3" s="3111"/>
      <c r="E3" s="3111"/>
      <c r="F3" s="3111"/>
      <c r="G3" s="3111"/>
      <c r="H3" s="3111"/>
      <c r="I3" s="3111"/>
    </row>
    <row r="4" spans="1:12" ht="14.25">
      <c r="A4" s="2425" t="s">
        <v>2116</v>
      </c>
      <c r="B4" s="2426" t="s">
        <v>2117</v>
      </c>
      <c r="C4" s="2427" t="s">
        <v>3195</v>
      </c>
      <c r="D4" s="2427" t="s">
        <v>3196</v>
      </c>
      <c r="E4" s="3103" t="s">
        <v>2118</v>
      </c>
      <c r="F4" s="3104"/>
      <c r="G4" s="3104"/>
      <c r="H4" s="3104"/>
      <c r="I4" s="311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2119</v>
      </c>
      <c r="B5" s="3024">
        <v>25</v>
      </c>
      <c r="C5" s="3089"/>
      <c r="D5" s="3109"/>
      <c r="E5" s="140" t="s">
        <v>2120</v>
      </c>
      <c r="F5" s="2429"/>
      <c r="G5" s="2429"/>
      <c r="H5" s="2429"/>
      <c r="I5" s="1831"/>
    </row>
    <row r="6" spans="1:12" ht="12.75">
      <c r="A6" s="3086"/>
      <c r="B6" s="3024"/>
      <c r="C6" s="3090"/>
      <c r="D6" s="3109"/>
      <c r="E6" s="140" t="s">
        <v>2121</v>
      </c>
      <c r="F6" s="2429"/>
      <c r="G6" s="2429"/>
      <c r="H6" s="2429"/>
      <c r="I6" s="1831"/>
    </row>
    <row r="7" spans="1:12" ht="12.75">
      <c r="A7" s="3086"/>
      <c r="B7" s="3024"/>
      <c r="C7" s="3091"/>
      <c r="D7" s="3109"/>
      <c r="E7" s="140" t="s">
        <v>2122</v>
      </c>
      <c r="F7" s="2429"/>
      <c r="G7" s="2429"/>
      <c r="H7" s="2429"/>
      <c r="I7" s="1831"/>
    </row>
    <row r="8" spans="1:12" ht="12.75">
      <c r="A8" s="3086" t="s">
        <v>2123</v>
      </c>
      <c r="B8" s="3024">
        <v>15</v>
      </c>
      <c r="C8" s="3089"/>
      <c r="D8" s="3109"/>
      <c r="E8" s="140" t="s">
        <v>2124</v>
      </c>
      <c r="F8" s="2429"/>
      <c r="G8" s="2429"/>
      <c r="H8" s="2429"/>
      <c r="I8" s="1831"/>
    </row>
    <row r="9" spans="1:12" ht="12.75">
      <c r="A9" s="3086"/>
      <c r="B9" s="3024"/>
      <c r="C9" s="3091"/>
      <c r="D9" s="3109"/>
      <c r="E9" s="140" t="s">
        <v>2125</v>
      </c>
      <c r="F9" s="2429"/>
      <c r="G9" s="2429"/>
      <c r="H9" s="2429"/>
      <c r="I9" s="1831"/>
    </row>
    <row r="10" spans="1:12" ht="12.75">
      <c r="A10" s="3086" t="s">
        <v>2126</v>
      </c>
      <c r="B10" s="3024">
        <v>15</v>
      </c>
      <c r="C10" s="3089"/>
      <c r="D10" s="3109"/>
      <c r="E10" s="140" t="s">
        <v>2127</v>
      </c>
      <c r="F10" s="2429"/>
      <c r="G10" s="2429"/>
      <c r="H10" s="2429"/>
      <c r="I10" s="1831"/>
    </row>
    <row r="11" spans="1:12" ht="12.75">
      <c r="A11" s="3086"/>
      <c r="B11" s="3024"/>
      <c r="C11" s="3091"/>
      <c r="D11" s="3109"/>
      <c r="E11" s="140" t="s">
        <v>2128</v>
      </c>
      <c r="F11" s="2429"/>
      <c r="G11" s="2429"/>
      <c r="H11" s="2429"/>
      <c r="I11" s="1831"/>
    </row>
    <row r="12" spans="1:12" ht="12.75">
      <c r="A12" s="3086" t="s">
        <v>2129</v>
      </c>
      <c r="B12" s="3024">
        <v>15</v>
      </c>
      <c r="C12" s="3089"/>
      <c r="D12" s="3109"/>
      <c r="E12" s="140" t="s">
        <v>2130</v>
      </c>
      <c r="F12" s="2429"/>
      <c r="G12" s="2429"/>
      <c r="H12" s="2429"/>
      <c r="I12" s="1831"/>
    </row>
    <row r="13" spans="1:12" ht="12.75">
      <c r="A13" s="3086"/>
      <c r="B13" s="3024"/>
      <c r="C13" s="3091"/>
      <c r="D13" s="3109"/>
      <c r="E13" s="140" t="s">
        <v>2131</v>
      </c>
      <c r="F13" s="2429"/>
      <c r="G13" s="2429"/>
      <c r="H13" s="2429"/>
      <c r="I13" s="1831"/>
    </row>
    <row r="14" spans="1:12" ht="12.75">
      <c r="A14" s="3086" t="s">
        <v>2132</v>
      </c>
      <c r="B14" s="3024">
        <v>30</v>
      </c>
      <c r="C14" s="3089">
        <v>5</v>
      </c>
      <c r="D14" s="3109">
        <v>5</v>
      </c>
      <c r="E14" s="140" t="s">
        <v>2133</v>
      </c>
      <c r="F14" s="2429"/>
      <c r="G14" s="2429"/>
      <c r="H14" s="2429"/>
      <c r="I14" s="1831"/>
    </row>
    <row r="15" spans="1:12" ht="12.75">
      <c r="A15" s="3086"/>
      <c r="B15" s="3024"/>
      <c r="C15" s="3090"/>
      <c r="D15" s="3109"/>
      <c r="E15" s="140" t="s">
        <v>2134</v>
      </c>
      <c r="F15" s="2429"/>
      <c r="G15" s="2429"/>
      <c r="H15" s="2429"/>
      <c r="I15" s="1831"/>
    </row>
    <row r="16" spans="1:12" ht="12.75">
      <c r="A16" s="3086"/>
      <c r="B16" s="3024"/>
      <c r="C16" s="3091"/>
      <c r="D16" s="3109"/>
      <c r="E16" s="140" t="s">
        <v>2135</v>
      </c>
      <c r="F16" s="2429"/>
      <c r="G16" s="2429"/>
      <c r="H16" s="2429"/>
      <c r="I16" s="1831"/>
    </row>
    <row r="17" spans="1:35" ht="15">
      <c r="A17" s="2430" t="s">
        <v>2136</v>
      </c>
      <c r="B17" s="64"/>
      <c r="C17" s="141">
        <f>SUM(C5:C16)</f>
        <v>5</v>
      </c>
      <c r="D17" s="141">
        <f>SUM(D5:D16)</f>
        <v>5</v>
      </c>
      <c r="E17" s="138"/>
      <c r="F17" s="138"/>
      <c r="G17" s="138"/>
      <c r="H17" s="138"/>
      <c r="I17" s="138"/>
      <c r="K17" s="2428"/>
      <c r="L17" s="2431" t="s">
        <v>2137</v>
      </c>
      <c r="M17" s="2431" t="s">
        <v>2138</v>
      </c>
    </row>
    <row r="18" spans="1:35" ht="15.75" thickBot="1">
      <c r="A18" s="2432" t="s">
        <v>2139</v>
      </c>
      <c r="B18" s="2433"/>
      <c r="C18" s="142">
        <f>ROUND(C17/SUM(C17:D17),2)</f>
        <v>0.5</v>
      </c>
      <c r="D18" s="142">
        <f>1-C18</f>
        <v>0.5</v>
      </c>
      <c r="E18" s="138"/>
      <c r="F18" s="138"/>
      <c r="G18" s="138"/>
      <c r="H18" s="138"/>
      <c r="I18" s="138"/>
      <c r="K18" s="2428" t="s">
        <v>2140</v>
      </c>
      <c r="L18" s="2428">
        <f>IF(C1="",'数据-汇总表'!E3,SUMIF(项目类型,C1,'数据-汇总表'!E17:E26)+SUMIF(项目类型,C1,'数据-汇总表'!I17:I26))</f>
        <v>35720.530000000006</v>
      </c>
      <c r="M18" s="2428">
        <f>IF(C1="",'数据-汇总表'!E3,SUMIF(项目类型,C1,'数据-汇总表'!E17:E26))</f>
        <v>35720.530000000006</v>
      </c>
    </row>
    <row r="19" spans="1:35" ht="15">
      <c r="A19" s="2434" t="s">
        <v>2141</v>
      </c>
      <c r="B19" s="2435" t="s">
        <v>2142</v>
      </c>
      <c r="C19" s="143">
        <f ca="1">SUMIF(INDIRECT("'"&amp;C4&amp;"'"&amp;"!A:A"),结果表!B19,INDIRECT("'"&amp;C4&amp;"'"&amp;"!B:B"))</f>
        <v>113730</v>
      </c>
      <c r="D19" s="144">
        <f ca="1">SUMIF(INDIRECT("'"&amp;D4&amp;"'"&amp;"!A:A"),结果表!B19,INDIRECT("'"&amp;D4&amp;"'"&amp;"!B:B"))</f>
        <v>141818</v>
      </c>
      <c r="E19" s="2434" t="s">
        <v>2143</v>
      </c>
      <c r="F19" s="2435" t="s">
        <v>2142</v>
      </c>
      <c r="G19" s="145">
        <f ca="1">ROUND(C19*$C$18+D19*$D$18,0)</f>
        <v>127774</v>
      </c>
      <c r="H19" s="2436" t="s">
        <v>2144</v>
      </c>
      <c r="I19" s="138"/>
      <c r="K19" s="2428" t="s">
        <v>2145</v>
      </c>
      <c r="L19" s="2428">
        <f>IF(C1="",'数据-汇总表'!D3,SUMIF(项目类型,C1,'数据-汇总表'!D17:D26)+SUMIF(项目类型,C1,'数据-汇总表'!H17:H27))</f>
        <v>2729.06</v>
      </c>
      <c r="M19" s="2428">
        <f>IF(C1="",'数据-汇总表'!D3,SUMIF(项目类型,C1,'数据-汇总表'!D17:D26))</f>
        <v>2729.06</v>
      </c>
    </row>
    <row r="20" spans="1:35" ht="15">
      <c r="A20" s="2437"/>
      <c r="B20" s="1247" t="s">
        <v>2146</v>
      </c>
      <c r="C20" s="146">
        <f ca="1">SUMIF(INDIRECT("'"&amp;C4&amp;"'"&amp;"!A:A"),结果表!B20,INDIRECT("'"&amp;C4&amp;"'"&amp;"!B:B"))</f>
        <v>31839</v>
      </c>
      <c r="D20" s="147">
        <f ca="1">SUMIF(INDIRECT("'"&amp;D4&amp;"'"&amp;"!A:A"),结果表!B20,INDIRECT("'"&amp;D4&amp;"'"&amp;"!B:B"))</f>
        <v>39702</v>
      </c>
      <c r="E20" s="2437"/>
      <c r="F20" s="1247" t="s">
        <v>2146</v>
      </c>
      <c r="G20" s="148">
        <f ca="1">ROUND(C20*$C$18+D20*$D$18,0)</f>
        <v>35771</v>
      </c>
      <c r="H20" s="980" t="s">
        <v>2147</v>
      </c>
      <c r="I20" s="138"/>
    </row>
    <row r="21" spans="1:35" ht="15" customHeight="1" thickBot="1">
      <c r="A21" s="1000"/>
      <c r="B21" s="2438" t="s">
        <v>2148</v>
      </c>
      <c r="C21" s="789">
        <f ca="1">ROUND(C19*10000/L19,0)</f>
        <v>416737</v>
      </c>
      <c r="D21" s="790">
        <f ca="1">ROUND(D19*10000/L19,0)</f>
        <v>519659</v>
      </c>
      <c r="E21" s="1000"/>
      <c r="F21" s="2438" t="s">
        <v>2148</v>
      </c>
      <c r="G21" s="149">
        <f ca="1">ROUND(G19*10000/L19,0)</f>
        <v>468198</v>
      </c>
      <c r="H21" s="2439" t="s">
        <v>2147</v>
      </c>
      <c r="I21" s="138"/>
    </row>
    <row r="22" spans="1:35" ht="15" thickBot="1">
      <c r="A22" s="2280" t="s">
        <v>2149</v>
      </c>
      <c r="B22" s="2440"/>
      <c r="C22" s="2441"/>
      <c r="D22" s="791">
        <f ca="1">IF(C19&lt;D19,D19/C19-1,C19/D19-1)</f>
        <v>0.24697089598171118</v>
      </c>
      <c r="E22" s="138"/>
      <c r="F22" s="138"/>
      <c r="G22" s="138"/>
      <c r="H22" s="138"/>
      <c r="I22" s="138"/>
    </row>
    <row r="23" spans="1:35" ht="13.5" thickBot="1">
      <c r="A23" s="2418"/>
      <c r="B23" s="2418"/>
      <c r="C23" s="2418"/>
      <c r="D23" s="2418"/>
      <c r="E23" s="138"/>
      <c r="F23" s="138"/>
      <c r="G23" s="138"/>
      <c r="H23" s="138"/>
      <c r="I23" s="138"/>
    </row>
    <row r="24" spans="1:35" ht="14.25">
      <c r="A24" s="3080" t="s">
        <v>2150</v>
      </c>
      <c r="B24" s="2435" t="s">
        <v>2142</v>
      </c>
      <c r="C24" s="145">
        <f>IF(B30=0,0,D30)</f>
        <v>0</v>
      </c>
      <c r="D24" s="2442"/>
      <c r="E24" s="138"/>
      <c r="F24" s="138"/>
      <c r="G24" s="138"/>
      <c r="H24" s="138"/>
      <c r="I24" s="138"/>
    </row>
    <row r="25" spans="1:35" ht="14.25">
      <c r="A25" s="3081"/>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 ca="1">G19-3300-'数据-汇总表'!G19*10000/10000</f>
        <v>121997.29</v>
      </c>
      <c r="E27" s="138"/>
      <c r="F27" s="138"/>
      <c r="G27" s="138"/>
      <c r="H27" s="138"/>
      <c r="I27" s="138"/>
    </row>
    <row r="28" spans="1:35" ht="14.25">
      <c r="A28" s="2444"/>
      <c r="B28" s="151"/>
      <c r="C28" s="151"/>
      <c r="D28" s="152">
        <f ca="1">D27/'数据-汇总表'!F31*10000</f>
        <v>46527.605784959116</v>
      </c>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127774</v>
      </c>
      <c r="D32" s="2449" t="s">
        <v>2157</v>
      </c>
      <c r="E32" s="138"/>
      <c r="F32" s="138"/>
      <c r="G32" s="138"/>
      <c r="H32" s="138"/>
      <c r="I32" s="138"/>
    </row>
    <row r="33" spans="1:15" ht="15">
      <c r="A33" s="957" t="s">
        <v>2158</v>
      </c>
      <c r="B33" s="2450"/>
      <c r="C33" s="2451" t="s">
        <v>3200</v>
      </c>
      <c r="D33" s="2452" t="s">
        <v>3195</v>
      </c>
      <c r="E33" s="2453" t="s">
        <v>2159</v>
      </c>
      <c r="F33" s="2454" t="str">
        <f>IF(D32="楼面单价","取值（单价）","取值（总价）")</f>
        <v>取值（总价）</v>
      </c>
      <c r="G33" s="138"/>
      <c r="H33" s="138"/>
      <c r="I33" s="138"/>
    </row>
    <row r="34" spans="1:15" ht="15">
      <c r="A34" s="2455"/>
      <c r="B34" s="2456" t="s">
        <v>2160</v>
      </c>
      <c r="C34" s="157">
        <f ca="1">IF(C33="自定义",F34,C32-C35)</f>
        <v>109247</v>
      </c>
      <c r="D34" s="1055">
        <f ca="1">IF(C33="自定义",ROUND(C34/C32,3),IF(C33="收益比率",SUMIF(INDIRECT("'"&amp;D33&amp;"'"&amp;"!b:b"),"土地收益比率",INDIRECT("'"&amp;D33&amp;"'"&amp;"!c:c")),SUMIF(INDIRECT("'"&amp;D33&amp;"'"&amp;"!b:b"),"土地成本比率",INDIRECT("'"&amp;D33&amp;"'"&amp;"!c:c"))))</f>
        <v>0.85499999999999998</v>
      </c>
      <c r="E34" s="2457" t="s">
        <v>2161</v>
      </c>
      <c r="F34" s="1736"/>
      <c r="G34" s="138"/>
      <c r="H34" s="138"/>
      <c r="I34" s="138"/>
    </row>
    <row r="35" spans="1:15" ht="15.75" thickBot="1">
      <c r="A35" s="2458"/>
      <c r="B35" s="2459" t="s">
        <v>2162</v>
      </c>
      <c r="C35" s="1441">
        <f ca="1">IF(C33="自定义",F35,ROUND(C32*D35,0))</f>
        <v>18527</v>
      </c>
      <c r="D35" s="1442">
        <f ca="1">IF(C33="自定义",ROUND(C35/C32,3),IF(C33="收益比率",SUMIF(INDIRECT("'"&amp;D33&amp;"'"&amp;"!b:b"),"建筑物收益比率",INDIRECT("'"&amp;D33&amp;"'"&amp;"!c:c")),SUMIF(INDIRECT("'"&amp;D33&amp;"'"&amp;"!b:b"),"建筑物成本比率",INDIRECT("'"&amp;D33&amp;"'"&amp;"!c:c"))))</f>
        <v>0.14499999999999999</v>
      </c>
      <c r="E35" s="2460" t="s">
        <v>2163</v>
      </c>
      <c r="F35" s="163"/>
      <c r="G35" s="138"/>
      <c r="H35" s="138"/>
      <c r="I35" s="138"/>
    </row>
    <row r="36" spans="1:15" ht="15.75" thickBot="1">
      <c r="A36" s="3098" t="s">
        <v>2164</v>
      </c>
      <c r="B36" s="2461" t="s">
        <v>2165</v>
      </c>
      <c r="C36" s="154"/>
      <c r="D36" s="2462"/>
      <c r="E36" s="2463"/>
      <c r="F36" s="2464"/>
      <c r="G36" s="138"/>
      <c r="H36" s="138"/>
      <c r="I36" s="138"/>
    </row>
    <row r="37" spans="1:15" ht="15.75" thickBot="1">
      <c r="A37" s="3099"/>
      <c r="B37" s="2266" t="s">
        <v>2166</v>
      </c>
      <c r="C37" s="156"/>
      <c r="D37" s="1392"/>
      <c r="E37" s="1392"/>
      <c r="F37" s="2464"/>
      <c r="G37" s="138"/>
      <c r="H37" s="138"/>
      <c r="I37" s="138"/>
    </row>
    <row r="38" spans="1:15" ht="15.75" thickBot="1">
      <c r="A38" s="3100"/>
      <c r="B38" s="2465" t="s">
        <v>2167</v>
      </c>
      <c r="C38" s="727"/>
      <c r="D38" s="2466" t="s">
        <v>2168</v>
      </c>
      <c r="E38" s="1392"/>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77" t="s">
        <v>2178</v>
      </c>
      <c r="B45" s="3078"/>
      <c r="C45" s="3079"/>
      <c r="D45" s="164">
        <f ca="1">ROUND(H101*F45,0)</f>
        <v>127774</v>
      </c>
      <c r="E45" s="165" t="s">
        <v>2179</v>
      </c>
      <c r="F45" s="166">
        <v>1</v>
      </c>
      <c r="G45" s="167" t="s">
        <v>2180</v>
      </c>
      <c r="H45" s="138"/>
      <c r="I45" s="138"/>
      <c r="J45" s="3137" t="s">
        <v>2181</v>
      </c>
      <c r="K45" s="3137"/>
      <c r="L45" s="3137"/>
      <c r="M45" s="3137"/>
      <c r="N45" s="3137"/>
      <c r="O45" s="3137"/>
    </row>
    <row r="46" spans="1:15" ht="14.25" customHeight="1">
      <c r="A46" s="3074" t="s">
        <v>2182</v>
      </c>
      <c r="B46" s="3075"/>
      <c r="C46" s="3075"/>
      <c r="D46" s="3075"/>
      <c r="E46" s="3075"/>
      <c r="F46" s="3075"/>
      <c r="G46" s="3076"/>
      <c r="H46" s="2480"/>
      <c r="I46" s="168"/>
      <c r="J46" s="1809">
        <v>1</v>
      </c>
      <c r="K46" s="3137" t="s">
        <v>2183</v>
      </c>
      <c r="L46" s="3137"/>
      <c r="M46" s="3157"/>
      <c r="N46" s="3157"/>
      <c r="O46" s="3157"/>
    </row>
    <row r="47" spans="1:15" ht="12" customHeight="1">
      <c r="A47" s="169" t="s">
        <v>2184</v>
      </c>
      <c r="B47" s="170"/>
      <c r="C47" s="171"/>
      <c r="D47" s="172" t="s">
        <v>2185</v>
      </c>
      <c r="E47" s="24" t="s">
        <v>2186</v>
      </c>
      <c r="F47" s="173" t="s">
        <v>2187</v>
      </c>
      <c r="G47" s="174" t="s">
        <v>2188</v>
      </c>
      <c r="H47" s="2480"/>
      <c r="I47" s="168"/>
      <c r="J47" s="1809">
        <v>2</v>
      </c>
      <c r="K47" s="3137" t="s">
        <v>2189</v>
      </c>
      <c r="L47" s="3137"/>
      <c r="M47" s="3158">
        <f>'数据-取费表'!B2</f>
        <v>43598</v>
      </c>
      <c r="N47" s="3158"/>
      <c r="O47" s="3158"/>
    </row>
    <row r="48" spans="1:15" ht="25.5">
      <c r="A48" s="3105" t="s">
        <v>2190</v>
      </c>
      <c r="B48" s="3088"/>
      <c r="C48" s="3088"/>
      <c r="D48" s="140">
        <f>IF(H48="情况1",0,IF(H48="情况2",D52,IF(H48="情况3",D53,IF(H48="情况4",D54))))</f>
        <v>0</v>
      </c>
      <c r="E48" s="1798" t="str">
        <f>IF(H48="情况4","(销售额-原购置价)×税（费）率","销售额×税（费）率")</f>
        <v>销售额×税（费）率</v>
      </c>
      <c r="F48" s="175" t="str">
        <f>IF(H48="情况1","免征",'数据-取费表'!B41)</f>
        <v>免征</v>
      </c>
      <c r="G48" s="2481" t="s">
        <v>2191</v>
      </c>
      <c r="H48" s="2482" t="s">
        <v>2192</v>
      </c>
      <c r="I48" s="2480"/>
      <c r="J48" s="1809">
        <v>3</v>
      </c>
      <c r="K48" s="3137" t="s">
        <v>2193</v>
      </c>
      <c r="L48" s="3137"/>
      <c r="M48" s="3159">
        <f ca="1">H101</f>
        <v>127774</v>
      </c>
      <c r="N48" s="3159"/>
      <c r="O48" s="3159"/>
    </row>
    <row r="49" spans="1:35" ht="25.5" customHeight="1">
      <c r="A49" s="176" t="s">
        <v>2194</v>
      </c>
      <c r="B49" s="3073" t="s">
        <v>2195</v>
      </c>
      <c r="C49" s="3073"/>
      <c r="D49" s="177">
        <v>0</v>
      </c>
      <c r="E49" s="23" t="s">
        <v>2196</v>
      </c>
      <c r="F49" s="28" t="s">
        <v>34</v>
      </c>
      <c r="G49" s="3143"/>
      <c r="H49" s="138"/>
      <c r="I49" s="2483"/>
      <c r="J49" s="1809">
        <v>4</v>
      </c>
      <c r="K49" s="3137" t="str">
        <f>IF(项目基本情况!E8="房地产抵押价值","房地产抵押价值","抵押担保权已注销时的房地产抵押价值")</f>
        <v>房地产抵押价值</v>
      </c>
      <c r="L49" s="3137"/>
      <c r="M49" s="3159">
        <f ca="1">IF(项目基本情况!E8="房地产抵押价值",H107,H109)</f>
        <v>127774</v>
      </c>
      <c r="N49" s="3159"/>
      <c r="O49" s="3159"/>
    </row>
    <row r="50" spans="1:35" ht="25.5" customHeight="1">
      <c r="A50" s="178"/>
      <c r="B50" s="3073" t="s">
        <v>2197</v>
      </c>
      <c r="C50" s="3073"/>
      <c r="D50" s="179"/>
      <c r="E50" s="31"/>
      <c r="F50" s="180"/>
      <c r="G50" s="3144"/>
      <c r="H50" s="138"/>
      <c r="I50" s="2483"/>
      <c r="J50" s="3137" t="s">
        <v>2198</v>
      </c>
      <c r="K50" s="3137"/>
      <c r="L50" s="3137"/>
      <c r="M50" s="3137"/>
      <c r="N50" s="3137"/>
      <c r="O50" s="3137"/>
    </row>
    <row r="51" spans="1:35" ht="12" customHeight="1">
      <c r="A51" s="181"/>
      <c r="B51" s="3073" t="s">
        <v>2199</v>
      </c>
      <c r="C51" s="3073"/>
      <c r="D51" s="182"/>
      <c r="E51" s="30"/>
      <c r="F51" s="180"/>
      <c r="G51" s="3145"/>
      <c r="H51" s="138"/>
      <c r="I51" s="2483"/>
      <c r="J51" s="2484" t="s">
        <v>2200</v>
      </c>
      <c r="K51" s="3137" t="s">
        <v>2201</v>
      </c>
      <c r="L51" s="3137"/>
      <c r="M51" s="2484" t="s">
        <v>2202</v>
      </c>
      <c r="N51" s="2484" t="s">
        <v>2203</v>
      </c>
      <c r="O51" s="2484" t="s">
        <v>2204</v>
      </c>
    </row>
    <row r="52" spans="1:35" ht="24" customHeight="1">
      <c r="A52" s="183" t="s">
        <v>2205</v>
      </c>
      <c r="B52" s="3073" t="s">
        <v>2206</v>
      </c>
      <c r="C52" s="3073"/>
      <c r="D52" s="182">
        <f ca="1">ROUND(D45*'数据-取费表'!B41/(1+'数据-取费表'!C42),0)</f>
        <v>6815</v>
      </c>
      <c r="E52" s="11" t="s">
        <v>2207</v>
      </c>
      <c r="F52" s="184">
        <f>'数据-取费表'!B41</f>
        <v>5.6000000000000001E-2</v>
      </c>
      <c r="G52" s="2485"/>
      <c r="H52" s="138"/>
      <c r="I52" s="2483"/>
      <c r="J52" s="1809">
        <v>1</v>
      </c>
      <c r="K52" s="3138" t="s">
        <v>2208</v>
      </c>
      <c r="L52" s="3138"/>
      <c r="M52" s="1751">
        <f>D48</f>
        <v>0</v>
      </c>
      <c r="N52" s="1809" t="str">
        <f>E48</f>
        <v>销售额×税（费）率</v>
      </c>
      <c r="O52" s="1752" t="str">
        <f>F48</f>
        <v>免征</v>
      </c>
    </row>
    <row r="53" spans="1:35" ht="12" customHeight="1">
      <c r="A53" s="183" t="s">
        <v>2209</v>
      </c>
      <c r="B53" s="3096" t="s">
        <v>2210</v>
      </c>
      <c r="C53" s="3097"/>
      <c r="D53" s="182">
        <f ca="1">ROUND(D45*'数据-取费表'!B41/(1+'数据-取费表'!C42),0)</f>
        <v>6815</v>
      </c>
      <c r="E53" s="11" t="s">
        <v>2207</v>
      </c>
      <c r="F53" s="184">
        <f>'数据-取费表'!B41</f>
        <v>5.6000000000000001E-2</v>
      </c>
      <c r="G53" s="2485"/>
      <c r="H53" s="138"/>
      <c r="I53" s="2483"/>
      <c r="J53" s="1809">
        <v>2</v>
      </c>
      <c r="K53" s="3138" t="s">
        <v>2211</v>
      </c>
      <c r="L53" s="3138"/>
      <c r="M53" s="1751">
        <f t="shared" ref="M53:O54" ca="1" si="0">D55</f>
        <v>64</v>
      </c>
      <c r="N53" s="1809" t="str">
        <f t="shared" si="0"/>
        <v>销售额×税（费）率</v>
      </c>
      <c r="O53" s="1752">
        <f t="shared" si="0"/>
        <v>5.0000000000000001E-4</v>
      </c>
    </row>
    <row r="54" spans="1:35" ht="12" customHeight="1">
      <c r="A54" s="183" t="s">
        <v>2212</v>
      </c>
      <c r="B54" s="3096" t="s">
        <v>2213</v>
      </c>
      <c r="C54" s="3097"/>
      <c r="D54" s="182">
        <f ca="1">C68</f>
        <v>6815</v>
      </c>
      <c r="E54" s="30" t="s">
        <v>2214</v>
      </c>
      <c r="F54" s="184">
        <f>'数据-取费表'!B41</f>
        <v>5.6000000000000001E-2</v>
      </c>
      <c r="G54" s="2485"/>
      <c r="H54" s="2486"/>
      <c r="I54" s="2483"/>
      <c r="J54" s="1809">
        <v>3</v>
      </c>
      <c r="K54" s="3138" t="s">
        <v>2215</v>
      </c>
      <c r="L54" s="3138"/>
      <c r="M54" s="1751">
        <f t="shared" ca="1" si="0"/>
        <v>72321</v>
      </c>
      <c r="N54" s="1809" t="str">
        <f t="shared" si="0"/>
        <v>增值额×税（费）率</v>
      </c>
      <c r="O54" s="1753" t="str">
        <f t="shared" si="0"/>
        <v>——</v>
      </c>
    </row>
    <row r="55" spans="1:35" ht="24" customHeight="1">
      <c r="A55" s="3087" t="s">
        <v>2216</v>
      </c>
      <c r="B55" s="3088"/>
      <c r="C55" s="3088"/>
      <c r="D55" s="185">
        <f ca="1">IF(H55="个人住宅",0,ROUND(D45*I55,0))</f>
        <v>64</v>
      </c>
      <c r="E55" s="11" t="s">
        <v>2217</v>
      </c>
      <c r="F55" s="184">
        <f>IF(H55="正常",I55,"免征")</f>
        <v>5.0000000000000001E-4</v>
      </c>
      <c r="G55" s="2485"/>
      <c r="H55" s="2482" t="s">
        <v>2218</v>
      </c>
      <c r="I55" s="186">
        <f>'数据-取费表'!B49</f>
        <v>5.0000000000000001E-4</v>
      </c>
      <c r="J55" s="1809" t="str">
        <f>IF(H59="非个人房产","",4)</f>
        <v/>
      </c>
      <c r="K55" s="3138" t="str">
        <f>IF(H59="非个人房产","——","个人所得税")</f>
        <v>——</v>
      </c>
      <c r="L55" s="3138"/>
      <c r="M55" s="1754" t="str">
        <f>D59</f>
        <v>——</v>
      </c>
      <c r="N55" s="1807" t="str">
        <f>E59</f>
        <v>——</v>
      </c>
      <c r="O55" s="1755" t="str">
        <f>F59</f>
        <v>——</v>
      </c>
    </row>
    <row r="56" spans="1:35" ht="24.75">
      <c r="A56" s="3087" t="s">
        <v>2219</v>
      </c>
      <c r="B56" s="3088"/>
      <c r="C56" s="3088"/>
      <c r="D56" s="185">
        <f ca="1">IF(H56="个人住宅",D57,D58)</f>
        <v>72321</v>
      </c>
      <c r="E56" s="11" t="s">
        <v>2220</v>
      </c>
      <c r="F56" s="184" t="str">
        <f>IF(H56="正常",F58,"免征")</f>
        <v>——</v>
      </c>
      <c r="G56" s="2487" t="s">
        <v>2221</v>
      </c>
      <c r="H56" s="2488" t="s">
        <v>2218</v>
      </c>
      <c r="I56" s="2489"/>
      <c r="J56" s="1809" t="str">
        <f>IF(项目基本情况!K6="上海银行",IF(J55="",4,J55+1),"")</f>
        <v/>
      </c>
      <c r="K56" s="3161" t="str">
        <f>IF(项目基本情况!K6="上海银行","其他处置费用","")</f>
        <v/>
      </c>
      <c r="L56" s="3162"/>
      <c r="M56" s="1751" t="str">
        <f>IF(项目基本情况!K6="上海银行",M69,"")</f>
        <v/>
      </c>
      <c r="N56" s="3164" t="str">
        <f>IF(项目基本情况!K6="上海银行","包含处置中涉及的律师、诉讼、拍卖、评估等费用","")</f>
        <v/>
      </c>
      <c r="O56" s="3165"/>
    </row>
    <row r="57" spans="1:35" ht="12.75">
      <c r="A57" s="183" t="s">
        <v>2194</v>
      </c>
      <c r="B57" s="3103" t="s">
        <v>2222</v>
      </c>
      <c r="C57" s="3112"/>
      <c r="D57" s="187">
        <v>0</v>
      </c>
      <c r="E57" s="23" t="s">
        <v>2196</v>
      </c>
      <c r="F57" s="155"/>
      <c r="G57" s="2485"/>
      <c r="H57" s="2489"/>
      <c r="I57" s="2489"/>
      <c r="J57" s="3138">
        <f>IF(AND(J55="",J56=""),4,IF(项目基本情况!K6="上海银行",结果表!J56+1,结果表!J55+1))</f>
        <v>4</v>
      </c>
      <c r="K57" s="3138" t="s">
        <v>2223</v>
      </c>
      <c r="L57" s="2490" t="s">
        <v>2224</v>
      </c>
      <c r="M57" s="1756"/>
      <c r="N57" s="1757">
        <f ca="1">SUMIF(M52:M56,"&lt;9e307")</f>
        <v>72385</v>
      </c>
      <c r="O57" s="2491"/>
      <c r="P57" s="1750">
        <f ca="1">N57/M49</f>
        <v>0.56650805328157527</v>
      </c>
    </row>
    <row r="58" spans="1:35" ht="24.75">
      <c r="A58" s="183" t="s">
        <v>2205</v>
      </c>
      <c r="B58" s="3103" t="s">
        <v>2225</v>
      </c>
      <c r="C58" s="3104"/>
      <c r="D58" s="185">
        <f ca="1">IF(H58="转让取得",C81,C97)</f>
        <v>72321</v>
      </c>
      <c r="E58" s="11" t="s">
        <v>2220</v>
      </c>
      <c r="F58" s="24" t="s">
        <v>34</v>
      </c>
      <c r="G58" s="2485"/>
      <c r="H58" s="2488" t="s">
        <v>2226</v>
      </c>
      <c r="I58" s="2489"/>
      <c r="J58" s="3138"/>
      <c r="K58" s="3138"/>
      <c r="L58" s="2490" t="s">
        <v>2227</v>
      </c>
      <c r="M58" s="1758"/>
      <c r="N58" s="2492" t="str">
        <f ca="1">NUMBERSTRING(INT(N57*10000),2)&amp;"元整"</f>
        <v>柒亿贰仟叁佰捌拾伍万元整</v>
      </c>
      <c r="O58" s="2493"/>
    </row>
    <row r="59" spans="1:35" ht="24.75" thickBot="1">
      <c r="A59" s="3141" t="s">
        <v>2228</v>
      </c>
      <c r="B59" s="3142"/>
      <c r="C59" s="3142"/>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39">
        <f>J57+1</f>
        <v>5</v>
      </c>
      <c r="K59" s="3138" t="s">
        <v>2230</v>
      </c>
      <c r="L59" s="1809" t="s">
        <v>2224</v>
      </c>
      <c r="M59" s="1759"/>
      <c r="N59" s="1760">
        <f ca="1">M49-N57</f>
        <v>55389</v>
      </c>
      <c r="O59" s="2495"/>
    </row>
    <row r="60" spans="1:35" ht="12" customHeight="1">
      <c r="A60" s="2496"/>
      <c r="B60" s="2418"/>
      <c r="C60" s="2418"/>
      <c r="D60" s="2418"/>
      <c r="E60" s="2165"/>
      <c r="F60" s="2489"/>
      <c r="G60" s="2489"/>
      <c r="H60" s="2497"/>
      <c r="I60" s="138"/>
      <c r="J60" s="3140"/>
      <c r="K60" s="3138"/>
      <c r="L60" s="2490" t="s">
        <v>2227</v>
      </c>
      <c r="M60" s="1758"/>
      <c r="N60" s="2492" t="str">
        <f ca="1">NUMBERSTRING(INT(N59*10000),2)&amp;"元整"</f>
        <v>伍亿伍仟叁佰捌拾玖万元整</v>
      </c>
      <c r="O60" s="2493"/>
    </row>
    <row r="61" spans="1:35" ht="13.5" thickBot="1">
      <c r="A61" s="3085" t="s">
        <v>2231</v>
      </c>
      <c r="B61" s="3085"/>
      <c r="C61" s="3085"/>
      <c r="D61" s="3085"/>
      <c r="E61" s="3085"/>
      <c r="F61" s="2489"/>
      <c r="G61" s="2489"/>
      <c r="H61" s="2497"/>
      <c r="I61" s="138"/>
      <c r="J61" s="1809">
        <f>J59+1</f>
        <v>6</v>
      </c>
      <c r="K61" s="3138" t="s">
        <v>2232</v>
      </c>
      <c r="L61" s="3138"/>
      <c r="M61" s="1761"/>
      <c r="N61" s="1762">
        <f ca="1">ROUND(N59*10000/'数据-汇总表'!E3,0)</f>
        <v>15506</v>
      </c>
      <c r="O61" s="2498"/>
    </row>
    <row r="62" spans="1:35" ht="12.75">
      <c r="A62" s="3101" t="s">
        <v>2233</v>
      </c>
      <c r="B62" s="3102"/>
      <c r="C62" s="1801"/>
      <c r="D62" s="1801" t="s">
        <v>2234</v>
      </c>
      <c r="E62" s="192" t="s">
        <v>2235</v>
      </c>
      <c r="F62" s="2489"/>
      <c r="G62" s="2489"/>
      <c r="H62" s="2497"/>
      <c r="I62" s="138"/>
    </row>
    <row r="63" spans="1:35" ht="12.75">
      <c r="A63" s="203" t="s">
        <v>775</v>
      </c>
      <c r="B63" s="193" t="s">
        <v>2236</v>
      </c>
      <c r="C63" s="194">
        <f ca="1">ROUND((C64+C65)/(1+'数据-取费表'!C42),0)</f>
        <v>121690</v>
      </c>
      <c r="D63" s="195"/>
      <c r="E63" s="196"/>
      <c r="F63" s="2489"/>
      <c r="G63" s="2489"/>
      <c r="H63" s="2497"/>
      <c r="I63" s="138"/>
      <c r="J63" s="3163" t="s">
        <v>2237</v>
      </c>
      <c r="K63" s="2499" t="s">
        <v>2238</v>
      </c>
      <c r="L63" s="1749">
        <f ca="1">IF(M49&gt;10000,M49*0.5%,IF(AND(M49&gt;1000,M49&lt;=10000),M49*1%,IF(AND(M49&gt;100,M49&lt;=1000),M49*3%,IF(AND(M49&gt;10,M49&lt;=100),M49*5%,M49*8%))))</f>
        <v>638.87</v>
      </c>
      <c r="M63" s="24">
        <f ca="1">ROUND(L63,1)</f>
        <v>638.9</v>
      </c>
      <c r="Z63" s="2423"/>
      <c r="AI63" s="2424"/>
    </row>
    <row r="64" spans="1:35" ht="14.25" customHeight="1">
      <c r="A64" s="197" t="s">
        <v>770</v>
      </c>
      <c r="B64" s="198" t="s">
        <v>2239</v>
      </c>
      <c r="C64" s="199">
        <f ca="1">D45</f>
        <v>127774</v>
      </c>
      <c r="D64" s="200" t="s">
        <v>32</v>
      </c>
      <c r="E64" s="201"/>
      <c r="F64" s="2489"/>
      <c r="G64" s="2489"/>
      <c r="H64" s="2497"/>
      <c r="I64" s="138"/>
      <c r="J64" s="3163"/>
      <c r="K64" s="2499" t="s">
        <v>2240</v>
      </c>
      <c r="L64" s="1749">
        <f ca="1">IF(M49&gt;2000,M49*0.5%,IF(AND(M49&gt;1000,M49&lt;=2000),M49*0.6%,IF(AND(M49&gt;500,M49&lt;=1000),M49*0.7%,IF(AND(M49&gt;200,M49&lt;=500),M49*0.8%,IF(AND(M49&gt;100,M49&lt;=200),M49*0.9%,IF(AND(M49&gt;50,M49&lt;=100),M49*1%,IF(AND(M49&gt;20,M49&lt;=50),M49*1.5%,IF(AND(M49&gt;10,M49&lt;=20),M49*2%,IF(AND(M49&gt;1,M49&lt;=10),M49*2.5%)))))))))</f>
        <v>638.87</v>
      </c>
      <c r="M64" s="24">
        <f t="shared" ref="M64:M65" ca="1" si="1">ROUND(L64,1)</f>
        <v>638.9</v>
      </c>
      <c r="N64" s="138" t="s">
        <v>2241</v>
      </c>
      <c r="Z64" s="2423"/>
      <c r="AI64" s="2424"/>
    </row>
    <row r="65" spans="1:35" ht="14.25" customHeight="1">
      <c r="A65" s="197" t="s">
        <v>771</v>
      </c>
      <c r="B65" s="198" t="s">
        <v>2242</v>
      </c>
      <c r="C65" s="202"/>
      <c r="D65" s="200"/>
      <c r="E65" s="201"/>
      <c r="F65" s="2489"/>
      <c r="G65" s="2489"/>
      <c r="H65" s="2497"/>
      <c r="I65" s="138"/>
      <c r="J65" s="3163"/>
      <c r="K65" s="2499" t="s">
        <v>2243</v>
      </c>
      <c r="L65" s="1749">
        <f ca="1">IF(M49&gt;1000,M49*0.1%,IF(AND(M49&gt;500,M49&lt;=1000),M49*0.5%,IF(AND(M49&gt;50,M49&lt;=500),M49*1%,IF(AND(M49&gt;1,M49&lt;=50),M49*1.5%))))</f>
        <v>127.774</v>
      </c>
      <c r="M65" s="24">
        <f t="shared" ca="1" si="1"/>
        <v>127.8</v>
      </c>
      <c r="N65" s="138" t="s">
        <v>2241</v>
      </c>
      <c r="Z65" s="2423"/>
      <c r="AI65" s="2424"/>
    </row>
    <row r="66" spans="1:35" ht="14.25" customHeight="1">
      <c r="A66" s="203" t="s">
        <v>772</v>
      </c>
      <c r="B66" s="204" t="s">
        <v>2244</v>
      </c>
      <c r="C66" s="205"/>
      <c r="D66" s="206" t="s">
        <v>32</v>
      </c>
      <c r="E66" s="1773" t="s">
        <v>1367</v>
      </c>
      <c r="F66" s="2489"/>
      <c r="G66" s="2489"/>
      <c r="H66" s="2497"/>
      <c r="I66" s="138"/>
      <c r="J66" s="3163"/>
      <c r="K66" s="2499" t="s">
        <v>2245</v>
      </c>
      <c r="L66" s="1749">
        <f ca="1">M49*0.5%</f>
        <v>638.87</v>
      </c>
      <c r="M66" s="24">
        <f ca="1">IF(L66&gt;0.5,0.5,ROUND(L66,0))</f>
        <v>0.5</v>
      </c>
      <c r="N66" s="138" t="s">
        <v>2246</v>
      </c>
      <c r="Z66" s="2423"/>
      <c r="AI66" s="2424"/>
    </row>
    <row r="67" spans="1:35" ht="14.25" customHeight="1">
      <c r="A67" s="203" t="s">
        <v>773</v>
      </c>
      <c r="B67" s="204" t="s">
        <v>2247</v>
      </c>
      <c r="C67" s="207">
        <f ca="1">C63-C66</f>
        <v>121690</v>
      </c>
      <c r="D67" s="200" t="s">
        <v>32</v>
      </c>
      <c r="E67" s="201"/>
      <c r="F67" s="2489"/>
      <c r="G67" s="2489"/>
      <c r="H67" s="2497"/>
      <c r="I67" s="138"/>
      <c r="J67" s="3163"/>
      <c r="K67" s="2499" t="s">
        <v>2248</v>
      </c>
      <c r="L67" s="1749">
        <f ca="1">IF(M49&gt;=10000,(8.25+(M49-10000)*0.01%),IF(AND(M49&gt;=8000,M49&lt;10000),(7.85+(M49-8000)*0.02%),IF(AND(M49&gt;=5000,M49&lt;8000),(6.65+(M49-5000)*0.04%),IF(AND(M49&gt;=2000,M49&lt;5000),(4.25+(PM49-2000)*0.08%),IF(AND(M49&gt;=1000,M49&lt;2000),(2.75+(M49-1000)*0.15%),IF(AND(M49&gt;=100,M49&lt;1000),(0.5+(M49-100)*0.25%),IF(AND(M49&gt;0,M49&lt;100),M49*0.5%)))))))</f>
        <v>20.0274</v>
      </c>
      <c r="M67" s="24">
        <f ca="1">ROUND(L67*0.9,1)</f>
        <v>18</v>
      </c>
      <c r="Z67" s="2423"/>
      <c r="AI67" s="2424"/>
    </row>
    <row r="68" spans="1:35" ht="14.25" customHeight="1" thickBot="1">
      <c r="A68" s="208" t="s">
        <v>774</v>
      </c>
      <c r="B68" s="209" t="s">
        <v>2249</v>
      </c>
      <c r="C68" s="210">
        <f ca="1">IF(C67&lt;=0,0,ROUND(C67*D68,0))</f>
        <v>6815</v>
      </c>
      <c r="D68" s="211">
        <f>'数据-取费表'!B41</f>
        <v>5.6000000000000001E-2</v>
      </c>
      <c r="E68" s="212"/>
      <c r="F68" s="2489"/>
      <c r="G68" s="2489"/>
      <c r="H68" s="2497"/>
      <c r="I68" s="138"/>
      <c r="J68" s="3163"/>
      <c r="K68" s="2499" t="s">
        <v>2250</v>
      </c>
      <c r="L68" s="1749">
        <f ca="1">IF(M49&gt;10000,M49*0.5%,IF(AND(M49&gt;5000,M49&lt;=10000),M49*1%,IF(AND(M49&gt;1000,M49&lt;=5000),M49*2%,IF(AND(M49&gt;200,M49&lt;=1000),M49*3%,M49*5%))))</f>
        <v>638.87</v>
      </c>
      <c r="M68" s="24">
        <f ca="1">ROUND(L68,1)</f>
        <v>638.9</v>
      </c>
      <c r="Z68" s="2423"/>
      <c r="AI68" s="2424"/>
    </row>
    <row r="69" spans="1:35" s="2446" customFormat="1" ht="16.5" customHeight="1">
      <c r="A69" s="2500"/>
      <c r="B69" s="2501"/>
      <c r="C69" s="2502"/>
      <c r="D69" s="2503"/>
      <c r="E69" s="2504"/>
      <c r="F69" s="2165"/>
      <c r="G69" s="2165"/>
      <c r="H69" s="2164"/>
      <c r="I69" s="2418"/>
      <c r="J69" s="3163"/>
      <c r="K69" s="2499" t="s">
        <v>2251</v>
      </c>
      <c r="L69" s="2505"/>
      <c r="M69" s="24">
        <f ca="1">ROUND(SUM(M63:M68),0)</f>
        <v>2063</v>
      </c>
      <c r="N69" s="1750">
        <f ca="1">M69/M49</f>
        <v>1.6145694742279337E-2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2" t="s">
        <v>2252</v>
      </c>
      <c r="B70" s="3123"/>
      <c r="C70" s="3123"/>
      <c r="D70" s="3123"/>
      <c r="E70" s="3123"/>
      <c r="F70" s="3123"/>
      <c r="G70" s="3123"/>
      <c r="H70" s="31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2233</v>
      </c>
      <c r="B71" s="3102"/>
      <c r="C71" s="1801"/>
      <c r="D71" s="1801"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121690</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730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96" t="s">
        <v>2261</v>
      </c>
      <c r="F76" s="3073"/>
      <c r="G76" s="3073"/>
      <c r="H76" s="31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3" t="s">
        <v>2264</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730</v>
      </c>
      <c r="D78" s="226">
        <f>'数据-取费表'!B43</f>
        <v>6.000000000000001E-3</v>
      </c>
      <c r="E78" s="3082" t="s">
        <v>2266</v>
      </c>
      <c r="F78" s="3083"/>
      <c r="G78" s="3083"/>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120960</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165.69863013698631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72321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2" t="s">
        <v>2270</v>
      </c>
      <c r="B83" s="3123"/>
      <c r="C83" s="3123"/>
      <c r="D83" s="3123"/>
      <c r="E83" s="3123"/>
      <c r="F83" s="3123"/>
      <c r="G83" s="3123"/>
      <c r="H83" s="31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2233</v>
      </c>
      <c r="B84" s="3102"/>
      <c r="C84" s="1801"/>
      <c r="D84" s="1801"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121690</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730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7"/>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3.0499999999999999E-2</v>
      </c>
      <c r="E89" s="237" t="s">
        <v>2275</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82" t="s">
        <v>2279</v>
      </c>
      <c r="F91" s="3083"/>
      <c r="G91" s="3083"/>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82" t="s">
        <v>2283</v>
      </c>
      <c r="F92" s="3083"/>
      <c r="G92" s="3083"/>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730</v>
      </c>
      <c r="D93" s="226">
        <f>'数据-取费表'!B43</f>
        <v>6.000000000000001E-3</v>
      </c>
      <c r="E93" s="3082" t="s">
        <v>2266</v>
      </c>
      <c r="F93" s="3083"/>
      <c r="G93" s="3083"/>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93" t="s">
        <v>2287</v>
      </c>
      <c r="F94" s="3094"/>
      <c r="G94" s="3094"/>
      <c r="H94" s="309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120960</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165.69863013698631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72321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2288</v>
      </c>
      <c r="B99" s="2418"/>
      <c r="C99" s="2418"/>
      <c r="D99" s="2418"/>
      <c r="E99" s="2165"/>
      <c r="F99" s="2165"/>
      <c r="G99" s="2165"/>
      <c r="H99" s="2164"/>
      <c r="I99" s="138"/>
    </row>
    <row r="100" spans="1:35" ht="18.75" customHeight="1">
      <c r="A100" s="3067" t="s">
        <v>2289</v>
      </c>
      <c r="B100" s="3068"/>
      <c r="C100" s="3068"/>
      <c r="D100" s="3084"/>
      <c r="E100" s="3068" t="s">
        <v>2290</v>
      </c>
      <c r="F100" s="3068"/>
      <c r="G100" s="3068"/>
      <c r="H100" s="3084"/>
      <c r="I100" s="138"/>
    </row>
    <row r="101" spans="1:35" ht="18.75" customHeight="1">
      <c r="A101" s="3146" t="s">
        <v>2291</v>
      </c>
      <c r="B101" s="3147"/>
      <c r="C101" s="736" t="str">
        <f>C4</f>
        <v>成本法</v>
      </c>
      <c r="D101" s="737" t="str">
        <f>D4</f>
        <v>收益法（汇总）</v>
      </c>
      <c r="E101" s="3160" t="s">
        <v>2292</v>
      </c>
      <c r="F101" s="3114"/>
      <c r="G101" s="2520" t="s">
        <v>2293</v>
      </c>
      <c r="H101" s="1045">
        <f ca="1">H118</f>
        <v>127774</v>
      </c>
      <c r="I101" s="138"/>
    </row>
    <row r="102" spans="1:35" ht="18.75" customHeight="1">
      <c r="A102" s="3116" t="s">
        <v>2294</v>
      </c>
      <c r="B102" s="2520" t="s">
        <v>2293</v>
      </c>
      <c r="C102" s="736">
        <f ca="1">C19</f>
        <v>113730</v>
      </c>
      <c r="D102" s="737">
        <f ca="1">D19</f>
        <v>141818</v>
      </c>
      <c r="E102" s="3160"/>
      <c r="F102" s="3114"/>
      <c r="G102" s="2520" t="s">
        <v>2295</v>
      </c>
      <c r="H102" s="371">
        <f ca="1">I118</f>
        <v>35770</v>
      </c>
      <c r="I102" s="138"/>
    </row>
    <row r="103" spans="1:35" ht="42.75" customHeight="1">
      <c r="A103" s="3116"/>
      <c r="B103" s="2520" t="s">
        <v>2295</v>
      </c>
      <c r="C103" s="738">
        <f ca="1">C20</f>
        <v>31839</v>
      </c>
      <c r="D103" s="739">
        <f ca="1">D20</f>
        <v>39702</v>
      </c>
      <c r="E103" s="3155" t="s">
        <v>2296</v>
      </c>
      <c r="F103" s="3156"/>
      <c r="G103" s="2521" t="s">
        <v>2297</v>
      </c>
      <c r="H103" s="1045">
        <f>IF(D36="正常操作",H104+H105+H106,H105+H106)</f>
        <v>0</v>
      </c>
      <c r="I103" s="138"/>
    </row>
    <row r="104" spans="1:35" ht="18.75" customHeight="1">
      <c r="A104" s="3116" t="s">
        <v>2298</v>
      </c>
      <c r="B104" s="2522" t="s">
        <v>2293</v>
      </c>
      <c r="C104" s="740">
        <f ca="1">H118</f>
        <v>127774</v>
      </c>
      <c r="D104" s="741"/>
      <c r="E104" s="2266" t="s">
        <v>2299</v>
      </c>
      <c r="F104" s="2257"/>
      <c r="G104" s="2521" t="s">
        <v>2297</v>
      </c>
      <c r="H104" s="1046">
        <f>IF(D36="同一抵押权人同一抵押物续贷",C36&amp;"（未扣减，详见特别提示）",C36)</f>
        <v>0</v>
      </c>
      <c r="I104" s="138"/>
    </row>
    <row r="105" spans="1:35" ht="18.75" customHeight="1" thickBot="1">
      <c r="A105" s="3117"/>
      <c r="B105" s="2523" t="s">
        <v>2295</v>
      </c>
      <c r="C105" s="742">
        <f ca="1">I118</f>
        <v>35770</v>
      </c>
      <c r="D105" s="743"/>
      <c r="E105" s="2266" t="s">
        <v>2300</v>
      </c>
      <c r="F105" s="2257"/>
      <c r="G105" s="2521" t="s">
        <v>2297</v>
      </c>
      <c r="H105" s="1046">
        <f>C37</f>
        <v>0</v>
      </c>
      <c r="I105" s="138"/>
    </row>
    <row r="106" spans="1:35" ht="18.75" customHeight="1">
      <c r="A106" s="2418" t="s">
        <v>2301</v>
      </c>
      <c r="B106" s="2418"/>
      <c r="C106" s="2418"/>
      <c r="D106" s="2418"/>
      <c r="E106" s="2524" t="s">
        <v>2302</v>
      </c>
      <c r="F106" s="2257"/>
      <c r="G106" s="2521" t="s">
        <v>2297</v>
      </c>
      <c r="H106" s="1046">
        <f>C38</f>
        <v>0</v>
      </c>
      <c r="I106" s="138"/>
    </row>
    <row r="107" spans="1:35" ht="18.75" customHeight="1">
      <c r="A107" s="138"/>
      <c r="B107" s="138"/>
      <c r="C107" s="138"/>
      <c r="D107" s="138"/>
      <c r="E107" s="3113" t="str">
        <f>IF(项目基本情况!E8="已注销","——","3.房地产抵押价值")</f>
        <v>3.房地产抵押价值</v>
      </c>
      <c r="F107" s="3114"/>
      <c r="G107" s="2520" t="s">
        <v>2293</v>
      </c>
      <c r="H107" s="1045">
        <f ca="1">IF(E107="——","——",H101-H103)</f>
        <v>127774</v>
      </c>
      <c r="I107" s="138"/>
    </row>
    <row r="108" spans="1:35" ht="18.75" customHeight="1">
      <c r="A108" s="138"/>
      <c r="B108" s="138"/>
      <c r="C108" s="138"/>
      <c r="D108" s="138"/>
      <c r="E108" s="3113"/>
      <c r="F108" s="3114"/>
      <c r="G108" s="2520" t="s">
        <v>2295</v>
      </c>
      <c r="H108" s="371">
        <f ca="1">ROUND(H107*10000/'数据-汇总表'!E3,0)</f>
        <v>35770</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20" t="s">
        <v>2293</v>
      </c>
      <c r="H109" s="348" t="str">
        <f>IF(E109="——","——",H101-H105-H106)</f>
        <v>——</v>
      </c>
      <c r="I109" s="138"/>
    </row>
    <row r="110" spans="1:35" ht="18.75" customHeight="1">
      <c r="A110" s="138"/>
      <c r="B110" s="138"/>
      <c r="C110" s="138"/>
      <c r="D110" s="138"/>
      <c r="E110" s="3113"/>
      <c r="F110" s="3114"/>
      <c r="G110" s="2520" t="s">
        <v>2295</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20" t="s">
        <v>2293</v>
      </c>
      <c r="H111" s="1045" t="str">
        <f>IF(E111="——","——",N59)</f>
        <v>——</v>
      </c>
      <c r="I111" s="138"/>
    </row>
    <row r="112" spans="1:35" ht="18.75" customHeight="1" thickBot="1">
      <c r="A112" s="138"/>
      <c r="B112" s="138"/>
      <c r="C112" s="138"/>
      <c r="D112" s="138"/>
      <c r="E112" s="3150"/>
      <c r="F112" s="3151"/>
      <c r="G112" s="2525" t="s">
        <v>2295</v>
      </c>
      <c r="H112" s="790" t="str">
        <f>IF(E111="——","——",N61)</f>
        <v>——</v>
      </c>
      <c r="I112" s="138"/>
    </row>
    <row r="113" spans="1:11" ht="18.75" customHeight="1">
      <c r="A113" s="138"/>
      <c r="B113" s="138"/>
      <c r="C113" s="138"/>
      <c r="D113" s="138"/>
      <c r="E113" s="3118" t="s">
        <v>2301</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2303</v>
      </c>
      <c r="B115" s="3132"/>
      <c r="C115" s="3132"/>
      <c r="D115" s="3132"/>
      <c r="E115" s="3132"/>
      <c r="F115" s="3132"/>
      <c r="G115" s="3132"/>
      <c r="H115" s="3132"/>
      <c r="I115" s="3133"/>
    </row>
    <row r="116" spans="1:11" ht="27" customHeight="1">
      <c r="A116" s="3024" t="s">
        <v>2304</v>
      </c>
      <c r="B116" s="3119" t="s">
        <v>2305</v>
      </c>
      <c r="C116" s="3119" t="s">
        <v>2306</v>
      </c>
      <c r="D116" s="3135" t="s">
        <v>2307</v>
      </c>
      <c r="E116" s="3136"/>
      <c r="F116" s="3127" t="s">
        <v>3199</v>
      </c>
      <c r="G116" s="3127"/>
      <c r="H116" s="3024" t="s">
        <v>2308</v>
      </c>
      <c r="I116" s="3024"/>
    </row>
    <row r="117" spans="1:11" ht="18.75" customHeight="1">
      <c r="A117" s="3024"/>
      <c r="B117" s="3120"/>
      <c r="C117" s="3120"/>
      <c r="D117" s="1795" t="s">
        <v>2309</v>
      </c>
      <c r="E117" s="1795" t="s">
        <v>2310</v>
      </c>
      <c r="F117" s="1795" t="s">
        <v>2309</v>
      </c>
      <c r="G117" s="1795" t="s">
        <v>2311</v>
      </c>
      <c r="H117" s="1795" t="s">
        <v>2309</v>
      </c>
      <c r="I117" s="1795" t="s">
        <v>2311</v>
      </c>
    </row>
    <row r="118" spans="1:11" ht="24.75" customHeight="1">
      <c r="A118" s="2526" t="str">
        <f>项目基本情况!S2</f>
        <v>北京市海淀区海淀东三街2号-4层-401号等29套商贸综合用房房地产房地产</v>
      </c>
      <c r="B118" s="1795">
        <f>M18</f>
        <v>35720.530000000006</v>
      </c>
      <c r="C118" s="1795">
        <f>M19</f>
        <v>2729.06</v>
      </c>
      <c r="D118" s="1795">
        <f ca="1">ROUND(IF(D32="总价",C34,E118*B118/10000),0)</f>
        <v>109247</v>
      </c>
      <c r="E118" s="1795">
        <f ca="1">ROUND(IF(C33="自定义",IF(D32="楼面单价",C34,D118*10000/B118),I118-G118),0)</f>
        <v>30583</v>
      </c>
      <c r="F118" s="1795">
        <f ca="1">ROUND(IF(D32="总价",C35,G118*B118/10000),0)</f>
        <v>18527</v>
      </c>
      <c r="G118" s="1795">
        <f ca="1">ROUND(IF(D32="楼面单价",C35,F118*10000/B118),0)</f>
        <v>5187</v>
      </c>
      <c r="H118" s="1795">
        <f ca="1">ROUND(IF(D32="总价",C32,I118*B118/10000),0)</f>
        <v>127774</v>
      </c>
      <c r="I118" s="1795">
        <f ca="1">ROUND(IF(D32="楼面单价",C32,H118*10000/B118),0)</f>
        <v>35770</v>
      </c>
    </row>
    <row r="119" spans="1:11" ht="18.75" customHeight="1">
      <c r="A119" s="3024" t="s">
        <v>2312</v>
      </c>
      <c r="B119" s="3024"/>
      <c r="C119" s="3024"/>
      <c r="D119" s="3124" t="str">
        <f ca="1">NUMBERSTRING(INT(D118*10000),2)&amp;"元整"</f>
        <v>壹拾亿玖仟贰佰肆拾柒万元整</v>
      </c>
      <c r="E119" s="3126"/>
      <c r="F119" s="3124" t="str">
        <f ca="1">NUMBERSTRING(INT(F118*10000),2)&amp;"元整"</f>
        <v>壹亿捌仟伍佰贰拾柒万元整</v>
      </c>
      <c r="G119" s="3126"/>
      <c r="H119" s="3124" t="str">
        <f ca="1">NUMBERSTRING(INT(H118*10000),2)&amp;"元整"</f>
        <v>壹拾贰亿柒仟柒佰柒拾肆万元整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3" t="str">
        <f>IF(D120=0,"故，本次评估不存在"&amp;A120,"故，本次评估"&amp;A120&amp;"为人民币"&amp;D120&amp;"万元整。")</f>
        <v>故，本次评估不存在估价师知悉的法定优先受偿款</v>
      </c>
    </row>
    <row r="121" spans="1:11" ht="18.75" customHeight="1">
      <c r="A121" s="3128" t="s">
        <v>2312</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127774</v>
      </c>
      <c r="E122" s="3153"/>
      <c r="F122" s="3153"/>
      <c r="G122" s="3153"/>
      <c r="H122" s="3153"/>
      <c r="I122" s="3154"/>
    </row>
    <row r="123" spans="1:11" ht="18.75" customHeight="1">
      <c r="A123" s="3024" t="s">
        <v>2312</v>
      </c>
      <c r="B123" s="3024"/>
      <c r="C123" s="3024"/>
      <c r="D123" s="3124" t="str">
        <f ca="1">NUMBERSTRING(INT(D122*10000),2)&amp;"元整"</f>
        <v>壹拾贰亿柒仟柒佰柒拾肆万元整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2312</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2312</v>
      </c>
      <c r="B127" s="3024"/>
      <c r="C127" s="3024"/>
      <c r="D127" s="3124" t="e">
        <f>NUMBERSTRING(INT(D126*10000),2)&amp;"元整"</f>
        <v>#VALUE!</v>
      </c>
      <c r="E127" s="3125"/>
      <c r="F127" s="3125"/>
      <c r="G127" s="3125"/>
      <c r="H127" s="3125"/>
      <c r="I127" s="3126"/>
    </row>
    <row r="128" spans="1:11" ht="21.75" customHeight="1">
      <c r="A128" s="3134" t="s">
        <v>2313</v>
      </c>
      <c r="B128" s="3134"/>
      <c r="C128" s="3134"/>
      <c r="D128" s="3134"/>
      <c r="E128" s="3134"/>
      <c r="F128" s="3134"/>
      <c r="G128" s="3134"/>
      <c r="H128" s="3134"/>
      <c r="I128" s="3134"/>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113730</v>
      </c>
      <c r="C2" s="243" t="s">
        <v>2323</v>
      </c>
      <c r="D2" s="2549" t="s">
        <v>70</v>
      </c>
      <c r="E2" s="1440"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31839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68909</v>
      </c>
      <c r="D5" s="255" t="s">
        <v>2329</v>
      </c>
      <c r="E5" s="256" t="s">
        <v>2330</v>
      </c>
      <c r="F5" s="256" t="s">
        <v>2331</v>
      </c>
      <c r="G5" s="257"/>
    </row>
    <row r="6" spans="1:9" s="258" customFormat="1" ht="13.5" customHeight="1">
      <c r="A6" s="949" t="s">
        <v>2332</v>
      </c>
      <c r="B6" s="259" t="s">
        <v>2333</v>
      </c>
      <c r="C6" s="260">
        <f ca="1">基准地价修正!B2</f>
        <v>66177</v>
      </c>
      <c r="D6" s="261"/>
      <c r="E6" s="262"/>
      <c r="F6" s="262"/>
      <c r="G6" s="263"/>
    </row>
    <row r="7" spans="1:9" s="258" customFormat="1" ht="13.5" customHeight="1">
      <c r="A7" s="949" t="s">
        <v>2334</v>
      </c>
      <c r="B7" s="259" t="s">
        <v>2335</v>
      </c>
      <c r="C7" s="264">
        <f ca="1">ROUND(C6*F7,0)</f>
        <v>2018</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714</v>
      </c>
      <c r="D8" s="266"/>
      <c r="E8" s="264"/>
      <c r="F8" s="265"/>
      <c r="G8" s="2552" t="s">
        <v>3197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3"/>
      <c r="H9" s="1390"/>
      <c r="I9" s="2554" t="s">
        <v>2339</v>
      </c>
    </row>
    <row r="10" spans="1:9" s="258" customFormat="1" ht="13.5" customHeight="1">
      <c r="A10" s="950" t="s">
        <v>801</v>
      </c>
      <c r="B10" s="268" t="s">
        <v>2340</v>
      </c>
      <c r="C10" s="269">
        <f ca="1">ROUND(D10*E10/10000,0)</f>
        <v>714</v>
      </c>
      <c r="D10" s="1032">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35720.530000000006</v>
      </c>
      <c r="E19" s="255">
        <f>'数据-取费表'!B31</f>
        <v>200</v>
      </c>
      <c r="F19" s="275"/>
      <c r="G19" s="2552" t="s">
        <v>3198</v>
      </c>
    </row>
    <row r="20" spans="1:7" s="258" customFormat="1" ht="13.5" customHeight="1">
      <c r="A20" s="299" t="s">
        <v>2353</v>
      </c>
      <c r="B20" s="254" t="s">
        <v>2354</v>
      </c>
      <c r="C20" s="276">
        <f ca="1">ROUND((C5+C19)*F20,0)</f>
        <v>1378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6767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6702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65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12652</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ROUND((C5+C19+C20)*F27*'数据-取费表'!B21/'数据-取费表'!B20,0)</f>
        <v>12652</v>
      </c>
      <c r="D28" s="279"/>
      <c r="E28" s="280"/>
      <c r="F28" s="290"/>
      <c r="G28" s="291"/>
    </row>
    <row r="29" spans="1:7" s="258" customFormat="1" ht="13.5" customHeight="1">
      <c r="A29" s="951" t="s">
        <v>792</v>
      </c>
      <c r="B29" s="292" t="s">
        <v>2377</v>
      </c>
      <c r="C29" s="282">
        <f ca="1">ROUND(C21*F27*'数据-取费表'!B21/'数据-取费表'!B20,4)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97284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14771</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13451</v>
      </c>
      <c r="D34" s="261"/>
      <c r="E34" s="264"/>
      <c r="F34" s="301">
        <f ca="1">IF('数据-取费表'!B24=0,1,IF(B1="",'数据-取费表'!N16,INDIRECT("'数据-取费表'!n"&amp;$G$1)))</f>
        <v>1</v>
      </c>
      <c r="G34" s="263" t="s">
        <v>2386</v>
      </c>
    </row>
    <row r="35" spans="1:7" ht="13.5" customHeight="1">
      <c r="A35" s="951" t="s">
        <v>796</v>
      </c>
      <c r="B35" s="259" t="s">
        <v>2387</v>
      </c>
      <c r="C35" s="264">
        <f ca="1">ROUND(C34*F35,0)</f>
        <v>404</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714</v>
      </c>
      <c r="D37" s="261">
        <f ca="1">D19</f>
        <v>35720.530000000006</v>
      </c>
      <c r="E37" s="293">
        <f>'数据-取费表'!B35</f>
        <v>200</v>
      </c>
      <c r="F37" s="303"/>
      <c r="G37" s="305" t="s">
        <v>2392</v>
      </c>
    </row>
    <row r="38" spans="1:7" ht="13.5" customHeight="1">
      <c r="A38" s="951" t="s">
        <v>799</v>
      </c>
      <c r="B38" s="259" t="s">
        <v>2393</v>
      </c>
      <c r="C38" s="264">
        <f ca="1">ROUND(C34*F38,0)</f>
        <v>202</v>
      </c>
      <c r="D38" s="264"/>
      <c r="E38" s="264"/>
      <c r="F38" s="303">
        <f>'数据-取费表'!B36</f>
        <v>1.4999999999999999E-2</v>
      </c>
      <c r="G38" s="263" t="s">
        <v>2388</v>
      </c>
    </row>
    <row r="39" spans="1:7" s="258" customFormat="1" ht="13.5" customHeight="1">
      <c r="A39" s="299" t="s">
        <v>2394</v>
      </c>
      <c r="B39" s="254" t="s">
        <v>2395</v>
      </c>
      <c r="C39" s="276">
        <f ca="1">ROUND(C33*F20,0)</f>
        <v>295</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716</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702</v>
      </c>
      <c r="D42" s="282"/>
      <c r="E42" s="282"/>
      <c r="F42" s="283"/>
      <c r="G42" s="3166" t="s">
        <v>2404</v>
      </c>
    </row>
    <row r="43" spans="1:7" ht="13.5" customHeight="1">
      <c r="A43" s="951" t="s">
        <v>792</v>
      </c>
      <c r="B43" s="259" t="s">
        <v>2405</v>
      </c>
      <c r="C43" s="282">
        <f ca="1">ROUND(IF('数据-取费表'!B22&lt;=1,C39*F22*'数据-取费表'!B21/2,C39*(POWER((1+F22),'数据-取费表'!B21/2)-1)),0)</f>
        <v>14</v>
      </c>
      <c r="D43" s="282"/>
      <c r="E43" s="282"/>
      <c r="F43" s="283"/>
      <c r="G43" s="3167"/>
    </row>
    <row r="44" spans="1:7" ht="13.5" customHeight="1">
      <c r="A44" s="951" t="s">
        <v>793</v>
      </c>
      <c r="B44" s="259" t="s">
        <v>2406</v>
      </c>
      <c r="C44" s="282">
        <f ca="1">ROUND(IF('数据-取费表'!B22&lt;=1,C40*F22*'数据-取费表'!B21/2,C40*(POWER((1+F22),'数据-取费表'!B21/2)-1)),4)</f>
        <v>1E-3</v>
      </c>
      <c r="D44" s="282"/>
      <c r="E44" s="282"/>
      <c r="F44" s="283"/>
      <c r="G44" s="3168"/>
    </row>
    <row r="45" spans="1:7" s="258" customFormat="1" ht="13.5" customHeight="1">
      <c r="A45" s="299" t="s">
        <v>2407</v>
      </c>
      <c r="B45" s="288" t="s">
        <v>2373</v>
      </c>
      <c r="C45" s="289">
        <f ca="1">C46</f>
        <v>2712</v>
      </c>
      <c r="D45" s="279">
        <f ca="1">C47</f>
        <v>3.5999999999999999E-3</v>
      </c>
      <c r="E45" s="280" t="s">
        <v>2399</v>
      </c>
      <c r="F45" s="290"/>
      <c r="G45" s="291" t="s">
        <v>2408</v>
      </c>
    </row>
    <row r="46" spans="1:7" s="258" customFormat="1" ht="13.5" customHeight="1">
      <c r="A46" s="951" t="s">
        <v>791</v>
      </c>
      <c r="B46" s="292" t="s">
        <v>2409</v>
      </c>
      <c r="C46" s="293">
        <f ca="1">ROUND((C33+C39)*F27,0)</f>
        <v>2712</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20056</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16446</v>
      </c>
      <c r="D51" s="276"/>
      <c r="E51" s="276"/>
      <c r="F51" s="308"/>
      <c r="G51" s="278" t="s">
        <v>2420</v>
      </c>
    </row>
    <row r="52" spans="1:7" s="252" customFormat="1" ht="16.5" thickBot="1">
      <c r="A52" s="309" t="s">
        <v>2421</v>
      </c>
      <c r="B52" s="310"/>
      <c r="C52" s="311">
        <f ca="1">C31+C51</f>
        <v>113730</v>
      </c>
      <c r="D52" s="310"/>
      <c r="E52" s="310"/>
      <c r="F52" s="310"/>
      <c r="G52" s="312"/>
    </row>
    <row r="55" spans="1:7" ht="15">
      <c r="B55" s="314" t="s">
        <v>2422</v>
      </c>
      <c r="C55" s="315"/>
    </row>
    <row r="56" spans="1:7">
      <c r="B56" s="317" t="s">
        <v>1509</v>
      </c>
      <c r="C56" s="319">
        <f ca="1">1-C57</f>
        <v>0.85499999999999998</v>
      </c>
    </row>
    <row r="57" spans="1:7">
      <c r="B57" s="317" t="s">
        <v>1510</v>
      </c>
      <c r="C57" s="318">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北京市海淀区海淀东三街2号-4层-401号等29套商贸综合用房房地产房地产抵押价值预评估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42" t="str">
        <f>项目基本情况!B5</f>
        <v>都会洪业（天津）有限公司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5"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18462</v>
      </c>
      <c r="C2" s="243" t="s">
        <v>2323</v>
      </c>
      <c r="D2" s="2549" t="s">
        <v>70</v>
      </c>
      <c r="E2" s="1440"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5168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7144106</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7144106</v>
      </c>
      <c r="D8" s="266"/>
      <c r="E8" s="264"/>
      <c r="F8" s="265"/>
      <c r="G8" s="255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7144106</v>
      </c>
      <c r="D10" s="1032">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7144106</v>
      </c>
      <c r="D19" s="1036">
        <f ca="1">D9+D10</f>
        <v>35720.530000000006</v>
      </c>
      <c r="E19" s="255">
        <f>'数据-取费表'!B31</f>
        <v>200</v>
      </c>
      <c r="F19" s="275"/>
      <c r="G19" s="2552"/>
    </row>
    <row r="20" spans="1:7" s="258" customFormat="1" ht="13.5" customHeight="1">
      <c r="A20" s="299" t="s">
        <v>2434</v>
      </c>
      <c r="B20" s="254" t="s">
        <v>2435</v>
      </c>
      <c r="C20" s="276">
        <f ca="1">ROUND((C5+C19)*F20,0)</f>
        <v>285764</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1403192</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694809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694809</v>
      </c>
      <c r="D24" s="282"/>
      <c r="E24" s="282"/>
      <c r="F24" s="283"/>
      <c r="G24" s="284" t="s">
        <v>2446</v>
      </c>
    </row>
    <row r="25" spans="1:7" s="258" customFormat="1" ht="24">
      <c r="A25" s="951" t="s">
        <v>2336</v>
      </c>
      <c r="B25" s="259" t="s">
        <v>2447</v>
      </c>
      <c r="C25" s="1381">
        <f ca="1">ROUND(IF('数据-取费表'!B22&lt;=1,C20*F22*'数据-取费表'!B22/2,C20*(POWER((1+F22),'数据-取费表'!B22/2)-1)),0)</f>
        <v>13574</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2623316</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ROUND((C5+C19+C20)*F27,0)</f>
        <v>2623316</v>
      </c>
      <c r="D28" s="279"/>
      <c r="E28" s="280"/>
      <c r="F28" s="290"/>
      <c r="G28" s="291"/>
    </row>
    <row r="29" spans="1:7" s="258" customFormat="1" ht="13.5" customHeight="1">
      <c r="A29" s="951" t="s">
        <v>792</v>
      </c>
      <c r="B29" s="292" t="s">
        <v>2377</v>
      </c>
      <c r="C29" s="282">
        <f ca="1">ROUND(C21*F27,4)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20171873</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147700096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134503340</v>
      </c>
      <c r="D34" s="261"/>
      <c r="E34" s="264"/>
      <c r="F34" s="301"/>
      <c r="G34" s="263"/>
    </row>
    <row r="35" spans="1:7" ht="13.5" customHeight="1">
      <c r="A35" s="951" t="s">
        <v>796</v>
      </c>
      <c r="B35" s="259" t="s">
        <v>2387</v>
      </c>
      <c r="C35" s="264">
        <f ca="1">ROUND(C34*F35,0)</f>
        <v>4035100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7144106</v>
      </c>
      <c r="D37" s="261">
        <f ca="1">D19</f>
        <v>35720.530000000006</v>
      </c>
      <c r="E37" s="293">
        <f>'数据-取费表'!B35</f>
        <v>200</v>
      </c>
      <c r="F37" s="303"/>
      <c r="G37" s="305"/>
    </row>
    <row r="38" spans="1:7" ht="13.5" customHeight="1">
      <c r="A38" s="951" t="s">
        <v>799</v>
      </c>
      <c r="B38" s="259" t="s">
        <v>2393</v>
      </c>
      <c r="C38" s="264">
        <f ca="1">ROUND(C34*F38,0)</f>
        <v>2017550</v>
      </c>
      <c r="D38" s="264"/>
      <c r="E38" s="264"/>
      <c r="F38" s="303">
        <f>'数据-取费表'!B36</f>
        <v>1.4999999999999999E-2</v>
      </c>
      <c r="G38" s="263" t="s">
        <v>2388</v>
      </c>
    </row>
    <row r="39" spans="1:7" s="258" customFormat="1" ht="13.5" customHeight="1">
      <c r="A39" s="299" t="s">
        <v>2394</v>
      </c>
      <c r="B39" s="254" t="s">
        <v>2395</v>
      </c>
      <c r="C39" s="276">
        <f ca="1">ROUND(C33*F20,0)</f>
        <v>2954002</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7156070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7015755</v>
      </c>
      <c r="D42" s="282"/>
      <c r="E42" s="282"/>
      <c r="F42" s="283"/>
      <c r="G42" s="3166" t="s">
        <v>2451</v>
      </c>
    </row>
    <row r="43" spans="1:7" ht="13.5" customHeight="1">
      <c r="A43" s="951" t="s">
        <v>792</v>
      </c>
      <c r="B43" s="259" t="s">
        <v>2405</v>
      </c>
      <c r="C43" s="282">
        <f ca="1">ROUND(IF('数据-取费表'!B22&lt;=1,C39*F22*'数据-取费表'!B20/2,C39*(POWER((1+F22),'数据-取费表'!B20/2)-1)),0)</f>
        <v>140315</v>
      </c>
      <c r="D43" s="282"/>
      <c r="E43" s="282"/>
      <c r="F43" s="283"/>
      <c r="G43" s="3167"/>
    </row>
    <row r="44" spans="1:7" ht="13.5" customHeight="1">
      <c r="A44" s="951" t="s">
        <v>793</v>
      </c>
      <c r="B44" s="259" t="s">
        <v>2406</v>
      </c>
      <c r="C44" s="282">
        <f ca="1">ROUND(IF('数据-取费表'!B22&lt;=1,C40*F22*'数据-取费表'!B20/2,C40*(POWER((1+F22),'数据-取费表'!B20/2)-1)),4)</f>
        <v>1E-3</v>
      </c>
      <c r="D44" s="282"/>
      <c r="E44" s="282"/>
      <c r="F44" s="283"/>
      <c r="G44" s="3168"/>
    </row>
    <row r="45" spans="1:7" s="258" customFormat="1" ht="13.5" customHeight="1">
      <c r="A45" s="299" t="s">
        <v>2407</v>
      </c>
      <c r="B45" s="288" t="s">
        <v>2373</v>
      </c>
      <c r="C45" s="289">
        <f ca="1">C46</f>
        <v>27117738</v>
      </c>
      <c r="D45" s="279">
        <f ca="1">C47</f>
        <v>3.5999999999999999E-3</v>
      </c>
      <c r="E45" s="280" t="s">
        <v>2399</v>
      </c>
      <c r="F45" s="290"/>
      <c r="G45" s="291" t="s">
        <v>2408</v>
      </c>
    </row>
    <row r="46" spans="1:7" s="258" customFormat="1" ht="13.5" customHeight="1">
      <c r="A46" s="951" t="s">
        <v>791</v>
      </c>
      <c r="B46" s="292" t="s">
        <v>2409</v>
      </c>
      <c r="C46" s="293">
        <f ca="1">ROUND((C33+C39)*F27,0)</f>
        <v>27117738</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200550814</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164451667</v>
      </c>
      <c r="D51" s="276"/>
      <c r="E51" s="276"/>
      <c r="F51" s="308"/>
      <c r="G51" s="278" t="s">
        <v>2420</v>
      </c>
    </row>
    <row r="52" spans="1:7" s="252" customFormat="1" ht="16.5" thickBot="1">
      <c r="A52" s="309" t="s">
        <v>2421</v>
      </c>
      <c r="B52" s="310"/>
      <c r="C52" s="311">
        <f ca="1">C31+C51</f>
        <v>184623540</v>
      </c>
      <c r="D52" s="310"/>
      <c r="E52" s="310"/>
      <c r="F52" s="310"/>
      <c r="G52" s="312"/>
    </row>
    <row r="55" spans="1:7" ht="15">
      <c r="B55" s="314" t="s">
        <v>2422</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6" t="s">
        <v>2460</v>
      </c>
      <c r="D5" s="2556" t="s">
        <v>2461</v>
      </c>
      <c r="E5" s="2556" t="s">
        <v>2462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35720.530000000006</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35720.530000000006</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8"/>
      <c r="H18" s="1577"/>
      <c r="I18" s="255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714</v>
      </c>
      <c r="D20" s="1033">
        <f ca="1">IF(C1="",'数据-汇总表'!E6,IF(INDIRECT("'数据-取费表'!c"&amp;$K$1)="住宅",INDIRECT("'数据-取费表'!s"&amp;$K$1),INDIRECT("'数据-取费表'!k"&amp;$K$1)+INDIRECT("'数据-取费表'!s"&amp;$K$1)))</f>
        <v>35720.530000000006</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2504</v>
      </c>
      <c r="B28" s="2561" t="s">
        <v>2505</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2"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29" sqref="E29:E3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2799</v>
      </c>
      <c r="B1" s="241"/>
      <c r="C1" s="245" t="s">
        <v>2800</v>
      </c>
      <c r="D1" s="388">
        <f>SUM(D29:D30,D33:D39)</f>
        <v>34365.160000000003</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66177</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Ⅱ—03</v>
      </c>
      <c r="J2" s="2727"/>
      <c r="K2" s="1370"/>
      <c r="L2" s="2728" t="s">
        <v>2812</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55152</v>
      </c>
      <c r="U2" s="1603"/>
      <c r="V2" s="1602">
        <f ca="1">ROUND(T2*U2/10000,0)</f>
        <v>0</v>
      </c>
      <c r="W2" s="1606"/>
      <c r="X2" s="1606"/>
      <c r="Y2" s="1606"/>
      <c r="Z2" s="1606"/>
      <c r="AA2" s="1606"/>
      <c r="AB2" s="1606"/>
      <c r="AC2" s="1607"/>
      <c r="AD2" s="1608"/>
      <c r="AE2" s="1608"/>
      <c r="AF2" s="1608"/>
      <c r="AG2" s="1608"/>
      <c r="AH2" s="1608"/>
      <c r="AI2" s="1608"/>
      <c r="AJ2" s="1609"/>
    </row>
    <row r="3" spans="1:36" ht="25.5">
      <c r="A3" s="247" t="s">
        <v>2813</v>
      </c>
      <c r="B3" s="248">
        <f ca="1">ROUND(B2*10000/D1,0)</f>
        <v>19257</v>
      </c>
      <c r="C3" s="2723" t="s">
        <v>2814</v>
      </c>
      <c r="D3" s="2724" t="s">
        <v>2815</v>
      </c>
      <c r="E3" s="2729" t="s">
        <v>3109</v>
      </c>
      <c r="F3" s="2730" t="s">
        <v>3201</v>
      </c>
      <c r="G3" s="916">
        <f>IF(F3="宗地容积率",'数据-汇总表'!I4,IF(F3="估价对象容积率",'数据-汇总表'!I6,'数据-汇总表'!I7))</f>
        <v>9.61</v>
      </c>
      <c r="H3" s="198" t="s">
        <v>2816</v>
      </c>
      <c r="I3" s="944"/>
      <c r="J3" s="2727" t="s">
        <v>2817</v>
      </c>
      <c r="K3" s="1370"/>
      <c r="L3" s="272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40442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2"/>
      <c r="B4" s="3173"/>
      <c r="C4" s="3173"/>
      <c r="D4" s="3174"/>
      <c r="E4" s="3174"/>
      <c r="F4" s="3174"/>
      <c r="G4" s="3174"/>
      <c r="H4" s="3174"/>
      <c r="I4" s="3174"/>
      <c r="J4" s="3175"/>
      <c r="K4" s="1370"/>
      <c r="L4" s="272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33025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2820</v>
      </c>
      <c r="C5" s="917">
        <f>ROUND(IF(E2="商业",C6*C7+C16,(IF(E2="住宅",C6*C12+C16,C6+C16))),0)</f>
        <v>23160</v>
      </c>
      <c r="D5" s="1787">
        <f>ROUND(IF(F17="增加",C6+C16,C6-C16),0)</f>
        <v>23200</v>
      </c>
      <c r="E5" s="1787"/>
      <c r="F5" s="2733"/>
      <c r="G5" s="2734"/>
      <c r="H5" s="2734"/>
      <c r="I5" s="2734"/>
      <c r="J5" s="2735"/>
      <c r="K5" s="2736"/>
      <c r="L5" s="272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27408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2822</v>
      </c>
      <c r="B6" s="2742" t="s">
        <v>2823</v>
      </c>
      <c r="C6" s="918">
        <f>SUMIF(L1:L12,G2,M1:M12)</f>
        <v>23180</v>
      </c>
      <c r="D6" s="2743" t="s">
        <v>2824</v>
      </c>
      <c r="E6" s="2744"/>
      <c r="F6" s="2744"/>
      <c r="G6" s="2745"/>
      <c r="H6" s="2745"/>
      <c r="I6" s="2745"/>
      <c r="J6" s="2746"/>
      <c r="K6" s="1842"/>
      <c r="L6" s="2728"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23975</v>
      </c>
      <c r="U6" s="1603"/>
      <c r="V6" s="1602">
        <f t="shared" ca="1" si="1"/>
        <v>0</v>
      </c>
      <c r="W6" s="1606"/>
      <c r="X6" s="1606"/>
      <c r="Y6" s="1606"/>
      <c r="Z6" s="1606"/>
      <c r="AA6" s="1606"/>
      <c r="AB6" s="1606"/>
      <c r="AC6" s="2737"/>
      <c r="AD6" s="2738"/>
      <c r="AE6" s="2738"/>
      <c r="AF6" s="2738"/>
      <c r="AG6" s="2738"/>
      <c r="AH6" s="2738"/>
      <c r="AI6" s="2738"/>
      <c r="AJ6" s="2739"/>
    </row>
    <row r="7" spans="1:36" ht="24">
      <c r="A7" s="3176" t="str">
        <f>IF(E2="商业",IF(C8="不临58条商业街","",2),"")</f>
        <v/>
      </c>
      <c r="B7" s="2747" t="s">
        <v>2826</v>
      </c>
      <c r="C7" s="919">
        <f>IF(C8="不临58条商业街",1,ROUND(1+(1.6*E8+1.2*E9+0.8*E10+0.4*E11)*C9,4))</f>
        <v>1</v>
      </c>
      <c r="D7" s="2748" t="s">
        <v>2827</v>
      </c>
      <c r="E7" s="945"/>
      <c r="F7" s="2749"/>
      <c r="G7" s="2750"/>
      <c r="H7" s="2750"/>
      <c r="I7" s="2750"/>
      <c r="J7" s="2751"/>
      <c r="K7" s="1842"/>
      <c r="L7" s="272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21671</v>
      </c>
      <c r="U7" s="1603"/>
      <c r="V7" s="1602">
        <f t="shared" ca="1" si="1"/>
        <v>0</v>
      </c>
      <c r="W7" s="1816" t="s">
        <v>2829</v>
      </c>
      <c r="X7" s="1604" t="str">
        <f>G2</f>
        <v>二级</v>
      </c>
      <c r="Y7" s="1604" t="s">
        <v>2830</v>
      </c>
      <c r="Z7" s="1605">
        <f>G3</f>
        <v>9.61</v>
      </c>
      <c r="AA7" s="1606"/>
      <c r="AB7" s="1606"/>
      <c r="AC7" s="1607"/>
      <c r="AD7" s="1608"/>
      <c r="AE7" s="1608"/>
      <c r="AF7" s="1608"/>
      <c r="AG7" s="1608"/>
      <c r="AH7" s="1608"/>
      <c r="AI7" s="1608"/>
      <c r="AJ7" s="1609"/>
    </row>
    <row r="8" spans="1:36" ht="25.5">
      <c r="A8" s="3177"/>
      <c r="B8" s="198" t="s">
        <v>2831</v>
      </c>
      <c r="C8" s="2752" t="s">
        <v>3110</v>
      </c>
      <c r="D8" s="920" t="s">
        <v>139</v>
      </c>
      <c r="E8" s="921" t="e">
        <f>ROUND(C11/E7,4)</f>
        <v>#DIV/0!</v>
      </c>
      <c r="F8" s="2753" t="s">
        <v>2832</v>
      </c>
      <c r="G8" s="2754"/>
      <c r="H8" s="2754"/>
      <c r="I8" s="2754"/>
      <c r="J8" s="2755"/>
      <c r="K8" s="1370"/>
      <c r="L8" s="272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9" t="s">
        <v>2834</v>
      </c>
      <c r="X8" s="3170"/>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177"/>
      <c r="B9" s="198" t="s">
        <v>2847</v>
      </c>
      <c r="C9" s="922">
        <f>SUMIF(修正!C59:C119,C8,修正!E59:E119)</f>
        <v>0</v>
      </c>
      <c r="D9" s="200" t="s">
        <v>140</v>
      </c>
      <c r="E9" s="200" t="e">
        <f>ROUND(C11/E7,4)</f>
        <v>#DIV/0!</v>
      </c>
      <c r="F9" s="2753" t="s">
        <v>2848</v>
      </c>
      <c r="G9" s="2754"/>
      <c r="H9" s="2754"/>
      <c r="I9" s="2754"/>
      <c r="J9" s="2755"/>
      <c r="K9" s="1370"/>
      <c r="L9" s="272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1"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7"/>
      <c r="B10" s="198" t="s">
        <v>2852</v>
      </c>
      <c r="C10" s="200">
        <f>SUMIF(修正!C59:C119,C8,修正!F59:F119)</f>
        <v>0</v>
      </c>
      <c r="D10" s="200" t="s">
        <v>141</v>
      </c>
      <c r="E10" s="200" t="e">
        <f>ROUND(C11/E7,4)</f>
        <v>#DIV/0!</v>
      </c>
      <c r="F10" s="2753" t="s">
        <v>2853</v>
      </c>
      <c r="G10" s="2754"/>
      <c r="H10" s="2754"/>
      <c r="I10" s="2754"/>
      <c r="J10" s="2755"/>
      <c r="K10" s="1370"/>
      <c r="L10" s="2728"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7"/>
      <c r="B11" s="2756" t="s">
        <v>2855</v>
      </c>
      <c r="C11" s="923">
        <f>C10/4</f>
        <v>0</v>
      </c>
      <c r="D11" s="923" t="s">
        <v>142</v>
      </c>
      <c r="E11" s="923" t="e">
        <f>ROUND(C11/E7,4)</f>
        <v>#DIV/0!</v>
      </c>
      <c r="F11" s="2757" t="s">
        <v>2856</v>
      </c>
      <c r="G11" s="2758"/>
      <c r="H11" s="2758"/>
      <c r="I11" s="2758"/>
      <c r="J11" s="2759"/>
      <c r="K11" s="1370"/>
      <c r="L11" s="272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1" t="s">
        <v>2858</v>
      </c>
      <c r="X11" s="1614" t="s">
        <v>2859</v>
      </c>
      <c r="Y11" s="1615">
        <f>$G$3</f>
        <v>9.61</v>
      </c>
      <c r="Z11" s="1615">
        <f t="shared" ref="Z11:AJ11" si="3">$G$3</f>
        <v>9.61</v>
      </c>
      <c r="AA11" s="1615">
        <f t="shared" si="3"/>
        <v>9.61</v>
      </c>
      <c r="AB11" s="1615">
        <f t="shared" si="3"/>
        <v>9.61</v>
      </c>
      <c r="AC11" s="1615">
        <f t="shared" si="3"/>
        <v>9.61</v>
      </c>
      <c r="AD11" s="1615">
        <f t="shared" si="3"/>
        <v>9.61</v>
      </c>
      <c r="AE11" s="1615">
        <f t="shared" si="3"/>
        <v>9.61</v>
      </c>
      <c r="AF11" s="1615">
        <f t="shared" si="3"/>
        <v>9.61</v>
      </c>
      <c r="AG11" s="1615">
        <f t="shared" si="3"/>
        <v>9.61</v>
      </c>
      <c r="AH11" s="1615">
        <f t="shared" si="3"/>
        <v>9.61</v>
      </c>
      <c r="AI11" s="1615">
        <f t="shared" si="3"/>
        <v>9.61</v>
      </c>
      <c r="AJ11" s="1615">
        <f t="shared" si="3"/>
        <v>9.61</v>
      </c>
    </row>
    <row r="12" spans="1:36" ht="25.5" thickBot="1">
      <c r="A12" s="3176" t="s">
        <v>2860</v>
      </c>
      <c r="B12" s="2760" t="s">
        <v>2861</v>
      </c>
      <c r="C12" s="919">
        <f>ROUND(C15*D15*E15*F15*G15*H15*I15*J15,4)</f>
        <v>1</v>
      </c>
      <c r="D12" s="2761" t="s">
        <v>2862</v>
      </c>
      <c r="E12" s="2762"/>
      <c r="F12" s="2762"/>
      <c r="G12" s="2763"/>
      <c r="H12" s="2763"/>
      <c r="I12" s="2763"/>
      <c r="J12" s="2764"/>
      <c r="K12" s="1370"/>
      <c r="L12" s="276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1"/>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8"/>
      <c r="B13" s="2766" t="s">
        <v>2865</v>
      </c>
      <c r="C13" s="2767" t="s">
        <v>2866</v>
      </c>
      <c r="D13" s="1808" t="s">
        <v>2867</v>
      </c>
      <c r="E13" s="1808" t="s">
        <v>2868</v>
      </c>
      <c r="F13" s="30" t="s">
        <v>2869</v>
      </c>
      <c r="G13" s="2768" t="s">
        <v>2870</v>
      </c>
      <c r="H13" s="2768" t="s">
        <v>2870</v>
      </c>
      <c r="I13" s="2768" t="s">
        <v>2870</v>
      </c>
      <c r="J13" s="2769" t="s">
        <v>2870</v>
      </c>
      <c r="K13" s="1370"/>
      <c r="L13" s="1370"/>
      <c r="M13" s="1370"/>
      <c r="N13" s="1370"/>
      <c r="O13" s="1370"/>
      <c r="P13" s="1370"/>
      <c r="Q13" s="1370"/>
      <c r="R13" s="1602">
        <v>12</v>
      </c>
      <c r="S13" s="1603"/>
      <c r="T13" s="1602">
        <f t="shared" ca="1" si="0"/>
        <v>0</v>
      </c>
      <c r="U13" s="1603"/>
      <c r="V13" s="1602">
        <f t="shared" ca="1" si="1"/>
        <v>0</v>
      </c>
      <c r="W13" s="3171"/>
      <c r="X13" s="1616"/>
      <c r="Y13" s="1613">
        <f>(-0.163*(Y12^2)-0.59*Y12+7617)*(10^(-4))/Y11</f>
        <v>7.9261186264308017E-2</v>
      </c>
      <c r="Z13" s="1613">
        <f t="shared" ref="Z13:AJ13" si="5">(-0.163*(Z12^2)-0.59*Z12+7617)*(10^(-4))/Z11</f>
        <v>7.9261186264308017E-2</v>
      </c>
      <c r="AA13" s="1613">
        <f t="shared" si="5"/>
        <v>7.9261186264308017E-2</v>
      </c>
      <c r="AB13" s="1613">
        <f t="shared" si="5"/>
        <v>7.9261186264308017E-2</v>
      </c>
      <c r="AC13" s="1613">
        <f t="shared" si="5"/>
        <v>7.9261186264308017E-2</v>
      </c>
      <c r="AD13" s="1613">
        <f t="shared" si="5"/>
        <v>7.9261186264308017E-2</v>
      </c>
      <c r="AE13" s="1613">
        <f t="shared" si="5"/>
        <v>7.9261186264308017E-2</v>
      </c>
      <c r="AF13" s="1613">
        <f t="shared" si="5"/>
        <v>7.9261186264308017E-2</v>
      </c>
      <c r="AG13" s="1613">
        <f t="shared" si="5"/>
        <v>7.9261186264308017E-2</v>
      </c>
      <c r="AH13" s="1613">
        <f t="shared" si="5"/>
        <v>7.9261186264308017E-2</v>
      </c>
      <c r="AI13" s="1613">
        <f t="shared" si="5"/>
        <v>7.9261186264308017E-2</v>
      </c>
      <c r="AJ13" s="1613">
        <f t="shared" si="5"/>
        <v>7.9261186264308017E-2</v>
      </c>
    </row>
    <row r="14" spans="1:36" ht="15">
      <c r="A14" s="3178"/>
      <c r="B14" s="2770"/>
      <c r="C14" s="2771"/>
      <c r="D14" s="2772"/>
      <c r="E14" s="2772"/>
      <c r="F14" s="2773"/>
      <c r="G14" s="2774" t="s">
        <v>2871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9"/>
      <c r="B15" s="277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6" t="s">
        <v>2877</v>
      </c>
      <c r="B16" s="2747" t="s">
        <v>2878</v>
      </c>
      <c r="C16" s="2937">
        <f>ROUND(IF(F17="与级别开发程度一致",0,(G17-E17)/C17),0)</f>
        <v>-20</v>
      </c>
      <c r="D16" s="3190" t="s">
        <v>2882</v>
      </c>
      <c r="E16" s="3191"/>
      <c r="F16" s="3190" t="s">
        <v>2879</v>
      </c>
      <c r="G16" s="3191"/>
      <c r="H16" s="2781" t="s">
        <v>3062</v>
      </c>
      <c r="I16" s="2781" t="s">
        <v>3063</v>
      </c>
      <c r="J16" s="2941" t="s">
        <v>3064</v>
      </c>
      <c r="K16" s="2781" t="s">
        <v>3065</v>
      </c>
      <c r="L16" s="2781" t="s">
        <v>3066</v>
      </c>
      <c r="M16" s="2781" t="s">
        <v>3067</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80"/>
      <c r="B17" s="2948" t="s">
        <v>2881</v>
      </c>
      <c r="C17" s="2949">
        <f>SUMPRODUCT((修正!A2:A5=E2)*(修正!B1:M1=G2)*(修正!B2:M5))</f>
        <v>3.5</v>
      </c>
      <c r="D17" s="229" t="str">
        <f>IF(OR(G2="八级",G2="九级",G2="十级",G2="十一级",G2="十二级"),"五通一平","七通一平")</f>
        <v>七通一平</v>
      </c>
      <c r="E17" s="2938">
        <f>SUMPRODUCT((修正!B1:M1=G2)*(修正!B15:M15))</f>
        <v>375</v>
      </c>
      <c r="F17" s="2939" t="s">
        <v>3111</v>
      </c>
      <c r="G17" s="2940">
        <f>SUM(H17:O17)</f>
        <v>305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60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2884</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2885</v>
      </c>
      <c r="C19" s="924">
        <f>ROUND(IF(H19="按公示增长率计算",SUMPRODUCT((地价!A3:A26=YEAR(G19)&amp;"-"&amp;ROUNDUP(MONTH(G19)/3,0))*(地价!X2:AB2=E2)*(地价!X3:AB26)),IF(H19="地价指数",M20/M19,(1+I19)^O19)),4)</f>
        <v>1.3423</v>
      </c>
      <c r="D19" s="2791" t="s">
        <v>2886</v>
      </c>
      <c r="E19" s="925">
        <v>41640</v>
      </c>
      <c r="F19" s="2791" t="s">
        <v>2887</v>
      </c>
      <c r="G19" s="926">
        <f>'数据-取费表'!B2</f>
        <v>43598</v>
      </c>
      <c r="H19" s="2792" t="s">
        <v>3113</v>
      </c>
      <c r="I19" s="927" t="str">
        <f>IF(H19="季度增幅（自定义）",SUMIF(N21:N24,E2,O21:O24),"")</f>
        <v/>
      </c>
      <c r="J19" s="2789"/>
      <c r="K19" s="1377"/>
      <c r="L19" s="2793" t="s">
        <v>2888</v>
      </c>
      <c r="M19" s="1734">
        <f>ROUND(SUMIF(地价!B2:F2,E2,地价!B26:F26),0)</f>
        <v>258</v>
      </c>
      <c r="N19" s="2794"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2890</v>
      </c>
      <c r="C20" s="929">
        <f ca="1">ROUND(POWER(1+G20,J20-I20)*(POWER(1+G20,I20)-1)/(POWER(1+G20,J20)-1),4)</f>
        <v>0.87180000000000002</v>
      </c>
      <c r="D20" s="2800" t="s">
        <v>2891</v>
      </c>
      <c r="E20" s="1768">
        <f ca="1">存贷款利率!D4/100</f>
        <v>4.3499999999999997E-2</v>
      </c>
      <c r="F20" s="2800" t="s">
        <v>2883</v>
      </c>
      <c r="G20" s="934">
        <f ca="1">SUMIF(M26:P26,E2,M28:P28)</f>
        <v>5.1999999999999998E-2</v>
      </c>
      <c r="H20" s="2800" t="s">
        <v>2892</v>
      </c>
      <c r="I20" s="935">
        <f>SUMIF('数据-取费表'!C6:C15,E2,'数据-取费表'!F6:F15)/COUNTIF('数据-取费表'!C6:C15,E2)</f>
        <v>32.01</v>
      </c>
      <c r="J20" s="936">
        <f>IF(E2="住宅",70,IF(E2="商业",40,50))</f>
        <v>50</v>
      </c>
      <c r="K20" s="1377"/>
      <c r="L20" s="2801" t="s">
        <v>2893</v>
      </c>
      <c r="M20" s="1735">
        <f>ROUND(SUMPRODUCT((地价!A4:A26=YEAR(G19)&amp;"-"&amp;ROUNDUP(MONTH(G19)/3,0))*(地价!B2:F2=E2)*(地价!B4:F26)),0)</f>
        <v>346</v>
      </c>
      <c r="N20" s="2802" t="s">
        <v>2894</v>
      </c>
      <c r="O20" s="2803" t="s">
        <v>2895</v>
      </c>
      <c r="P20" s="2804" t="s">
        <v>2896</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3112</v>
      </c>
      <c r="C21" s="937">
        <f>IF(B21="容积率修正",IF(G3&lt;=10,D22,J22),C23)</f>
        <v>0.8337</v>
      </c>
      <c r="D21" s="2807"/>
      <c r="E21" s="2807"/>
      <c r="F21" s="2807"/>
      <c r="G21" s="2807"/>
      <c r="H21" s="2807"/>
      <c r="I21" s="2807"/>
      <c r="J21" s="2808"/>
      <c r="K21" s="1377"/>
      <c r="N21" s="2809"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2898</v>
      </c>
      <c r="B22" s="2810" t="s">
        <v>2899</v>
      </c>
      <c r="C22" s="1810" t="s">
        <v>2900</v>
      </c>
      <c r="D22" s="1810">
        <f>IF(E22=G22,F22,IF(G3&lt;=10,ROUND(F22+(H22-F22)*(G3-E22)/(G22-E22),4),"——"))</f>
        <v>0.8337</v>
      </c>
      <c r="E22" s="916">
        <f>ROUNDDOWN(G3,1)</f>
        <v>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916">
        <f>ROUNDUP(G3,1)</f>
        <v>9.6999999999999993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1810" t="s">
        <v>155</v>
      </c>
      <c r="J22" s="938" t="str">
        <f>IF(G3&gt;10,D113,"——")</f>
        <v>——</v>
      </c>
      <c r="K22" s="1377"/>
      <c r="N22" s="2809"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2902</v>
      </c>
      <c r="B23" s="2811" t="s">
        <v>2903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2905</v>
      </c>
      <c r="C24" s="924">
        <f>SUMIF(A45:A88,E2,B45:B88)</f>
        <v>1.0509999999999999</v>
      </c>
      <c r="D24" s="2788"/>
      <c r="E24" s="2817"/>
      <c r="F24" s="2817"/>
      <c r="G24" s="2817"/>
      <c r="H24" s="2817"/>
      <c r="I24" s="2817"/>
      <c r="J24" s="2818"/>
      <c r="K24" s="1377"/>
      <c r="N24" s="2819"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2907</v>
      </c>
      <c r="C25" s="930"/>
      <c r="D25" s="2750"/>
      <c r="E25" s="2750"/>
      <c r="F25" s="2821"/>
      <c r="G25" s="2750"/>
      <c r="H25" s="2750"/>
      <c r="I25" s="2750"/>
      <c r="J25" s="2751"/>
      <c r="K25" s="1370"/>
      <c r="N25" s="2822"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2909</v>
      </c>
      <c r="C26" s="206">
        <f ca="1">E29+SUM(E33:E39)</f>
        <v>66177</v>
      </c>
      <c r="D26" s="2824"/>
      <c r="E26" s="2775"/>
      <c r="F26" s="2825"/>
      <c r="G26" s="2775"/>
      <c r="H26" s="2775"/>
      <c r="I26" s="2775"/>
      <c r="J26" s="2826"/>
      <c r="K26" s="1370"/>
      <c r="L26" s="2779" t="s">
        <v>2809</v>
      </c>
      <c r="M26" s="920" t="s">
        <v>2873</v>
      </c>
      <c r="N26" s="920" t="s">
        <v>2874</v>
      </c>
      <c r="O26" s="920" t="s">
        <v>2875</v>
      </c>
      <c r="P26" s="2780" t="s">
        <v>2876</v>
      </c>
      <c r="R26" s="1376"/>
      <c r="S26" s="1376"/>
      <c r="T26" s="1371"/>
      <c r="U26" s="1371"/>
      <c r="V26" s="1371"/>
      <c r="W26" s="1370"/>
      <c r="X26" s="1370"/>
      <c r="Y26" s="1370"/>
      <c r="Z26" s="1377"/>
      <c r="AA26" s="1378"/>
      <c r="AB26" s="1378"/>
      <c r="AC26" s="1378"/>
      <c r="AD26" s="1378"/>
    </row>
    <row r="27" spans="1:37" ht="15.75" thickBot="1">
      <c r="A27" s="2823"/>
      <c r="B27" s="2827" t="s">
        <v>2910</v>
      </c>
      <c r="C27" s="931">
        <f ca="1">E30+SUM(I33:I39)</f>
        <v>1782</v>
      </c>
      <c r="D27" s="2828"/>
      <c r="E27" s="2829"/>
      <c r="F27" s="2830"/>
      <c r="G27" s="2829"/>
      <c r="H27" s="2829"/>
      <c r="I27" s="2829"/>
      <c r="J27" s="2831"/>
      <c r="K27" s="1370"/>
      <c r="L27" s="278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2911</v>
      </c>
      <c r="C28" s="2834" t="s">
        <v>2912</v>
      </c>
      <c r="D28" s="2834" t="s">
        <v>2913</v>
      </c>
      <c r="E28" s="2835" t="s">
        <v>2914</v>
      </c>
      <c r="F28" s="2836"/>
      <c r="G28" s="2763"/>
      <c r="H28" s="2763"/>
      <c r="I28" s="2763"/>
      <c r="J28" s="2764"/>
      <c r="K28" s="1370"/>
      <c r="L28" s="278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2915</v>
      </c>
      <c r="C29" s="206">
        <f ca="1">ROUND(C5*C18*C19*C20*C21*C24,0)</f>
        <v>23747</v>
      </c>
      <c r="D29" s="2839">
        <f>'数据-汇总表'!F19</f>
        <v>24865.040000000005</v>
      </c>
      <c r="E29" s="942">
        <f ca="1">ROUND(C29*D29/10000,0)</f>
        <v>59047</v>
      </c>
      <c r="F29" s="2840" t="s">
        <v>2916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2917</v>
      </c>
      <c r="C30" s="229">
        <f ca="1">ROUND(IF(E2="工业",C29*M39,C29*M38),0)</f>
        <v>5937</v>
      </c>
      <c r="D30" s="2845"/>
      <c r="E30" s="942">
        <f ca="1">ROUND(C30*D30/10000,0)</f>
        <v>0</v>
      </c>
      <c r="F30" s="2846" t="s">
        <v>2918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2919</v>
      </c>
      <c r="C31" s="2851" t="s">
        <v>2920</v>
      </c>
      <c r="D31" s="2763"/>
      <c r="E31" s="2851"/>
      <c r="F31" s="2851"/>
      <c r="G31" s="2761" t="s">
        <v>2921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2912</v>
      </c>
      <c r="D32" s="498" t="s">
        <v>2913</v>
      </c>
      <c r="E32" s="498" t="s">
        <v>2914</v>
      </c>
      <c r="F32" s="388" t="s">
        <v>2922</v>
      </c>
      <c r="G32" s="2854" t="s">
        <v>2912</v>
      </c>
      <c r="H32" s="2854" t="s">
        <v>2913</v>
      </c>
      <c r="I32" s="285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87" t="s">
        <v>2923</v>
      </c>
      <c r="B33" s="2855" t="s">
        <v>2924</v>
      </c>
      <c r="C33" s="206">
        <f ca="1">ROUND(D5*C19*C20*C24*F33,0)</f>
        <v>22827</v>
      </c>
      <c r="D33" s="2839"/>
      <c r="E33" s="200">
        <f ca="1">ROUND(C33*D33/10000,0)</f>
        <v>0</v>
      </c>
      <c r="F33" s="200">
        <f>SUMIF(修正!A45:A56,G2,修正!B45:B56)</f>
        <v>0.8</v>
      </c>
      <c r="G33" s="200">
        <f t="shared" ref="G33" ca="1" si="6">ROUND(IF(E2="工业",C33*$M$39,C33*$M$38),0)</f>
        <v>5707</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8"/>
      <c r="B34" s="2767" t="s">
        <v>2925</v>
      </c>
      <c r="C34" s="206">
        <f ca="1">ROUND(D5*C19*C20*C24*F34,0)</f>
        <v>14267</v>
      </c>
      <c r="D34" s="2839"/>
      <c r="E34" s="200">
        <f t="shared" ref="E34:E39" ca="1" si="7">ROUND(C34*D34/10000,0)</f>
        <v>0</v>
      </c>
      <c r="F34" s="200">
        <f>SUMIF(修正!A45:A56,G2,修正!C45:C56)</f>
        <v>0.5</v>
      </c>
      <c r="G34" s="200">
        <f ca="1">ROUND(IF(E2="工业",C34*$M$39,C34*$M$38),0)</f>
        <v>3567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8"/>
      <c r="B35" s="2767" t="s">
        <v>2926</v>
      </c>
      <c r="C35" s="206">
        <f ca="1">ROUND(D5*C19*C20*C24*F35,0)</f>
        <v>10272</v>
      </c>
      <c r="D35" s="2839"/>
      <c r="E35" s="200">
        <f t="shared" ca="1" si="7"/>
        <v>0</v>
      </c>
      <c r="F35" s="200">
        <f>SUMIF(修正!A45:A56,G2,修正!D45:D56)</f>
        <v>0.36</v>
      </c>
      <c r="G35" s="200">
        <f ca="1">ROUND(IF(E2="工业",C35*$M$39,C35*$M$38),0)</f>
        <v>2568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89"/>
      <c r="B36" s="2767" t="s">
        <v>2927</v>
      </c>
      <c r="C36" s="206">
        <f ca="1">ROUND(D5*C19*C20*C24*F36,0)</f>
        <v>8560</v>
      </c>
      <c r="D36" s="2839"/>
      <c r="E36" s="200">
        <f t="shared" ca="1" si="7"/>
        <v>0</v>
      </c>
      <c r="F36" s="200">
        <f>SUMIF(修正!A45:A56,G2,修正!E45:E56)</f>
        <v>0.3</v>
      </c>
      <c r="G36" s="200">
        <f ca="1">ROUND(IF(E2="工业",C36*$M$39,C36*$M$38),0)</f>
        <v>2140</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2928</v>
      </c>
      <c r="C37" s="200">
        <f ca="1">ROUND(D5*C19*C20*C24*F37,0)</f>
        <v>8560</v>
      </c>
      <c r="D37" s="2839">
        <v>2476.71</v>
      </c>
      <c r="E37" s="200">
        <f t="shared" ca="1" si="7"/>
        <v>2120</v>
      </c>
      <c r="F37" s="206">
        <f>SUMIF(修正!A45:A56,G2,修正!F45:F56)</f>
        <v>0.3</v>
      </c>
      <c r="G37" s="200">
        <f ca="1">ROUND(IF(E2="工业",C37*$M$39,C37*$M$38),0)</f>
        <v>2140</v>
      </c>
      <c r="H37" s="200">
        <f t="shared" si="8"/>
        <v>2476.71</v>
      </c>
      <c r="I37" s="200">
        <f t="shared" ca="1" si="9"/>
        <v>530</v>
      </c>
      <c r="J37" s="2856"/>
      <c r="K37" s="1370"/>
      <c r="L37" s="2858" t="s">
        <v>2929</v>
      </c>
      <c r="M37" s="2859"/>
      <c r="N37" s="1370"/>
      <c r="O37" s="1370"/>
      <c r="P37" s="1370"/>
      <c r="Q37" s="1370"/>
      <c r="R37" s="1370"/>
      <c r="S37" s="1370"/>
      <c r="T37" s="1370"/>
      <c r="U37" s="1370"/>
      <c r="V37" s="1370"/>
      <c r="W37" s="1370"/>
      <c r="X37" s="1370"/>
      <c r="Y37" s="1370"/>
      <c r="Z37" s="1371"/>
    </row>
    <row r="38" spans="1:37">
      <c r="A38" s="2857"/>
      <c r="B38" s="2767" t="s">
        <v>2930</v>
      </c>
      <c r="C38" s="200">
        <f ca="1">ROUND(D5*C19*C41*C24*F38,0)</f>
        <v>8560</v>
      </c>
      <c r="D38" s="2839"/>
      <c r="E38" s="200">
        <f t="shared" ca="1" si="7"/>
        <v>0</v>
      </c>
      <c r="F38" s="206">
        <f>SUMIF(修正!A45:A56,G2,修正!G45:G56)</f>
        <v>0.3</v>
      </c>
      <c r="G38" s="200">
        <f ca="1">ROUND(IF(E2="工业",C38*$M$39,C38*$M$38),0)</f>
        <v>2140</v>
      </c>
      <c r="H38" s="200">
        <f t="shared" si="8"/>
        <v>0</v>
      </c>
      <c r="I38" s="200">
        <f t="shared" ca="1" si="9"/>
        <v>0</v>
      </c>
      <c r="J38" s="2856"/>
      <c r="K38" s="1370"/>
      <c r="L38" s="1887" t="s">
        <v>2931</v>
      </c>
      <c r="M38" s="2860">
        <v>0.25</v>
      </c>
      <c r="N38" s="1370"/>
      <c r="O38" s="1370"/>
      <c r="P38" s="1370"/>
      <c r="Q38" s="1370"/>
      <c r="R38" s="1370"/>
      <c r="S38" s="1370"/>
      <c r="T38" s="1370"/>
      <c r="U38" s="1370"/>
      <c r="V38" s="1370"/>
      <c r="W38" s="1370"/>
      <c r="X38" s="1370"/>
      <c r="Y38" s="1370"/>
      <c r="Z38" s="1371"/>
    </row>
    <row r="39" spans="1:37" ht="13.5" thickBot="1">
      <c r="A39" s="2843"/>
      <c r="B39" s="2861" t="s">
        <v>2932</v>
      </c>
      <c r="C39" s="229">
        <f ca="1">ROUND(D5*C19*C41*C24*F39,0)</f>
        <v>7133</v>
      </c>
      <c r="D39" s="2845">
        <v>7023.41</v>
      </c>
      <c r="E39" s="229">
        <f t="shared" ca="1" si="7"/>
        <v>5010</v>
      </c>
      <c r="F39" s="932">
        <f>SUMIF(修正!A45:A56,G2,修正!H45:H56)</f>
        <v>0.25</v>
      </c>
      <c r="G39" s="229">
        <f ca="1">ROUND(IF(E2="工业",C39*$M$39,C39*$M$38),0)</f>
        <v>1783</v>
      </c>
      <c r="H39" s="229">
        <f t="shared" si="8"/>
        <v>7023.41</v>
      </c>
      <c r="I39" s="229">
        <f t="shared" ca="1" si="9"/>
        <v>1252</v>
      </c>
      <c r="J39" s="2862"/>
      <c r="K39" s="1370"/>
      <c r="L39" s="2863" t="s">
        <v>2876</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0.87180000000000002</v>
      </c>
      <c r="D41" s="200" t="s">
        <v>2883</v>
      </c>
      <c r="E41" s="2931">
        <f ca="1">G20</f>
        <v>5.1999999999999998E-2</v>
      </c>
      <c r="F41" s="200" t="s">
        <v>2892</v>
      </c>
      <c r="G41" s="218">
        <f>项目基本情况!G15</f>
        <v>32.01</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2935</v>
      </c>
      <c r="B47" s="1809" t="s">
        <v>2936</v>
      </c>
      <c r="C47" s="1809" t="s">
        <v>2937</v>
      </c>
      <c r="D47" s="1809" t="s">
        <v>2938</v>
      </c>
      <c r="E47" s="819" t="s">
        <v>2939</v>
      </c>
      <c r="F47" s="2873" t="s">
        <v>2940</v>
      </c>
      <c r="G47" s="1809" t="s">
        <v>754</v>
      </c>
      <c r="H47" s="2874" t="s">
        <v>2941</v>
      </c>
      <c r="I47" s="1809"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2" t="s">
        <v>2943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2946</v>
      </c>
      <c r="B51" s="2877" t="s">
        <v>2947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2949</v>
      </c>
      <c r="B53" s="2878" t="s">
        <v>2950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2951</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2954</v>
      </c>
      <c r="B57" s="2869">
        <f>1+E59</f>
        <v>1.0509999999999999</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2935</v>
      </c>
      <c r="B58" s="1809"/>
      <c r="C58" s="1809" t="s">
        <v>2937</v>
      </c>
      <c r="D58" s="1809" t="s">
        <v>2938</v>
      </c>
      <c r="E58" s="819" t="s">
        <v>2939</v>
      </c>
      <c r="F58" s="2873" t="s">
        <v>2955</v>
      </c>
      <c r="G58" s="1809" t="s">
        <v>754</v>
      </c>
      <c r="H58" s="2874" t="s">
        <v>2941</v>
      </c>
      <c r="I58" s="1809"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2" t="s">
        <v>2956</v>
      </c>
      <c r="B59" s="2875" t="str">
        <f>估价对象房地状况!C17</f>
        <v>估价对象位于XX商圈，周边办公楼项目较多，入驻率高，办公集聚程度较好</v>
      </c>
      <c r="C59" s="2772" t="s">
        <v>3114</v>
      </c>
      <c r="D59" s="1286">
        <f t="shared" ref="D59:D67" si="15">SUMIF($J$58:$N$58,C59,J59:N59)</f>
        <v>1.6E-2</v>
      </c>
      <c r="E59" s="821">
        <f>ROUND(SUM(D59:D67),4)</f>
        <v>5.0999999999999997E-2</v>
      </c>
      <c r="F59" s="2503">
        <f>IF(E2="办公",SUMIF(L1:L12,G2,N1:N12),"——")</f>
        <v>7.0999999999999994E-2</v>
      </c>
      <c r="G59" s="1284">
        <v>8.0000000000000002E-3</v>
      </c>
      <c r="H59" s="1288">
        <f t="shared" ref="H59:H67" si="16">IFERROR(ROUNDDOWN($F$59*I59/2,4),"——")</f>
        <v>8.5000000000000006E-3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51">
      <c r="A60" s="2872" t="s">
        <v>2944</v>
      </c>
      <c r="B60" s="2876" t="str">
        <f>估价对象房地状况!C18</f>
        <v>估价对象周边道路状况、公共交通通达情况、停车便捷程度，综合评价交通便捷度较好</v>
      </c>
      <c r="C60" s="2772" t="s">
        <v>3114</v>
      </c>
      <c r="D60" s="1286">
        <f t="shared" si="15"/>
        <v>0.02</v>
      </c>
      <c r="E60" s="822"/>
      <c r="F60" s="2503"/>
      <c r="G60" s="1284">
        <v>0.01</v>
      </c>
      <c r="H60" s="1288">
        <f t="shared" si="16"/>
        <v>1.06E-2</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2945</v>
      </c>
      <c r="B61" s="2876">
        <f>估价对象房地状况!C19</f>
        <v>0</v>
      </c>
      <c r="C61" s="2772" t="s">
        <v>3115</v>
      </c>
      <c r="D61" s="1286">
        <f t="shared" si="15"/>
        <v>2E-3</v>
      </c>
      <c r="E61" s="822"/>
      <c r="F61" s="2503"/>
      <c r="G61" s="1284">
        <v>2E-3</v>
      </c>
      <c r="H61" s="1288">
        <f t="shared" si="16"/>
        <v>2.8E-3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2946</v>
      </c>
      <c r="B62" s="2877" t="s">
        <v>2947</v>
      </c>
      <c r="C62" s="2772" t="s">
        <v>3115</v>
      </c>
      <c r="D62" s="1286">
        <f t="shared" si="15"/>
        <v>1E-3</v>
      </c>
      <c r="E62" s="822"/>
      <c r="F62" s="2503"/>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2948</v>
      </c>
      <c r="B63" s="2876">
        <f>估价对象房地状况!C24</f>
        <v>0</v>
      </c>
      <c r="C63" s="2772" t="s">
        <v>3116</v>
      </c>
      <c r="D63" s="1286">
        <f t="shared" si="15"/>
        <v>-1E-3</v>
      </c>
      <c r="E63" s="822"/>
      <c r="F63" s="2503"/>
      <c r="G63" s="1284">
        <v>1E-3</v>
      </c>
      <c r="H63" s="1288">
        <f t="shared" si="16"/>
        <v>1.6999999999999999E-3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2949</v>
      </c>
      <c r="B64" s="2878" t="s">
        <v>2950</v>
      </c>
      <c r="C64" s="2772" t="s">
        <v>3115</v>
      </c>
      <c r="D64" s="1286">
        <f t="shared" si="15"/>
        <v>1E-3</v>
      </c>
      <c r="E64" s="822"/>
      <c r="F64" s="2503"/>
      <c r="G64" s="1284">
        <v>1E-3</v>
      </c>
      <c r="H64" s="1288">
        <f t="shared" si="16"/>
        <v>1.6999999999999999E-3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5.5">
      <c r="A65" s="2872" t="s">
        <v>2951</v>
      </c>
      <c r="B65" s="1725" t="str">
        <f>估价对象房地状况!C21</f>
        <v>估价对象所在区域公共配套设施齐备情况</v>
      </c>
      <c r="C65" s="2772" t="s">
        <v>3115</v>
      </c>
      <c r="D65" s="1286">
        <f t="shared" si="15"/>
        <v>2E-3</v>
      </c>
      <c r="E65" s="822"/>
      <c r="F65" s="2503"/>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5.5">
      <c r="A66" s="2872" t="s">
        <v>2952</v>
      </c>
      <c r="B66" s="1725" t="str">
        <f>估价对象房地状况!C22</f>
        <v>估价对象所在区域基础设施水平</v>
      </c>
      <c r="C66" s="2772" t="s">
        <v>3114</v>
      </c>
      <c r="D66" s="1286">
        <f t="shared" si="15"/>
        <v>8.0000000000000002E-3</v>
      </c>
      <c r="E66" s="822"/>
      <c r="F66" s="2503"/>
      <c r="G66" s="1284">
        <v>4.0000000000000001E-3</v>
      </c>
      <c r="H66" s="1288">
        <f t="shared" si="16"/>
        <v>4.1999999999999997E-3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39" thickBot="1">
      <c r="A67" s="2880" t="s">
        <v>2953</v>
      </c>
      <c r="B67" s="2882" t="str">
        <f>估价对象房地状况!C20</f>
        <v>区域自然环境：；人文环境；综合评价环境状况一般</v>
      </c>
      <c r="C67" s="2772" t="s">
        <v>3115</v>
      </c>
      <c r="D67" s="1286">
        <f t="shared" si="15"/>
        <v>2E-3</v>
      </c>
      <c r="E67" s="825"/>
      <c r="F67" s="2503"/>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2935</v>
      </c>
      <c r="B69" s="1809"/>
      <c r="C69" s="1809" t="s">
        <v>2937</v>
      </c>
      <c r="D69" s="1809" t="s">
        <v>2938</v>
      </c>
      <c r="E69" s="819" t="s">
        <v>2939</v>
      </c>
      <c r="F69" s="2873" t="s">
        <v>2955</v>
      </c>
      <c r="G69" s="1809" t="s">
        <v>754</v>
      </c>
      <c r="H69" s="2874" t="s">
        <v>2941</v>
      </c>
      <c r="I69" s="1809"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2" t="s">
        <v>2958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2951</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2952</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2949</v>
      </c>
      <c r="B76" s="2878" t="s">
        <v>2950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2961</v>
      </c>
      <c r="B79" s="2869">
        <f>1+E81</f>
        <v>1</v>
      </c>
      <c r="C79" s="814"/>
      <c r="D79" s="814"/>
      <c r="E79" s="815"/>
      <c r="F79" s="2871"/>
      <c r="G79" s="6"/>
      <c r="H79" s="6"/>
      <c r="I79" s="6"/>
      <c r="J79" s="7"/>
      <c r="K79" s="7"/>
      <c r="L79" s="7"/>
      <c r="M79" s="7"/>
      <c r="N79" s="7"/>
      <c r="Z79" s="2722"/>
      <c r="AA79" s="2790"/>
      <c r="AG79" s="1372"/>
      <c r="AK79" s="2790"/>
    </row>
    <row r="80" spans="1:37" ht="24.75">
      <c r="A80" s="2872" t="s">
        <v>2935</v>
      </c>
      <c r="B80" s="1809"/>
      <c r="C80" s="1809" t="s">
        <v>2937</v>
      </c>
      <c r="D80" s="1809" t="s">
        <v>2938</v>
      </c>
      <c r="E80" s="819" t="s">
        <v>2939</v>
      </c>
      <c r="F80" s="2873" t="s">
        <v>2955</v>
      </c>
      <c r="G80" s="1809" t="s">
        <v>754</v>
      </c>
      <c r="H80" s="2874" t="s">
        <v>2941</v>
      </c>
      <c r="I80" s="1809" t="s">
        <v>2942</v>
      </c>
      <c r="J80" s="603" t="s">
        <v>2592</v>
      </c>
      <c r="K80" s="603" t="s">
        <v>2593</v>
      </c>
      <c r="L80" s="603" t="s">
        <v>2594</v>
      </c>
      <c r="M80" s="603" t="s">
        <v>2595</v>
      </c>
      <c r="N80" s="603" t="s">
        <v>2596</v>
      </c>
      <c r="Z80" s="2722"/>
      <c r="AA80" s="2790"/>
      <c r="AG80" s="1372"/>
      <c r="AK80" s="2790"/>
    </row>
    <row r="81" spans="1:37" ht="38.25">
      <c r="A81" s="2872" t="s">
        <v>2962</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2944</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2945</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2959</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2951</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2952</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2949</v>
      </c>
      <c r="B87" s="2878" t="s">
        <v>2963</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2964</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181" t="s">
        <v>2965</v>
      </c>
      <c r="B90" s="3181"/>
      <c r="C90" s="3181"/>
      <c r="D90" s="3181"/>
      <c r="E90" s="3181"/>
      <c r="F90" s="3181"/>
      <c r="G90" s="3181"/>
      <c r="H90" s="3181"/>
      <c r="I90" s="3181"/>
      <c r="J90" s="3181"/>
      <c r="K90" s="2886"/>
      <c r="L90" s="2886"/>
      <c r="M90" s="2886"/>
      <c r="N90" s="2886"/>
    </row>
    <row r="91" spans="1:37">
      <c r="A91" s="3183" t="s">
        <v>2966</v>
      </c>
      <c r="B91" s="3183" t="s">
        <v>2967</v>
      </c>
      <c r="C91" s="2840" t="s">
        <v>2968</v>
      </c>
      <c r="D91" s="2841"/>
      <c r="E91" s="2841"/>
      <c r="F91" s="2841"/>
      <c r="G91" s="2841"/>
      <c r="H91" s="2841"/>
      <c r="I91" s="2841"/>
      <c r="J91" s="2887"/>
      <c r="K91" s="2888"/>
      <c r="L91" s="2888"/>
      <c r="M91" s="2888"/>
      <c r="N91" s="2888"/>
    </row>
    <row r="92" spans="1:37">
      <c r="A92" s="3183"/>
      <c r="B92" s="3183"/>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184"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8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8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8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8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8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85"/>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18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84" t="s">
        <v>2970</v>
      </c>
      <c r="B101" s="2893" t="s">
        <v>2971</v>
      </c>
      <c r="C101" s="2894">
        <f>$G$3</f>
        <v>9.61</v>
      </c>
      <c r="D101" s="2894">
        <f t="shared" ref="D101:N101" si="31">$G$3</f>
        <v>9.61</v>
      </c>
      <c r="E101" s="2894">
        <f t="shared" si="31"/>
        <v>9.61</v>
      </c>
      <c r="F101" s="2894">
        <f t="shared" si="31"/>
        <v>9.61</v>
      </c>
      <c r="G101" s="2894">
        <f t="shared" si="31"/>
        <v>9.61</v>
      </c>
      <c r="H101" s="2894">
        <f t="shared" si="31"/>
        <v>9.61</v>
      </c>
      <c r="I101" s="2894">
        <f t="shared" si="31"/>
        <v>9.61</v>
      </c>
      <c r="J101" s="2894">
        <f t="shared" si="31"/>
        <v>9.61</v>
      </c>
      <c r="K101" s="2894">
        <f t="shared" si="31"/>
        <v>9.61</v>
      </c>
      <c r="L101" s="2894">
        <f t="shared" si="31"/>
        <v>9.61</v>
      </c>
      <c r="M101" s="2894">
        <f t="shared" si="31"/>
        <v>9.61</v>
      </c>
      <c r="N101" s="2894">
        <f t="shared" si="31"/>
        <v>9.61</v>
      </c>
    </row>
    <row r="102" spans="1:14">
      <c r="A102" s="3185"/>
      <c r="B102" s="2889">
        <v>1</v>
      </c>
      <c r="C102" s="2890">
        <f>1.9362/C101</f>
        <v>0.20147762747138398</v>
      </c>
      <c r="D102" s="2890">
        <f>1.9362/D101</f>
        <v>0.20147762747138398</v>
      </c>
      <c r="E102" s="2890">
        <f>1.8629/E101</f>
        <v>0.19385015608740896</v>
      </c>
      <c r="F102" s="2890">
        <f>1.8629/F101</f>
        <v>0.19385015608740896</v>
      </c>
      <c r="G102" s="2890">
        <f>1.8629/G101</f>
        <v>0.19385015608740896</v>
      </c>
      <c r="H102" s="2890">
        <f>1.8629/H101</f>
        <v>0.19385015608740896</v>
      </c>
      <c r="I102" s="2890">
        <f>1.8629/I101</f>
        <v>0.19385015608740896</v>
      </c>
      <c r="J102" s="2890">
        <f>1.942/J101</f>
        <v>0.20208116545265351</v>
      </c>
      <c r="K102" s="2890">
        <f>1.942/K101</f>
        <v>0.20208116545265351</v>
      </c>
      <c r="L102" s="2890">
        <f>1.942/L101</f>
        <v>0.20208116545265351</v>
      </c>
      <c r="M102" s="2890">
        <f>1.942/M101</f>
        <v>0.20208116545265351</v>
      </c>
      <c r="N102" s="2890">
        <f>1.942/N101</f>
        <v>0.20208116545265351</v>
      </c>
    </row>
    <row r="103" spans="1:14">
      <c r="A103" s="3185"/>
      <c r="B103" s="2889">
        <v>2</v>
      </c>
      <c r="C103" s="2890">
        <f>1.4198/C101</f>
        <v>0.14774193548387096</v>
      </c>
      <c r="D103" s="2890">
        <f>1.4198/D101</f>
        <v>0.14774193548387096</v>
      </c>
      <c r="E103" s="2890">
        <f>1.3372/E101</f>
        <v>0.13914672216441207</v>
      </c>
      <c r="F103" s="2890">
        <f>1.3372/F101</f>
        <v>0.13914672216441207</v>
      </c>
      <c r="G103" s="2890">
        <f>1.3372/G101</f>
        <v>0.13914672216441207</v>
      </c>
      <c r="H103" s="2890">
        <f>1.3372/H101</f>
        <v>0.13914672216441207</v>
      </c>
      <c r="I103" s="2890">
        <f>1.3372/I101</f>
        <v>0.13914672216441207</v>
      </c>
      <c r="J103" s="2890">
        <f>1.2799/J101</f>
        <v>0.13318418314255984</v>
      </c>
      <c r="K103" s="2890">
        <f>1.2799/K101</f>
        <v>0.13318418314255984</v>
      </c>
      <c r="L103" s="2890">
        <f>1.2799/L101</f>
        <v>0.13318418314255984</v>
      </c>
      <c r="M103" s="2890">
        <f>1.2799/M101</f>
        <v>0.13318418314255984</v>
      </c>
      <c r="N103" s="2890">
        <f>1.2799/N101</f>
        <v>0.13318418314255984</v>
      </c>
    </row>
    <row r="104" spans="1:14">
      <c r="A104" s="3185"/>
      <c r="B104" s="2889">
        <v>3</v>
      </c>
      <c r="C104" s="2890">
        <f>1.1594/C101</f>
        <v>0.12064516129032259</v>
      </c>
      <c r="D104" s="2890">
        <f>1.1594/D101</f>
        <v>0.12064516129032259</v>
      </c>
      <c r="E104" s="2890">
        <f>1.0788/E101</f>
        <v>0.11225806451612903</v>
      </c>
      <c r="F104" s="2890">
        <f>1.0788/F101</f>
        <v>0.11225806451612903</v>
      </c>
      <c r="G104" s="2890">
        <f>1.0788/G101</f>
        <v>0.11225806451612903</v>
      </c>
      <c r="H104" s="2890">
        <f>1.0788/H101</f>
        <v>0.11225806451612903</v>
      </c>
      <c r="I104" s="2890">
        <f>1.0788/I101</f>
        <v>0.11225806451612903</v>
      </c>
      <c r="J104" s="2890">
        <f>1.0072/J101</f>
        <v>0.10480749219562957</v>
      </c>
      <c r="K104" s="2890">
        <f>1.0072/K101</f>
        <v>0.10480749219562957</v>
      </c>
      <c r="L104" s="2890">
        <f>1.0072/L101</f>
        <v>0.10480749219562957</v>
      </c>
      <c r="M104" s="2890">
        <f>1.0072/M101</f>
        <v>0.10480749219562957</v>
      </c>
      <c r="N104" s="2890">
        <f>1.0072/N101</f>
        <v>0.10480749219562957</v>
      </c>
    </row>
    <row r="105" spans="1:14">
      <c r="A105" s="3185"/>
      <c r="B105" s="2889">
        <v>4</v>
      </c>
      <c r="C105" s="2890">
        <f>0.9622/C101</f>
        <v>0.10012486992715922</v>
      </c>
      <c r="D105" s="2890">
        <f>0.9622/D101</f>
        <v>0.10012486992715922</v>
      </c>
      <c r="E105" s="2890">
        <f>0.8656/E101</f>
        <v>9.0072840790842879E-2</v>
      </c>
      <c r="F105" s="2890">
        <f>0.8656/F101</f>
        <v>9.0072840790842879E-2</v>
      </c>
      <c r="G105" s="2890">
        <f>0.8656/G101</f>
        <v>9.0072840790842879E-2</v>
      </c>
      <c r="H105" s="2890">
        <f>0.8656/H101</f>
        <v>9.0072840790842879E-2</v>
      </c>
      <c r="I105" s="2890">
        <f>0.8656/I101</f>
        <v>9.0072840790842879E-2</v>
      </c>
      <c r="J105" s="2890">
        <f>0.7525/J101</f>
        <v>7.8303850156087401E-2</v>
      </c>
      <c r="K105" s="2890">
        <f>0.7525/K101</f>
        <v>7.8303850156087401E-2</v>
      </c>
      <c r="L105" s="2890">
        <f>0.7525/L101</f>
        <v>7.8303850156087401E-2</v>
      </c>
      <c r="M105" s="2890">
        <f>0.7525/M101</f>
        <v>7.8303850156087401E-2</v>
      </c>
      <c r="N105" s="2890">
        <f>0.7525/N101</f>
        <v>7.8303850156087401E-2</v>
      </c>
    </row>
    <row r="106" spans="1:14">
      <c r="A106" s="3185"/>
      <c r="B106" s="2889">
        <v>5</v>
      </c>
      <c r="C106" s="2890">
        <f>0.8417/C101</f>
        <v>8.7585848074921965E-2</v>
      </c>
      <c r="D106" s="2890">
        <f>0.8417/D101</f>
        <v>8.7585848074921965E-2</v>
      </c>
      <c r="E106" s="2890">
        <f>0.7371/E101</f>
        <v>7.6701352757544222E-2</v>
      </c>
      <c r="F106" s="2890">
        <f>0.7371/F101</f>
        <v>7.6701352757544222E-2</v>
      </c>
      <c r="G106" s="2890">
        <f>0.7371/G101</f>
        <v>7.6701352757544222E-2</v>
      </c>
      <c r="H106" s="2890">
        <f>0.7371/H101</f>
        <v>7.6701352757544222E-2</v>
      </c>
      <c r="I106" s="2890">
        <f>0.7371/I101</f>
        <v>7.6701352757544222E-2</v>
      </c>
      <c r="J106" s="2890">
        <f>0.5659/J101</f>
        <v>5.8886576482830383E-2</v>
      </c>
      <c r="K106" s="2890">
        <f>0.5659/K101</f>
        <v>5.8886576482830383E-2</v>
      </c>
      <c r="L106" s="2890">
        <f>0.5659/L101</f>
        <v>5.8886576482830383E-2</v>
      </c>
      <c r="M106" s="2890">
        <f>0.5659/M101</f>
        <v>5.8886576482830383E-2</v>
      </c>
      <c r="N106" s="2890">
        <f>0.5659/N101</f>
        <v>5.8886576482830383E-2</v>
      </c>
    </row>
    <row r="107" spans="1:14">
      <c r="A107" s="3185"/>
      <c r="B107" s="2889">
        <v>6</v>
      </c>
      <c r="C107" s="2890">
        <f>0.7608/C101</f>
        <v>7.916753381893861E-2</v>
      </c>
      <c r="D107" s="2890">
        <f>0.7608/D101</f>
        <v>7.916753381893861E-2</v>
      </c>
      <c r="E107" s="2890">
        <f>0.6482/E101</f>
        <v>6.7450572320499488E-2</v>
      </c>
      <c r="F107" s="2890">
        <f>0.6482/F101</f>
        <v>6.7450572320499488E-2</v>
      </c>
      <c r="G107" s="2890">
        <f>0.6482/G101</f>
        <v>6.7450572320499488E-2</v>
      </c>
      <c r="H107" s="2890">
        <f>0.6482/H101</f>
        <v>6.7450572320499488E-2</v>
      </c>
      <c r="I107" s="2890">
        <f>0.6482/I101</f>
        <v>6.7450572320499488E-2</v>
      </c>
      <c r="J107" s="2890">
        <f>0.4525/J101</f>
        <v>4.7086368366285124E-2</v>
      </c>
      <c r="K107" s="2890">
        <f>0.4525/K101</f>
        <v>4.7086368366285124E-2</v>
      </c>
      <c r="L107" s="2890">
        <f>0.4525/L101</f>
        <v>4.7086368366285124E-2</v>
      </c>
      <c r="M107" s="2890">
        <f>0.4525/M101</f>
        <v>4.7086368366285124E-2</v>
      </c>
      <c r="N107" s="2890">
        <f>0.4525/N101</f>
        <v>4.7086368366285124E-2</v>
      </c>
    </row>
    <row r="108" spans="1:14">
      <c r="A108" s="3185"/>
      <c r="B108" s="3139"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186"/>
      <c r="B109" s="3140"/>
      <c r="C109" s="2892">
        <f>(-0.163*(C108^2)-0.59*C108+7617)*(10^(-4))/C101</f>
        <v>7.9261186264308017E-2</v>
      </c>
      <c r="D109" s="2892">
        <f>(-0.163*(D108^2)-0.59*D108+7617)*(10^(-4))/D101</f>
        <v>7.9261186264308017E-2</v>
      </c>
      <c r="E109" s="2892">
        <f>(-0.161*(E108^2)-7.509*E108+6533)*(10^(-4))/E101</f>
        <v>6.7981269510926118E-2</v>
      </c>
      <c r="F109" s="2892">
        <f>(-0.161*(F108^2)-7.509*F108+6533)*(10^(-4))/F101</f>
        <v>6.7981269510926118E-2</v>
      </c>
      <c r="G109" s="2892">
        <f>(-0.161*(G108^2)-7.509*G108+6533)*(10^(-4))/G101</f>
        <v>6.7981269510926118E-2</v>
      </c>
      <c r="H109" s="2892">
        <f>(-0.161*(H108^2)-7.509*H108+6533)*(10^(-4))/H101</f>
        <v>6.7981269510926118E-2</v>
      </c>
      <c r="I109" s="2892">
        <f>(-0.161*(I108^2)-7.509*I108+6533)*(10^(-4))/I101</f>
        <v>6.7981269510926118E-2</v>
      </c>
      <c r="J109" s="2892">
        <f>(-0.214*(J108^2)-21.991*J108+4665)*(10^(-4))/J101</f>
        <v>4.8543184183142567E-2</v>
      </c>
      <c r="K109" s="2892">
        <f>(-0.214*(K108^2)-21.991*K108+4665)*(10^(-4))/K101</f>
        <v>4.8543184183142567E-2</v>
      </c>
      <c r="L109" s="2892">
        <f>(-0.214*(L108^2)-21.991*L108+4665)*(10^(-4))/L101</f>
        <v>4.8543184183142567E-2</v>
      </c>
      <c r="M109" s="2892">
        <f>(-0.214*(M108^2)-21.991*M108+4665)*(10^(-4))/M101</f>
        <v>4.8543184183142567E-2</v>
      </c>
      <c r="N109" s="2892">
        <f>(-0.214*(N108^2)-21.991*N108+4665)*(10^(-4))/N101</f>
        <v>4.8543184183142567E-2</v>
      </c>
    </row>
    <row r="110" spans="1:14">
      <c r="A110" s="3182" t="s">
        <v>2973</v>
      </c>
      <c r="B110" s="3182"/>
      <c r="C110" s="3182"/>
      <c r="D110" s="3182"/>
      <c r="E110" s="3182"/>
      <c r="F110" s="3182"/>
      <c r="G110" s="3182"/>
      <c r="H110" s="3182"/>
      <c r="I110" s="3182"/>
      <c r="J110" s="3182"/>
      <c r="K110" s="2895"/>
      <c r="L110" s="2895"/>
      <c r="M110" s="2895"/>
      <c r="N110" s="2895"/>
    </row>
    <row r="112" spans="1:14" ht="13.5" thickBot="1"/>
    <row r="113" spans="1:13" ht="25.5" thickBot="1">
      <c r="A113" s="903" t="s">
        <v>2974</v>
      </c>
      <c r="B113" s="1287">
        <f>G3</f>
        <v>9.61</v>
      </c>
      <c r="C113" s="904" t="s">
        <v>2975</v>
      </c>
      <c r="D113" s="905">
        <f>SUMPRODUCT((A115:A118=F113)*(B114:M114=H113)*B115:M118)</f>
        <v>0.8337</v>
      </c>
      <c r="E113" s="2726" t="s">
        <v>2809</v>
      </c>
      <c r="F113" s="2897" t="str">
        <f>E2</f>
        <v>办公</v>
      </c>
      <c r="G113" s="2726" t="s">
        <v>2810</v>
      </c>
      <c r="H113" s="2897" t="str">
        <f>G2</f>
        <v>二级</v>
      </c>
      <c r="I113" s="2726"/>
      <c r="J113" s="2898"/>
      <c r="K113" s="2898"/>
      <c r="L113" s="2898"/>
      <c r="M113" s="2898"/>
    </row>
    <row r="114" spans="1:13">
      <c r="A114" s="908"/>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9" t="s">
        <v>2873</v>
      </c>
      <c r="B115" s="910">
        <f>ROUND(0.9335-0.0094*B113,4)</f>
        <v>0.84319999999999995</v>
      </c>
      <c r="C115" s="910">
        <f>B115</f>
        <v>0.84319999999999995</v>
      </c>
      <c r="D115" s="910">
        <f>ROUND(0.8331-0.0109*B113,4)</f>
        <v>0.72840000000000005</v>
      </c>
      <c r="E115" s="910">
        <f>D115</f>
        <v>0.72840000000000005</v>
      </c>
      <c r="F115" s="910">
        <f>E115</f>
        <v>0.72840000000000005</v>
      </c>
      <c r="G115" s="910">
        <f>F115</f>
        <v>0.72840000000000005</v>
      </c>
      <c r="H115" s="910">
        <f>G115</f>
        <v>0.72840000000000005</v>
      </c>
      <c r="I115" s="910">
        <f>ROUND(0.689-0.0155*B113,4)</f>
        <v>0.54</v>
      </c>
      <c r="J115" s="910">
        <f t="shared" ref="J115:M118" si="33">I115</f>
        <v>0.54</v>
      </c>
      <c r="K115" s="910">
        <f t="shared" si="33"/>
        <v>0.54</v>
      </c>
      <c r="L115" s="910">
        <f t="shared" si="33"/>
        <v>0.54</v>
      </c>
      <c r="M115" s="911">
        <f t="shared" si="33"/>
        <v>0.54</v>
      </c>
    </row>
    <row r="116" spans="1:13">
      <c r="A116" s="909" t="s">
        <v>2874</v>
      </c>
      <c r="B116" s="910">
        <f>ROUND(0.949-0.012*B113,4)</f>
        <v>0.8337</v>
      </c>
      <c r="C116" s="910">
        <f>B116</f>
        <v>0.8337</v>
      </c>
      <c r="D116" s="910">
        <f>ROUND(0.8567-0.013*B113,4)</f>
        <v>0.73180000000000001</v>
      </c>
      <c r="E116" s="910">
        <f t="shared" ref="E116:H117" si="34">D116</f>
        <v>0.73180000000000001</v>
      </c>
      <c r="F116" s="910">
        <f t="shared" si="34"/>
        <v>0.73180000000000001</v>
      </c>
      <c r="G116" s="910">
        <f t="shared" si="34"/>
        <v>0.73180000000000001</v>
      </c>
      <c r="H116" s="910">
        <f t="shared" si="34"/>
        <v>0.73180000000000001</v>
      </c>
      <c r="I116" s="910">
        <f>ROUND(0.7694-0.014*B113,4)</f>
        <v>0.63490000000000002</v>
      </c>
      <c r="J116" s="910">
        <f t="shared" si="33"/>
        <v>0.63490000000000002</v>
      </c>
      <c r="K116" s="910">
        <f t="shared" si="33"/>
        <v>0.63490000000000002</v>
      </c>
      <c r="L116" s="910">
        <f t="shared" si="33"/>
        <v>0.63490000000000002</v>
      </c>
      <c r="M116" s="911">
        <f t="shared" si="33"/>
        <v>0.63490000000000002</v>
      </c>
    </row>
    <row r="117" spans="1:13">
      <c r="A117" s="909" t="s">
        <v>2875</v>
      </c>
      <c r="B117" s="910">
        <f>ROUND(0.8808-0.006*B113,4)</f>
        <v>0.82310000000000005</v>
      </c>
      <c r="C117" s="910">
        <f>B117</f>
        <v>0.82310000000000005</v>
      </c>
      <c r="D117" s="910">
        <f>ROUND(0.8748-0.008*B113,4)</f>
        <v>0.79790000000000005</v>
      </c>
      <c r="E117" s="910">
        <f t="shared" si="34"/>
        <v>0.79790000000000005</v>
      </c>
      <c r="F117" s="910">
        <f t="shared" si="34"/>
        <v>0.79790000000000005</v>
      </c>
      <c r="G117" s="910">
        <f t="shared" si="34"/>
        <v>0.79790000000000005</v>
      </c>
      <c r="H117" s="910">
        <f t="shared" si="34"/>
        <v>0.79790000000000005</v>
      </c>
      <c r="I117" s="910">
        <f>ROUND(0.7412-0.0095*B113,4)</f>
        <v>0.64990000000000003</v>
      </c>
      <c r="J117" s="910">
        <f t="shared" si="33"/>
        <v>0.64990000000000003</v>
      </c>
      <c r="K117" s="910">
        <f t="shared" si="33"/>
        <v>0.64990000000000003</v>
      </c>
      <c r="L117" s="910">
        <f t="shared" si="33"/>
        <v>0.64990000000000003</v>
      </c>
      <c r="M117" s="911">
        <f t="shared" si="33"/>
        <v>0.64990000000000003</v>
      </c>
    </row>
    <row r="118" spans="1:13" ht="13.5" thickBot="1">
      <c r="A118" s="714" t="s">
        <v>2876</v>
      </c>
      <c r="B118" s="912">
        <f>ROUND(0.7275-0.01*B113,4)</f>
        <v>0.63139999999999996</v>
      </c>
      <c r="C118" s="912">
        <f>B118</f>
        <v>0.63139999999999996</v>
      </c>
      <c r="D118" s="912">
        <f>ROUND(0.7043-0.012*B113,4)</f>
        <v>0.58899999999999997</v>
      </c>
      <c r="E118" s="912">
        <f>D118</f>
        <v>0.58899999999999997</v>
      </c>
      <c r="F118" s="912">
        <f>E118</f>
        <v>0.58899999999999997</v>
      </c>
      <c r="G118" s="912">
        <f>ROUND(0.6299-0.0122*B113,4)</f>
        <v>0.51270000000000004</v>
      </c>
      <c r="H118" s="912">
        <f>G118</f>
        <v>0.51270000000000004</v>
      </c>
      <c r="I118" s="912">
        <f>ROUND(0.5667-0.0136*B113,4)</f>
        <v>0.436</v>
      </c>
      <c r="J118" s="912">
        <f t="shared" si="33"/>
        <v>0.436</v>
      </c>
      <c r="K118" s="912">
        <f t="shared" si="33"/>
        <v>0.436</v>
      </c>
      <c r="L118" s="912">
        <f t="shared" si="33"/>
        <v>0.436</v>
      </c>
      <c r="M118" s="913">
        <f t="shared" si="33"/>
        <v>0.436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3098</v>
      </c>
      <c r="D1" s="1820" t="s">
        <v>70</v>
      </c>
      <c r="E1" s="1821" t="s">
        <v>1383</v>
      </c>
      <c r="F1" s="1283">
        <f ca="1">J53</f>
        <v>32.01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141516</v>
      </c>
      <c r="C2" s="1845" t="s">
        <v>1512</v>
      </c>
      <c r="D2" s="1845"/>
      <c r="E2" s="1846"/>
      <c r="F2" s="1847"/>
      <c r="G2" s="1848"/>
      <c r="H2" s="1840"/>
      <c r="I2" s="1840"/>
      <c r="J2" s="1840"/>
      <c r="K2" s="1841"/>
      <c r="L2" s="1840"/>
      <c r="M2" s="1840"/>
    </row>
    <row r="3" spans="1:37" ht="18" customHeight="1" thickBot="1">
      <c r="A3" s="1849" t="s">
        <v>1513</v>
      </c>
      <c r="B3" s="1850">
        <f ca="1">IF(ISERROR(B2*10000/F43),0,ROUND(B2*10000/F43,0))</f>
        <v>51758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8993</v>
      </c>
      <c r="D5" s="1822" t="s">
        <v>1398</v>
      </c>
      <c r="E5" s="1293"/>
      <c r="F5" s="1294"/>
      <c r="G5" s="1851"/>
      <c r="H5" s="344">
        <v>1</v>
      </c>
      <c r="I5" s="345" t="s">
        <v>1397</v>
      </c>
      <c r="J5" s="1292">
        <f ca="1">J6+J10+J12</f>
        <v>0</v>
      </c>
      <c r="K5" s="1822" t="s">
        <v>1398</v>
      </c>
      <c r="L5" s="1293"/>
      <c r="M5" s="1294"/>
    </row>
    <row r="6" spans="1:37" ht="18" customHeight="1">
      <c r="A6" s="1291" t="s">
        <v>1032</v>
      </c>
      <c r="B6" s="3194" t="s">
        <v>1399</v>
      </c>
      <c r="C6" s="1296">
        <f ca="1">ROUND(F6*F8*F7*(1-F9)/10000,0)</f>
        <v>8982</v>
      </c>
      <c r="D6" s="164" t="s">
        <v>3025</v>
      </c>
      <c r="E6" s="347" t="s">
        <v>1401</v>
      </c>
      <c r="F6" s="348">
        <f ca="1">INDIRECT("'数据-取费表'!u"&amp;$G$1)</f>
        <v>10</v>
      </c>
      <c r="G6" s="1851"/>
      <c r="H6" s="1291" t="s">
        <v>1032</v>
      </c>
      <c r="I6" s="3194" t="s">
        <v>1399</v>
      </c>
      <c r="J6" s="346">
        <f ca="1">ROUND(M6*M8*M7*(1-M9)/10000,0)</f>
        <v>0</v>
      </c>
      <c r="K6" s="164" t="s">
        <v>3024</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27341.750000000004</v>
      </c>
      <c r="G7" s="1851"/>
      <c r="H7" s="349"/>
      <c r="I7" s="3195"/>
      <c r="J7" s="351"/>
      <c r="K7" s="352"/>
      <c r="L7" s="347" t="s">
        <v>1402</v>
      </c>
      <c r="M7" s="348">
        <f ca="1">F7</f>
        <v>27341.750000000004</v>
      </c>
    </row>
    <row r="8" spans="1:37" ht="18" customHeight="1">
      <c r="A8" s="349"/>
      <c r="B8" s="3195"/>
      <c r="C8" s="351"/>
      <c r="D8" s="352"/>
      <c r="E8" s="347" t="s">
        <v>1403</v>
      </c>
      <c r="F8" s="348">
        <f ca="1">INDIRECT("'数据-取费表'!ai"&amp;$G$1)</f>
        <v>365</v>
      </c>
      <c r="G8" s="1851"/>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0.1</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11</v>
      </c>
      <c r="D10" s="1824" t="s">
        <v>3034</v>
      </c>
      <c r="E10" s="358" t="s">
        <v>1406</v>
      </c>
      <c r="F10" s="1366" t="s">
        <v>3106</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13966</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11261</v>
      </c>
      <c r="D14" s="1800" t="s">
        <v>1414</v>
      </c>
      <c r="E14" s="1794"/>
      <c r="F14" s="364"/>
      <c r="G14" s="1851"/>
      <c r="H14" s="1201" t="s">
        <v>1032</v>
      </c>
      <c r="I14" s="347" t="s">
        <v>1415</v>
      </c>
      <c r="J14" s="24">
        <f ca="1">C29</f>
        <v>17032</v>
      </c>
      <c r="K14" s="15"/>
      <c r="L14" s="979"/>
      <c r="M14" s="980"/>
    </row>
    <row r="15" spans="1:37" s="1858" customFormat="1" ht="18" customHeight="1" thickBot="1">
      <c r="A15" s="1201" t="s">
        <v>1033</v>
      </c>
      <c r="B15" s="347" t="s">
        <v>1416</v>
      </c>
      <c r="C15" s="24">
        <f ca="1">ROUND(C14*F15,0)</f>
        <v>338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404</v>
      </c>
      <c r="K16" s="1337" t="s">
        <v>1421</v>
      </c>
      <c r="L16" s="1338"/>
      <c r="M16" s="1294"/>
    </row>
    <row r="17" spans="1:37" s="1858" customFormat="1" ht="18" customHeight="1">
      <c r="A17" s="1201" t="s">
        <v>1386</v>
      </c>
      <c r="B17" s="347" t="s">
        <v>1422</v>
      </c>
      <c r="C17" s="24">
        <f ca="1">ROUND(F17*(F43+INDIRECT("'数据-取费表'!S"&amp;$G$1))/10000,0)</f>
        <v>568</v>
      </c>
      <c r="D17" s="347" t="s">
        <v>1423</v>
      </c>
      <c r="E17" s="347" t="s">
        <v>1424</v>
      </c>
      <c r="F17" s="26">
        <f>'数据-取费表'!B35</f>
        <v>200</v>
      </c>
      <c r="G17" s="1854"/>
      <c r="H17" s="1201" t="s">
        <v>1032</v>
      </c>
      <c r="I17" s="347" t="s">
        <v>1425</v>
      </c>
      <c r="J17" s="24">
        <f ca="1">ROUND(IF(项目基本情况!B11="自然人",J5*M17,J18+J19+J20),1)</f>
        <v>148.30000000000001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12336</v>
      </c>
      <c r="D19" s="140" t="s">
        <v>1432</v>
      </c>
      <c r="E19" s="1818"/>
      <c r="F19" s="26"/>
      <c r="G19" s="1851"/>
      <c r="H19" s="1201" t="s">
        <v>1033</v>
      </c>
      <c r="I19" s="347" t="s">
        <v>1433</v>
      </c>
      <c r="J19" s="24">
        <f ca="1">IF(K19="按租金收入计税",ROUND(J5*M19,2),ROUND(C29*M19*0.7,2))</f>
        <v>143.07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247</v>
      </c>
      <c r="D20" s="369" t="s">
        <v>1436</v>
      </c>
      <c r="E20" s="347" t="s">
        <v>1418</v>
      </c>
      <c r="F20" s="367">
        <f>'数据-取费表'!B37</f>
        <v>0.02</v>
      </c>
      <c r="G20" s="1854"/>
      <c r="H20" s="1201" t="s">
        <v>1385</v>
      </c>
      <c r="I20" s="164" t="s">
        <v>1437</v>
      </c>
      <c r="J20" s="25">
        <f ca="1">ROUND(M20*M21/10000,2)</f>
        <v>5.21</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2171.31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255.5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598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-404</v>
      </c>
      <c r="K25" s="1345" t="s">
        <v>1460</v>
      </c>
      <c r="L25" s="1346"/>
      <c r="M25" s="1347"/>
    </row>
    <row r="26" spans="1:37">
      <c r="A26" s="1201" t="s">
        <v>1031</v>
      </c>
      <c r="B26" s="347" t="s">
        <v>1461</v>
      </c>
      <c r="C26" s="24">
        <f ca="1">ROUND((C19+C20)*F26,0)</f>
        <v>2517</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17032</v>
      </c>
      <c r="D29" s="1342"/>
      <c r="E29" s="1340"/>
      <c r="F29" s="1343"/>
      <c r="G29" s="1854"/>
      <c r="H29" s="380" t="s">
        <v>1030</v>
      </c>
      <c r="I29" s="381" t="s">
        <v>1475</v>
      </c>
      <c r="J29" s="382">
        <f ca="1">ROUND(J26/(1+F40)^F41,0)</f>
        <v>0</v>
      </c>
      <c r="K29" s="383" t="s">
        <v>1476</v>
      </c>
      <c r="L29" s="384"/>
      <c r="M29" s="385">
        <f ca="1">INDIRECT("'数据-取费表'!k"&amp;$G$1)</f>
        <v>27341.750000000004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1930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1564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479.63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1079.1600000000001</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5.21</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2171.31</v>
      </c>
      <c r="G35" s="1851"/>
      <c r="H35" s="745"/>
      <c r="I35" s="1860"/>
      <c r="J35" s="1861"/>
      <c r="K35" s="1862"/>
      <c r="L35" s="1859"/>
      <c r="M35" s="1859"/>
    </row>
    <row r="36" spans="1:18" ht="18" customHeight="1">
      <c r="A36" s="1352" t="s">
        <v>1036</v>
      </c>
      <c r="B36" s="347" t="s">
        <v>1445</v>
      </c>
      <c r="C36" s="24">
        <f ca="1">ROUND(C29*F36,1)</f>
        <v>255.5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20.9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89.9</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7063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141516</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51758</v>
      </c>
      <c r="D43" s="383" t="s">
        <v>1484</v>
      </c>
      <c r="E43" s="384" t="s">
        <v>1485</v>
      </c>
      <c r="F43" s="385">
        <f ca="1">INDIRECT("'数据-取费表'!k"&amp;$G$1)</f>
        <v>27341.750000000004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-165630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141516</v>
      </c>
      <c r="R47" s="1886" t="s">
        <v>1525</v>
      </c>
    </row>
    <row r="48" spans="1:18" s="1842" customFormat="1" ht="28.5" thickBot="1">
      <c r="A48" s="1360" t="s">
        <v>1132</v>
      </c>
      <c r="B48" s="345" t="s">
        <v>1397</v>
      </c>
      <c r="C48" s="1817">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17032</v>
      </c>
      <c r="R49" s="1886" t="s">
        <v>1525</v>
      </c>
    </row>
    <row r="50" spans="1:18" s="1842" customFormat="1" ht="13.5" thickBot="1">
      <c r="A50" s="1195"/>
      <c r="B50" s="1198"/>
      <c r="C50" s="1368"/>
      <c r="D50" s="1172"/>
      <c r="E50" s="1277" t="s">
        <v>1402</v>
      </c>
      <c r="F50" s="1278">
        <f ca="1">F7</f>
        <v>27341.750000000004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47</v>
      </c>
      <c r="K51" s="1900" t="s">
        <v>1537</v>
      </c>
      <c r="L51" s="1901">
        <f ca="1">ROUND(-PV(INDIRECT("'数据-取费表'!h"&amp;$G$1),L48,(C39-C13*C76),0),0)</f>
        <v>90696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2" t="s">
        <v>1544</v>
      </c>
      <c r="L53" s="3193"/>
      <c r="O53" s="1884" t="s">
        <v>1043</v>
      </c>
      <c r="P53" s="1885" t="s">
        <v>1545</v>
      </c>
      <c r="Q53" s="1886">
        <f ca="1">Q47+Q48</f>
        <v>141516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13966</v>
      </c>
      <c r="D56" s="1914"/>
      <c r="E56" s="1915"/>
      <c r="F56" s="1907"/>
      <c r="I56" s="1916" t="s">
        <v>1550</v>
      </c>
      <c r="J56" s="1917" t="s">
        <v>3092</v>
      </c>
      <c r="K56" s="1887" t="s">
        <v>1551</v>
      </c>
      <c r="L56" s="1890" t="str">
        <f ca="1">IF(L48&lt;J51,"——",L48-J53)</f>
        <v>——</v>
      </c>
      <c r="O56" s="1884" t="s">
        <v>1037</v>
      </c>
      <c r="P56" s="1885" t="s">
        <v>1524</v>
      </c>
      <c r="Q56" s="1886">
        <f ca="1">C40+J29</f>
        <v>141516</v>
      </c>
      <c r="R56" s="1886" t="s">
        <v>1525</v>
      </c>
    </row>
    <row r="57" spans="1:18" s="1842" customFormat="1" ht="24.75" thickBot="1">
      <c r="A57" s="1918"/>
      <c r="B57" s="1169" t="s">
        <v>1474</v>
      </c>
      <c r="C57" s="282">
        <f ca="1">C29</f>
        <v>17032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1712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1435.9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1430.69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5.21</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141516</v>
      </c>
      <c r="R62" s="1886" t="s">
        <v>1044</v>
      </c>
    </row>
    <row r="63" spans="1:18" s="1842" customFormat="1" ht="13.5" thickBot="1">
      <c r="A63" s="372"/>
      <c r="B63" s="1175"/>
      <c r="C63" s="29"/>
      <c r="D63" s="1185"/>
      <c r="E63" s="1169" t="s">
        <v>1495</v>
      </c>
      <c r="F63" s="348">
        <f t="shared" ca="1" si="0"/>
        <v>2171.31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255.5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20.9</v>
      </c>
      <c r="D65" s="1183" t="s">
        <v>1450</v>
      </c>
      <c r="E65" s="1169" t="s">
        <v>1451</v>
      </c>
      <c r="F65" s="376">
        <f t="shared" ca="1" si="0"/>
        <v>1.5E-3</v>
      </c>
      <c r="I65" s="1929" t="s">
        <v>1575</v>
      </c>
      <c r="J65" s="1930">
        <v>40</v>
      </c>
      <c r="K65" s="1930">
        <v>30</v>
      </c>
      <c r="L65" s="1930">
        <v>50</v>
      </c>
      <c r="M65" s="1932">
        <v>0.02</v>
      </c>
      <c r="O65" s="1884" t="s">
        <v>1037</v>
      </c>
      <c r="P65" s="1885" t="s">
        <v>1576</v>
      </c>
      <c r="Q65" s="1886">
        <f ca="1">C40+J29</f>
        <v>141516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-1712</v>
      </c>
      <c r="D67" s="1182" t="s">
        <v>1460</v>
      </c>
      <c r="E67" s="1187"/>
      <c r="F67" s="1188"/>
      <c r="O67" s="1894" t="s">
        <v>1039</v>
      </c>
      <c r="P67" s="1885" t="s">
        <v>1558</v>
      </c>
      <c r="Q67" s="1933">
        <f ca="1">L51</f>
        <v>90696</v>
      </c>
      <c r="R67" s="1886" t="s">
        <v>1578</v>
      </c>
    </row>
    <row r="68" spans="1:18" s="1842" customFormat="1" ht="16.5" thickBot="1">
      <c r="A68" s="1166" t="s">
        <v>1029</v>
      </c>
      <c r="B68" s="1167" t="s">
        <v>1481</v>
      </c>
      <c r="C68" s="346">
        <f ca="1">ROUND(C67*(1-((1+F70)/(1+F68))^F69)/(F68-F70),0)</f>
        <v>-24114</v>
      </c>
      <c r="D68" s="1184" t="s">
        <v>1465</v>
      </c>
      <c r="E68" s="1169" t="s">
        <v>1466</v>
      </c>
      <c r="F68" s="357">
        <f ca="1">F40</f>
        <v>0.06</v>
      </c>
      <c r="O68" s="1894" t="s">
        <v>1040</v>
      </c>
      <c r="P68" s="1934" t="s">
        <v>1579</v>
      </c>
      <c r="Q68" s="1886">
        <f ca="1">ROUND(Q69-Q70*Q71,0)</f>
        <v>5876</v>
      </c>
      <c r="R68" s="1886" t="s">
        <v>1048</v>
      </c>
    </row>
    <row r="69" spans="1:18" s="1842" customFormat="1" ht="13.5" thickBot="1">
      <c r="A69" s="1170"/>
      <c r="B69" s="1171"/>
      <c r="C69" s="351"/>
      <c r="D69" s="1189" t="s">
        <v>1469</v>
      </c>
      <c r="E69" s="1169" t="s">
        <v>1470</v>
      </c>
      <c r="F69" s="379">
        <f ca="1">F41</f>
        <v>32.01</v>
      </c>
      <c r="O69" s="1894" t="s">
        <v>1045</v>
      </c>
      <c r="P69" s="1934" t="s">
        <v>1580</v>
      </c>
      <c r="Q69" s="1886">
        <f ca="1">C39</f>
        <v>7063</v>
      </c>
      <c r="R69" s="1886" t="s">
        <v>1525</v>
      </c>
    </row>
    <row r="70" spans="1:18" s="1842" customFormat="1" ht="13.5" thickBot="1">
      <c r="A70" s="1173"/>
      <c r="B70" s="1174"/>
      <c r="C70" s="355"/>
      <c r="D70" s="1185"/>
      <c r="E70" s="1169" t="s">
        <v>1473</v>
      </c>
      <c r="F70" s="1275"/>
      <c r="O70" s="1894" t="s">
        <v>1046</v>
      </c>
      <c r="P70" s="1934" t="s">
        <v>1581</v>
      </c>
      <c r="Q70" s="1886">
        <f ca="1">C13</f>
        <v>13966</v>
      </c>
      <c r="R70" s="1886" t="s">
        <v>1525</v>
      </c>
    </row>
    <row r="71" spans="1:18" s="1842" customFormat="1" ht="13.5" thickBot="1">
      <c r="A71" s="1190" t="s">
        <v>1030</v>
      </c>
      <c r="B71" s="1191" t="s">
        <v>1483</v>
      </c>
      <c r="C71" s="382">
        <f ca="1">ROUND(C68*10000/F71,0)</f>
        <v>-8819</v>
      </c>
      <c r="D71" s="1192" t="s">
        <v>1484</v>
      </c>
      <c r="E71" s="1193" t="s">
        <v>1485</v>
      </c>
      <c r="F71" s="385">
        <f ca="1">F43</f>
        <v>27341.750000000004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1187</v>
      </c>
      <c r="D75" s="1842"/>
      <c r="E75" s="1842"/>
      <c r="F75" s="1842"/>
      <c r="K75" s="1868"/>
      <c r="L75" s="1842"/>
      <c r="O75" s="1884" t="s">
        <v>1043</v>
      </c>
      <c r="P75" s="1885" t="s">
        <v>1545</v>
      </c>
      <c r="Q75" s="1886">
        <f ca="1">Q65+Q66</f>
        <v>141516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0.83199999999999996</v>
      </c>
    </row>
    <row r="80" spans="1:18">
      <c r="B80" s="386" t="s">
        <v>1507</v>
      </c>
      <c r="C80" s="318">
        <f ca="1">ROUND(C75/C39,3)</f>
        <v>0.16800000000000001</v>
      </c>
    </row>
    <row r="81" spans="2:3">
      <c r="B81" s="314" t="s">
        <v>1508</v>
      </c>
      <c r="C81" s="282"/>
    </row>
    <row r="82" spans="2:3">
      <c r="B82" s="317" t="s">
        <v>1509</v>
      </c>
      <c r="C82" s="319">
        <f ca="1">1-C83</f>
        <v>0.90100000000000002</v>
      </c>
    </row>
    <row r="83" spans="2:3">
      <c r="B83" s="317" t="s">
        <v>1510</v>
      </c>
      <c r="C83" s="318">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32.01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302</v>
      </c>
      <c r="C2" s="1845" t="s">
        <v>1512</v>
      </c>
      <c r="D2" s="1845"/>
      <c r="E2" s="1846"/>
      <c r="F2" s="1847"/>
      <c r="G2" s="1848"/>
      <c r="H2" s="1840"/>
      <c r="I2" s="1840"/>
      <c r="J2" s="1840"/>
      <c r="K2" s="1841"/>
      <c r="L2" s="1840"/>
      <c r="M2" s="1840"/>
    </row>
    <row r="3" spans="1:37" ht="18" customHeight="1" thickBot="1">
      <c r="A3" s="1849" t="s">
        <v>1513</v>
      </c>
      <c r="B3" s="1850">
        <f ca="1">IF(ISERROR(B2*10000/F43),0,ROUND(B2*10000/F43,0))</f>
        <v>430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194" t="s">
        <v>1399</v>
      </c>
      <c r="C6" s="1296">
        <f ca="1">ROUND(F6*F8*F7*(1-F9)/10000,0)</f>
        <v>83</v>
      </c>
      <c r="D6" s="164" t="s">
        <v>3025</v>
      </c>
      <c r="E6" s="347" t="s">
        <v>1401</v>
      </c>
      <c r="F6" s="348">
        <f ca="1">INDIRECT("'数据-取费表'!u"&amp;$G$1)</f>
        <v>700</v>
      </c>
      <c r="G6" s="1851"/>
      <c r="H6" s="1291" t="s">
        <v>1032</v>
      </c>
      <c r="I6" s="3194" t="s">
        <v>1399</v>
      </c>
      <c r="J6" s="346">
        <f ca="1">ROUND(M6*M8*M7*(1-M9)/10000,0)</f>
        <v>0</v>
      </c>
      <c r="K6" s="164" t="s">
        <v>3024</v>
      </c>
      <c r="L6" s="347" t="s">
        <v>1401</v>
      </c>
      <c r="M6" s="348">
        <f ca="1">INDIRECT("'数据-取费表'!z"&amp;$G$1)</f>
        <v>0</v>
      </c>
    </row>
    <row r="7" spans="1:37" ht="18" customHeight="1">
      <c r="A7" s="1295"/>
      <c r="B7" s="3195"/>
      <c r="C7" s="1297"/>
      <c r="D7" s="352"/>
      <c r="E7" s="2955" t="s">
        <v>1402</v>
      </c>
      <c r="F7" s="348">
        <f ca="1">IF(INDIRECT("'数据-取费表'!ah"&amp;$G$1)="",INDIRECT("'数据-取费表'!k"&amp;$G$1),INDIRECT("'数据-取费表'!ah"&amp;$G$1))</f>
        <v>110</v>
      </c>
      <c r="G7" s="1851"/>
      <c r="H7" s="349"/>
      <c r="I7" s="3195"/>
      <c r="J7" s="351"/>
      <c r="K7" s="352"/>
      <c r="L7" s="347" t="s">
        <v>1402</v>
      </c>
      <c r="M7" s="348">
        <f ca="1">F7</f>
        <v>110</v>
      </c>
    </row>
    <row r="8" spans="1:37" ht="18" customHeight="1">
      <c r="A8" s="349"/>
      <c r="B8" s="3195"/>
      <c r="C8" s="351"/>
      <c r="D8" s="352"/>
      <c r="E8" s="347" t="s">
        <v>1403</v>
      </c>
      <c r="F8" s="348">
        <f ca="1">INDIRECT("'数据-取费表'!ai"&amp;$G$1)</f>
        <v>12</v>
      </c>
      <c r="G8" s="1851"/>
      <c r="H8" s="349"/>
      <c r="I8" s="3195"/>
      <c r="J8" s="351"/>
      <c r="K8" s="352"/>
      <c r="L8" s="347" t="s">
        <v>1403</v>
      </c>
      <c r="M8" s="348">
        <f ca="1">INDIRECT("'数据-取费表'!ai"&amp;$G$1)</f>
        <v>12</v>
      </c>
    </row>
    <row r="9" spans="1:37" ht="18" customHeight="1">
      <c r="A9" s="349"/>
      <c r="B9" s="3196"/>
      <c r="C9" s="351"/>
      <c r="D9" s="352"/>
      <c r="E9" s="347" t="s">
        <v>1404</v>
      </c>
      <c r="F9" s="357">
        <f ca="1">INDIRECT("'数据-取费表'!w"&amp;$G$1)</f>
        <v>0.1</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t="s">
        <v>3194</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2530</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2190</v>
      </c>
      <c r="D14" s="2958" t="s">
        <v>1414</v>
      </c>
      <c r="E14" s="2957"/>
      <c r="F14" s="364"/>
      <c r="G14" s="1851"/>
      <c r="H14" s="1201" t="s">
        <v>1032</v>
      </c>
      <c r="I14" s="347" t="s">
        <v>1415</v>
      </c>
      <c r="J14" s="24">
        <f ca="1">C29</f>
        <v>3085</v>
      </c>
      <c r="K14" s="2954"/>
      <c r="L14" s="979"/>
      <c r="M14" s="980"/>
    </row>
    <row r="15" spans="1:37" s="1858" customFormat="1" ht="18" customHeight="1" thickBot="1">
      <c r="A15" s="1201" t="s">
        <v>1033</v>
      </c>
      <c r="B15" s="347" t="s">
        <v>1416</v>
      </c>
      <c r="C15" s="24">
        <f ca="1">ROUND(C14*F15,0)</f>
        <v>66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74</v>
      </c>
      <c r="K16" s="1337" t="s">
        <v>1421</v>
      </c>
      <c r="L16" s="2960"/>
      <c r="M16" s="1294"/>
    </row>
    <row r="17" spans="1:37" s="1858" customFormat="1" ht="18" customHeight="1">
      <c r="A17" s="1201" t="s">
        <v>1386</v>
      </c>
      <c r="B17" s="347" t="s">
        <v>1422</v>
      </c>
      <c r="C17" s="24">
        <f ca="1">ROUND(F17*(F43+INDIRECT("'数据-取费表'!S"&amp;$G$1))/10000,0)</f>
        <v>146</v>
      </c>
      <c r="D17" s="347" t="s">
        <v>1423</v>
      </c>
      <c r="E17" s="347" t="s">
        <v>1424</v>
      </c>
      <c r="F17" s="26">
        <f>'数据-取费表'!B35</f>
        <v>200</v>
      </c>
      <c r="G17" s="1854"/>
      <c r="H17" s="1201" t="s">
        <v>1032</v>
      </c>
      <c r="I17" s="347" t="s">
        <v>1425</v>
      </c>
      <c r="J17" s="24">
        <f ca="1">ROUND(IF(项目基本情况!B11="自然人",J5*M17,J18+J19+J20),1)</f>
        <v>27.3</v>
      </c>
      <c r="K17" s="2958" t="s">
        <v>1426</v>
      </c>
      <c r="L17" s="2959"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33</v>
      </c>
      <c r="D18" s="347" t="s">
        <v>1417</v>
      </c>
      <c r="E18" s="347" t="s">
        <v>1418</v>
      </c>
      <c r="F18" s="367">
        <f>'数据-取费表'!B36</f>
        <v>1.4999999999999999E-2</v>
      </c>
      <c r="G18" s="1854"/>
      <c r="H18" s="1201" t="s">
        <v>1031</v>
      </c>
      <c r="I18" s="347" t="s">
        <v>1429</v>
      </c>
      <c r="J18" s="24">
        <f ca="1">ROUND(J5*M18/(1+'数据-取费表'!C42),2)</f>
        <v>0</v>
      </c>
      <c r="K18" s="2959"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2435</v>
      </c>
      <c r="D19" s="140" t="s">
        <v>1432</v>
      </c>
      <c r="E19" s="2953"/>
      <c r="F19" s="26"/>
      <c r="G19" s="1851"/>
      <c r="H19" s="1201" t="s">
        <v>1033</v>
      </c>
      <c r="I19" s="347" t="s">
        <v>1433</v>
      </c>
      <c r="J19" s="24">
        <f ca="1">IF(K19="按租金收入计税",ROUND(J5*M19,2),ROUND(C29*M19*0.7,2))</f>
        <v>25.91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49</v>
      </c>
      <c r="D20" s="369" t="s">
        <v>1436</v>
      </c>
      <c r="E20" s="347" t="s">
        <v>1418</v>
      </c>
      <c r="F20" s="367">
        <f>'数据-取费表'!B37</f>
        <v>0.02</v>
      </c>
      <c r="G20" s="1854"/>
      <c r="H20" s="1201" t="s">
        <v>1385</v>
      </c>
      <c r="I20" s="164" t="s">
        <v>1437</v>
      </c>
      <c r="J20" s="25">
        <f ca="1">ROUND(M20*M21/10000,2)</f>
        <v>1.34</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557.75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3"/>
      <c r="F22" s="26"/>
      <c r="G22" s="1851"/>
      <c r="H22" s="1201" t="s">
        <v>1036</v>
      </c>
      <c r="I22" s="347" t="s">
        <v>1445</v>
      </c>
      <c r="J22" s="24">
        <f ca="1">ROUND(J14*M22,1)</f>
        <v>46.3</v>
      </c>
      <c r="K22" s="2959"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9"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3"/>
      <c r="F25" s="26"/>
      <c r="G25" s="1851"/>
      <c r="H25" s="1329" t="s">
        <v>1028</v>
      </c>
      <c r="I25" s="1344" t="s">
        <v>1459</v>
      </c>
      <c r="J25" s="355">
        <f ca="1">J5-J16</f>
        <v>-74</v>
      </c>
      <c r="K25" s="1345" t="s">
        <v>1460</v>
      </c>
      <c r="L25" s="1346"/>
      <c r="M25" s="1347"/>
    </row>
    <row r="26" spans="1:37">
      <c r="A26" s="1201" t="s">
        <v>1031</v>
      </c>
      <c r="B26" s="347" t="s">
        <v>1461</v>
      </c>
      <c r="C26" s="24">
        <f ca="1">ROUND((C19+C20)*F26,0)</f>
        <v>248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3085</v>
      </c>
      <c r="D29" s="1342"/>
      <c r="E29" s="1340"/>
      <c r="F29" s="1343"/>
      <c r="G29" s="1854"/>
      <c r="H29" s="380" t="s">
        <v>1030</v>
      </c>
      <c r="I29" s="381" t="s">
        <v>1475</v>
      </c>
      <c r="J29" s="382">
        <f ca="1">ROUND(J26/(1+F40)^F41,0)</f>
        <v>0</v>
      </c>
      <c r="K29" s="383" t="s">
        <v>1476</v>
      </c>
      <c r="L29" s="384"/>
      <c r="M29" s="385">
        <f ca="1">INDIRECT("'数据-取费表'!k"&amp;$G$1)</f>
        <v>7023.41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67</v>
      </c>
      <c r="D30" s="1337" t="s">
        <v>1421</v>
      </c>
      <c r="E30" s="2960"/>
      <c r="F30" s="1294"/>
      <c r="G30" s="1851"/>
      <c r="H30" s="745"/>
      <c r="I30" s="746"/>
      <c r="J30" s="747"/>
      <c r="K30" s="748"/>
      <c r="L30" s="749"/>
      <c r="M30" s="750"/>
    </row>
    <row r="31" spans="1:37" ht="18" customHeight="1">
      <c r="A31" s="1201" t="s">
        <v>1032</v>
      </c>
      <c r="B31" s="347" t="s">
        <v>1425</v>
      </c>
      <c r="C31" s="24">
        <f ca="1">ROUND(IF(项目基本情况!B11="自然人",C5*F31,C32+C33+C34),1)</f>
        <v>15.7</v>
      </c>
      <c r="D31" s="2958" t="s">
        <v>1426</v>
      </c>
      <c r="E31" s="2959"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4.43</v>
      </c>
      <c r="D32" s="2959"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1.34</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557.75</v>
      </c>
      <c r="G35" s="1851"/>
      <c r="H35" s="745"/>
      <c r="I35" s="1860"/>
      <c r="J35" s="1861"/>
      <c r="K35" s="1862"/>
      <c r="L35" s="1859"/>
      <c r="M35" s="1859"/>
    </row>
    <row r="36" spans="1:18" ht="18" customHeight="1">
      <c r="A36" s="1352" t="s">
        <v>1036</v>
      </c>
      <c r="B36" s="347" t="s">
        <v>1445</v>
      </c>
      <c r="C36" s="24">
        <f ca="1">ROUND(C29*F36,1)</f>
        <v>46.3</v>
      </c>
      <c r="D36" s="2959"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3.8</v>
      </c>
      <c r="D37" s="2959"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302</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430</v>
      </c>
      <c r="D43" s="383" t="s">
        <v>1484</v>
      </c>
      <c r="E43" s="384" t="s">
        <v>1485</v>
      </c>
      <c r="F43" s="385">
        <f ca="1">INDIRECT("'数据-取费表'!k"&amp;$G$1)</f>
        <v>7023.41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-4938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302</v>
      </c>
      <c r="R47" s="1886" t="s">
        <v>1525</v>
      </c>
    </row>
    <row r="48" spans="1:18" s="1842" customFormat="1" ht="28.5" thickBot="1">
      <c r="A48" s="1360" t="s">
        <v>1132</v>
      </c>
      <c r="B48" s="345" t="s">
        <v>1397</v>
      </c>
      <c r="C48" s="2952">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3085</v>
      </c>
      <c r="R49" s="1886" t="s">
        <v>1525</v>
      </c>
    </row>
    <row r="50" spans="1:18" s="1842" customFormat="1" ht="13.5" thickBot="1">
      <c r="A50" s="1195"/>
      <c r="B50" s="1198"/>
      <c r="C50" s="1368"/>
      <c r="D50" s="1172"/>
      <c r="E50" s="1277" t="s">
        <v>1402</v>
      </c>
      <c r="F50" s="1278">
        <f ca="1">F7</f>
        <v>110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47</v>
      </c>
      <c r="K51" s="1900" t="s">
        <v>1537</v>
      </c>
      <c r="L51" s="1901">
        <f ca="1">ROUND(-PV(INDIRECT("'数据-取费表'!h"&amp;$G$1),L48,(C39-C13*C76),0),0)</f>
        <v>-3146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2" t="s">
        <v>1544</v>
      </c>
      <c r="L53" s="3193"/>
      <c r="O53" s="1884" t="s">
        <v>1043</v>
      </c>
      <c r="P53" s="1885" t="s">
        <v>1545</v>
      </c>
      <c r="Q53" s="1886">
        <f ca="1">Q47+Q48</f>
        <v>302</v>
      </c>
      <c r="R53" s="1886" t="s">
        <v>1044</v>
      </c>
    </row>
    <row r="54" spans="1:18" s="1842" customFormat="1" ht="13.5" thickBot="1">
      <c r="A54" s="1406"/>
      <c r="B54" s="1825" t="s">
        <v>1384</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6"/>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2530</v>
      </c>
      <c r="D56" s="1914"/>
      <c r="E56" s="1915"/>
      <c r="F56" s="1907"/>
      <c r="I56" s="1916" t="s">
        <v>1550</v>
      </c>
      <c r="J56" s="1917" t="s">
        <v>3092</v>
      </c>
      <c r="K56" s="1887" t="s">
        <v>1551</v>
      </c>
      <c r="L56" s="1890" t="str">
        <f ca="1">IF(L48&lt;J51,"——",L48-J53)</f>
        <v>——</v>
      </c>
      <c r="O56" s="1884" t="s">
        <v>1037</v>
      </c>
      <c r="P56" s="1885" t="s">
        <v>1524</v>
      </c>
      <c r="Q56" s="1886">
        <f ca="1">C40+J29</f>
        <v>302</v>
      </c>
      <c r="R56" s="1886" t="s">
        <v>1525</v>
      </c>
    </row>
    <row r="57" spans="1:18" s="1842" customFormat="1" ht="24.75" thickBot="1">
      <c r="A57" s="1918"/>
      <c r="B57" s="1169" t="s">
        <v>1474</v>
      </c>
      <c r="C57" s="282">
        <f ca="1">C29</f>
        <v>3085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311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260.5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259.14</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1.34</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302</v>
      </c>
      <c r="R62" s="1886" t="s">
        <v>1044</v>
      </c>
    </row>
    <row r="63" spans="1:18" s="1842" customFormat="1" ht="13.5" thickBot="1">
      <c r="A63" s="372"/>
      <c r="B63" s="1175"/>
      <c r="C63" s="29"/>
      <c r="D63" s="1185"/>
      <c r="E63" s="1169" t="s">
        <v>1495</v>
      </c>
      <c r="F63" s="348">
        <f t="shared" ca="1" si="0"/>
        <v>557.75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46.3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3.8</v>
      </c>
      <c r="D65" s="1183" t="s">
        <v>1450</v>
      </c>
      <c r="E65" s="1169" t="s">
        <v>1451</v>
      </c>
      <c r="F65" s="376">
        <f t="shared" ca="1" si="0"/>
        <v>1.5E-3</v>
      </c>
      <c r="I65" s="1929" t="s">
        <v>1575</v>
      </c>
      <c r="J65" s="1930">
        <v>40</v>
      </c>
      <c r="K65" s="1930">
        <v>30</v>
      </c>
      <c r="L65" s="1930">
        <v>50</v>
      </c>
      <c r="M65" s="1932">
        <v>0.02</v>
      </c>
      <c r="O65" s="1884" t="s">
        <v>1037</v>
      </c>
      <c r="P65" s="1885" t="s">
        <v>1576</v>
      </c>
      <c r="Q65" s="1886">
        <f ca="1">C40+J29</f>
        <v>302</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-311</v>
      </c>
      <c r="D67" s="1182" t="s">
        <v>1460</v>
      </c>
      <c r="E67" s="1187"/>
      <c r="F67" s="1188"/>
      <c r="O67" s="1894" t="s">
        <v>1039</v>
      </c>
      <c r="P67" s="1885" t="s">
        <v>1558</v>
      </c>
      <c r="Q67" s="1933">
        <f ca="1">L51</f>
        <v>-3146</v>
      </c>
      <c r="R67" s="1886" t="s">
        <v>1578</v>
      </c>
    </row>
    <row r="68" spans="1:18" s="1842" customFormat="1" ht="16.5" thickBot="1">
      <c r="A68" s="1166" t="s">
        <v>1029</v>
      </c>
      <c r="B68" s="1167" t="s">
        <v>1481</v>
      </c>
      <c r="C68" s="346">
        <f ca="1">ROUND(C67*(1-((1+F70)/(1+F68))^F69)/(F68-F70),0)</f>
        <v>-4636</v>
      </c>
      <c r="D68" s="1184" t="s">
        <v>1465</v>
      </c>
      <c r="E68" s="1169" t="s">
        <v>1466</v>
      </c>
      <c r="F68" s="357">
        <f ca="1">F40</f>
        <v>5.5E-2</v>
      </c>
      <c r="O68" s="1894" t="s">
        <v>1040</v>
      </c>
      <c r="P68" s="1934" t="s">
        <v>1579</v>
      </c>
      <c r="Q68" s="1886">
        <f ca="1">ROUND(Q69-Q70*Q71,0)</f>
        <v>-199</v>
      </c>
      <c r="R68" s="1886" t="s">
        <v>1048</v>
      </c>
    </row>
    <row r="69" spans="1:18" s="1842" customFormat="1" ht="13.5" thickBot="1">
      <c r="A69" s="1170"/>
      <c r="B69" s="1171"/>
      <c r="C69" s="351"/>
      <c r="D69" s="1189" t="s">
        <v>1469</v>
      </c>
      <c r="E69" s="1169" t="s">
        <v>1470</v>
      </c>
      <c r="F69" s="379">
        <f ca="1">F41</f>
        <v>32.01</v>
      </c>
      <c r="O69" s="1894" t="s">
        <v>1045</v>
      </c>
      <c r="P69" s="1934" t="s">
        <v>1580</v>
      </c>
      <c r="Q69" s="1886">
        <f ca="1">C39</f>
        <v>16</v>
      </c>
      <c r="R69" s="1886" t="s">
        <v>1525</v>
      </c>
    </row>
    <row r="70" spans="1:18" s="1842" customFormat="1" ht="13.5" thickBot="1">
      <c r="A70" s="1173"/>
      <c r="B70" s="1174"/>
      <c r="C70" s="355"/>
      <c r="D70" s="1185"/>
      <c r="E70" s="1169" t="s">
        <v>1473</v>
      </c>
      <c r="F70" s="1275"/>
      <c r="O70" s="1894" t="s">
        <v>1046</v>
      </c>
      <c r="P70" s="1934" t="s">
        <v>1581</v>
      </c>
      <c r="Q70" s="1886">
        <f ca="1">C13</f>
        <v>2530</v>
      </c>
      <c r="R70" s="1886" t="s">
        <v>1525</v>
      </c>
    </row>
    <row r="71" spans="1:18" s="1842" customFormat="1" ht="13.5" thickBot="1">
      <c r="A71" s="1190" t="s">
        <v>1030</v>
      </c>
      <c r="B71" s="1191" t="s">
        <v>1483</v>
      </c>
      <c r="C71" s="382">
        <f ca="1">ROUND(C68*10000/F71,0)</f>
        <v>-6601</v>
      </c>
      <c r="D71" s="1192" t="s">
        <v>1484</v>
      </c>
      <c r="E71" s="1193" t="s">
        <v>1485</v>
      </c>
      <c r="F71" s="385">
        <f ca="1">F43</f>
        <v>7023.41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215</v>
      </c>
      <c r="D75" s="1842"/>
      <c r="E75" s="1842"/>
      <c r="F75" s="1842"/>
      <c r="K75" s="1868"/>
      <c r="L75" s="1842"/>
      <c r="O75" s="1884" t="s">
        <v>1043</v>
      </c>
      <c r="P75" s="1885" t="s">
        <v>1545</v>
      </c>
      <c r="Q75" s="1886">
        <f ca="1">Q65+Q66</f>
        <v>302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-12.438000000000001</v>
      </c>
    </row>
    <row r="80" spans="1:18">
      <c r="B80" s="386" t="s">
        <v>1507</v>
      </c>
      <c r="C80" s="318">
        <f ca="1">ROUND(C75/C39,3)</f>
        <v>13.438000000000001</v>
      </c>
    </row>
    <row r="81" spans="2:3">
      <c r="B81" s="314" t="s">
        <v>1508</v>
      </c>
      <c r="C81" s="282"/>
    </row>
    <row r="82" spans="2:3">
      <c r="B82" s="317" t="s">
        <v>1509</v>
      </c>
      <c r="C82" s="319">
        <f ca="1">1-C83</f>
        <v>-7.3770000000000007</v>
      </c>
    </row>
    <row r="83" spans="2:3">
      <c r="B83" s="317" t="s">
        <v>1510</v>
      </c>
      <c r="C83" s="318">
        <f ca="1">ROUND(C13/C40,3)</f>
        <v>8.3770000000000007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4" t="s">
        <v>1399</v>
      </c>
      <c r="C6" s="1296">
        <f ca="1">ROUND(F6*F8*F7*(1-F9),0)</f>
        <v>0</v>
      </c>
      <c r="D6" s="164" t="s">
        <v>3022</v>
      </c>
      <c r="E6" s="347" t="s">
        <v>1401</v>
      </c>
      <c r="F6" s="348">
        <f ca="1">INDIRECT("'数据-取费表'!u"&amp;$G$1)</f>
        <v>0</v>
      </c>
      <c r="G6" s="1851"/>
      <c r="H6" s="1291" t="s">
        <v>1032</v>
      </c>
      <c r="I6" s="3194" t="s">
        <v>1399</v>
      </c>
      <c r="J6" s="346">
        <f ca="1">ROUND(M6*M8*M7*(1-M9),0)</f>
        <v>0</v>
      </c>
      <c r="K6" s="1834" t="s">
        <v>3023</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0</v>
      </c>
      <c r="G7" s="1851"/>
      <c r="H7" s="349"/>
      <c r="I7" s="3195"/>
      <c r="J7" s="351"/>
      <c r="K7" s="352"/>
      <c r="L7" s="347" t="s">
        <v>1402</v>
      </c>
      <c r="M7" s="348">
        <f ca="1">F7</f>
        <v>0</v>
      </c>
    </row>
    <row r="8" spans="1:37" ht="18" customHeight="1">
      <c r="A8" s="349"/>
      <c r="B8" s="3195"/>
      <c r="C8" s="351"/>
      <c r="D8" s="352"/>
      <c r="E8" s="347" t="s">
        <v>1403</v>
      </c>
      <c r="F8" s="348">
        <f ca="1">INDIRECT("'数据-取费表'!ai"&amp;$G$1)</f>
        <v>0</v>
      </c>
      <c r="G8" s="1851"/>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c r="G10" s="1851"/>
      <c r="H10" s="1291" t="s">
        <v>1036</v>
      </c>
      <c r="I10" s="1823" t="s">
        <v>1405</v>
      </c>
      <c r="J10" s="346">
        <f ca="1">ROUND(IF(M10="押一",J6/12*M11,IF(M10="押二",J6/12*2*M11,IF(M10="押三",J6/12*3*M11,J11*M11))),0)</f>
        <v>0</v>
      </c>
      <c r="K10" s="1835" t="s">
        <v>3035</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3036</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2" t="s">
        <v>1544</v>
      </c>
      <c r="L53" s="319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24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2521</v>
      </c>
      <c r="B1" s="2564"/>
      <c r="C1" s="2564"/>
      <c r="D1" s="2564"/>
      <c r="E1" s="2565"/>
    </row>
    <row r="2" spans="1:6" ht="15.75">
      <c r="A2" s="2566" t="s">
        <v>2322</v>
      </c>
      <c r="B2" s="2567">
        <f ca="1">SUMIF(B6:B13,"&lt;&gt;#ref!",B6:B13)</f>
        <v>141818</v>
      </c>
      <c r="C2" s="2568" t="s">
        <v>2514</v>
      </c>
      <c r="D2" s="2569" t="s">
        <v>2515</v>
      </c>
      <c r="E2" s="2570">
        <f>SUM(E6:E13)</f>
        <v>35720.53</v>
      </c>
    </row>
    <row r="3" spans="1:6" ht="15.75">
      <c r="A3" s="2566" t="s">
        <v>1391</v>
      </c>
      <c r="B3" s="2567">
        <f ca="1">ROUND(B2*10000/E2,0)</f>
        <v>39702</v>
      </c>
      <c r="C3" s="2568" t="s">
        <v>2522</v>
      </c>
      <c r="D3" s="2571"/>
      <c r="E3" s="2572"/>
    </row>
    <row r="4" spans="1:6" ht="15.75">
      <c r="A4" s="2573"/>
      <c r="B4" s="2571"/>
      <c r="C4" s="2571"/>
      <c r="D4" s="2571"/>
      <c r="E4" s="2572"/>
    </row>
    <row r="5" spans="1:6" ht="15">
      <c r="A5" s="2574" t="s">
        <v>2516</v>
      </c>
      <c r="B5" s="3197" t="s">
        <v>2517</v>
      </c>
      <c r="C5" s="3197"/>
      <c r="D5" s="2575"/>
      <c r="E5" s="2576" t="s">
        <v>2518</v>
      </c>
      <c r="F5" s="2577" t="s">
        <v>2519</v>
      </c>
    </row>
    <row r="6" spans="1:6">
      <c r="A6" s="2578" t="str">
        <f>'数据-取费表'!AN6</f>
        <v>收益法-写字楼</v>
      </c>
      <c r="B6" s="2577">
        <f ca="1">IF(F6="是",'数据-取费表'!AO6,0)</f>
        <v>141516</v>
      </c>
      <c r="C6" s="2568" t="s">
        <v>2514</v>
      </c>
      <c r="D6" s="2571"/>
      <c r="E6" s="2579">
        <f>IF(OR(A6=0,F6="否"),0,'数据-取费表'!K6+'数据-取费表'!S6)</f>
        <v>28420.120000000003</v>
      </c>
      <c r="F6" s="2580" t="s">
        <v>2520</v>
      </c>
    </row>
    <row r="7" spans="1:6">
      <c r="A7" s="2578" t="str">
        <f>'数据-取费表'!AN7</f>
        <v>收益法-车库</v>
      </c>
      <c r="B7" s="2577">
        <f ca="1">IF(F7="是",'数据-取费表'!AO7,0)</f>
        <v>302</v>
      </c>
      <c r="C7" s="2568" t="s">
        <v>2514</v>
      </c>
      <c r="D7" s="2571"/>
      <c r="E7" s="2579">
        <f>IF(OR(A7=0,F7="否"),0,'数据-取费表'!K7+'数据-取费表'!S7)</f>
        <v>7300.41</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04" t="s">
        <v>1074</v>
      </c>
      <c r="B2" s="3205" t="s">
        <v>1075</v>
      </c>
      <c r="C2" s="3205"/>
      <c r="D2" s="1301" t="s">
        <v>1076</v>
      </c>
      <c r="E2" s="1301" t="s">
        <v>1077</v>
      </c>
      <c r="F2" s="1301" t="s">
        <v>1078</v>
      </c>
      <c r="G2" s="1301" t="s">
        <v>1079</v>
      </c>
      <c r="H2" s="1301" t="s">
        <v>1080</v>
      </c>
      <c r="I2" s="1302" t="s">
        <v>1081</v>
      </c>
    </row>
    <row r="3" spans="1:9">
      <c r="A3" s="3204"/>
      <c r="B3" s="3205" t="s">
        <v>1082</v>
      </c>
      <c r="C3" s="3205"/>
      <c r="D3" s="1303"/>
      <c r="E3" s="1301"/>
      <c r="F3" s="1304"/>
      <c r="G3" s="1304"/>
      <c r="H3" s="1305"/>
      <c r="I3" s="1306">
        <f>ROUND(D3*E3*F3*G3*H3/10000,0)</f>
        <v>0</v>
      </c>
    </row>
    <row r="4" spans="1:9">
      <c r="A4" s="3204"/>
      <c r="B4" s="3205" t="s">
        <v>1083</v>
      </c>
      <c r="C4" s="3205"/>
      <c r="D4" s="1303"/>
      <c r="E4" s="1301"/>
      <c r="F4" s="1304"/>
      <c r="G4" s="1304"/>
      <c r="H4" s="1305"/>
      <c r="I4" s="1306">
        <f t="shared" ref="I4:I9" si="0">ROUND(D4*E4*F4*G4*H4/10000,0)</f>
        <v>0</v>
      </c>
    </row>
    <row r="5" spans="1:9">
      <c r="A5" s="3204"/>
      <c r="B5" s="3205" t="s">
        <v>1084</v>
      </c>
      <c r="C5" s="3205"/>
      <c r="D5" s="1303"/>
      <c r="E5" s="1301"/>
      <c r="F5" s="1304"/>
      <c r="G5" s="1304"/>
      <c r="H5" s="1305"/>
      <c r="I5" s="1306">
        <f t="shared" si="0"/>
        <v>0</v>
      </c>
    </row>
    <row r="6" spans="1:9">
      <c r="A6" s="3204"/>
      <c r="B6" s="3205" t="s">
        <v>1085</v>
      </c>
      <c r="C6" s="3205"/>
      <c r="D6" s="1303"/>
      <c r="E6" s="1301"/>
      <c r="F6" s="1304"/>
      <c r="G6" s="1304"/>
      <c r="H6" s="1305"/>
      <c r="I6" s="1306">
        <f t="shared" si="0"/>
        <v>0</v>
      </c>
    </row>
    <row r="7" spans="1:9">
      <c r="A7" s="3204"/>
      <c r="B7" s="3205" t="s">
        <v>1086</v>
      </c>
      <c r="C7" s="3205"/>
      <c r="D7" s="1303"/>
      <c r="E7" s="1301"/>
      <c r="F7" s="1304"/>
      <c r="G7" s="1304"/>
      <c r="H7" s="1305"/>
      <c r="I7" s="1306">
        <f t="shared" si="0"/>
        <v>0</v>
      </c>
    </row>
    <row r="8" spans="1:9">
      <c r="A8" s="3204"/>
      <c r="B8" s="3205" t="s">
        <v>1087</v>
      </c>
      <c r="C8" s="3205"/>
      <c r="D8" s="1303"/>
      <c r="E8" s="1301"/>
      <c r="F8" s="1304"/>
      <c r="G8" s="1304"/>
      <c r="H8" s="1305"/>
      <c r="I8" s="1306">
        <f t="shared" si="0"/>
        <v>0</v>
      </c>
    </row>
    <row r="9" spans="1:9">
      <c r="A9" s="3204"/>
      <c r="B9" s="3205" t="s">
        <v>1088</v>
      </c>
      <c r="C9" s="3205"/>
      <c r="D9" s="1303"/>
      <c r="E9" s="1301"/>
      <c r="F9" s="1304"/>
      <c r="G9" s="1304"/>
      <c r="H9" s="1305"/>
      <c r="I9" s="1306">
        <f t="shared" si="0"/>
        <v>0</v>
      </c>
    </row>
    <row r="10" spans="1:9">
      <c r="A10" s="3204"/>
      <c r="B10" s="3206" t="s">
        <v>1089</v>
      </c>
      <c r="C10" s="3206"/>
      <c r="D10" s="1307"/>
      <c r="E10" s="1307" t="e">
        <f>ROUND(D1*10000/D10/H9,0)</f>
        <v>#DIV/0!</v>
      </c>
      <c r="F10" s="1308"/>
      <c r="G10" s="1308"/>
      <c r="H10" s="1309"/>
      <c r="I10" s="1310">
        <f>SUM(I3:I9)</f>
        <v>0</v>
      </c>
    </row>
    <row r="11" spans="1:9" ht="14.25">
      <c r="A11" s="3204" t="s">
        <v>1090</v>
      </c>
      <c r="B11" s="3205" t="s">
        <v>1091</v>
      </c>
      <c r="C11" s="3205"/>
      <c r="D11" s="1303" t="s">
        <v>1092</v>
      </c>
      <c r="E11" s="1303" t="s">
        <v>1093</v>
      </c>
      <c r="F11" s="1304" t="s">
        <v>1094</v>
      </c>
      <c r="G11" s="1304" t="s">
        <v>1080</v>
      </c>
      <c r="H11" s="1311" t="s">
        <v>1095</v>
      </c>
      <c r="I11" s="1302" t="s">
        <v>1081</v>
      </c>
    </row>
    <row r="12" spans="1:9">
      <c r="A12" s="3204"/>
      <c r="B12" s="3205" t="s">
        <v>1096</v>
      </c>
      <c r="C12" s="3205"/>
      <c r="D12" s="1303"/>
      <c r="E12" s="1303"/>
      <c r="F12" s="1304"/>
      <c r="G12" s="1305"/>
      <c r="H12" s="1312"/>
      <c r="I12" s="1302">
        <f>ROUND(D12*E12*F12*G12/10000,0)</f>
        <v>0</v>
      </c>
    </row>
    <row r="13" spans="1:9">
      <c r="A13" s="3204"/>
      <c r="B13" s="3205" t="s">
        <v>1097</v>
      </c>
      <c r="C13" s="3205"/>
      <c r="D13" s="1303"/>
      <c r="E13" s="1303"/>
      <c r="F13" s="1304"/>
      <c r="G13" s="1305"/>
      <c r="H13" s="1312"/>
      <c r="I13" s="1302">
        <f>ROUND(D13*E13*F13*G13/10000,0)</f>
        <v>0</v>
      </c>
    </row>
    <row r="14" spans="1:9">
      <c r="A14" s="3204"/>
      <c r="B14" s="3205" t="s">
        <v>1098</v>
      </c>
      <c r="C14" s="3205"/>
      <c r="D14" s="1303"/>
      <c r="E14" s="1303"/>
      <c r="F14" s="1304"/>
      <c r="G14" s="1305"/>
      <c r="H14" s="1312"/>
      <c r="I14" s="1302">
        <f>ROUND(D14*E14*F14*G14/10000,0)</f>
        <v>0</v>
      </c>
    </row>
    <row r="15" spans="1:9">
      <c r="A15" s="3204"/>
      <c r="B15" s="3206" t="s">
        <v>1089</v>
      </c>
      <c r="C15" s="3206"/>
      <c r="D15" s="1307"/>
      <c r="E15" s="1307">
        <f>SUM(E12:E14)</f>
        <v>0</v>
      </c>
      <c r="F15" s="1308"/>
      <c r="G15" s="1305"/>
      <c r="H15" s="1312"/>
      <c r="I15" s="1313">
        <f>SUM(I12:I14)</f>
        <v>0</v>
      </c>
    </row>
    <row r="16" spans="1:9" ht="24">
      <c r="A16" s="3204" t="s">
        <v>1099</v>
      </c>
      <c r="B16" s="3205" t="s">
        <v>1100</v>
      </c>
      <c r="C16" s="3205"/>
      <c r="D16" s="1303" t="s">
        <v>1076</v>
      </c>
      <c r="E16" s="1314" t="s">
        <v>1101</v>
      </c>
      <c r="F16" s="1304" t="s">
        <v>1102</v>
      </c>
      <c r="G16" s="1305" t="s">
        <v>1080</v>
      </c>
      <c r="H16" s="1311" t="s">
        <v>1095</v>
      </c>
      <c r="I16" s="1302" t="s">
        <v>1081</v>
      </c>
    </row>
    <row r="17" spans="1:9" ht="14.25">
      <c r="A17" s="3204"/>
      <c r="B17" s="3205" t="s">
        <v>1103</v>
      </c>
      <c r="C17" s="3205"/>
      <c r="D17" s="1303"/>
      <c r="E17" s="1303"/>
      <c r="F17" s="1304"/>
      <c r="G17" s="1305"/>
      <c r="H17" s="1315"/>
      <c r="I17" s="1316">
        <f>ROUND(D17*E17*F17*G17/10000,0)</f>
        <v>0</v>
      </c>
    </row>
    <row r="18" spans="1:9" ht="14.25">
      <c r="A18" s="3204"/>
      <c r="B18" s="3205" t="s">
        <v>1104</v>
      </c>
      <c r="C18" s="3205"/>
      <c r="D18" s="1303"/>
      <c r="E18" s="1303"/>
      <c r="F18" s="1304"/>
      <c r="G18" s="1305"/>
      <c r="H18" s="1315"/>
      <c r="I18" s="1316">
        <f>ROUND(D18*E18*F18*G18/10000,0)</f>
        <v>0</v>
      </c>
    </row>
    <row r="19" spans="1:9" ht="14.25">
      <c r="A19" s="3204"/>
      <c r="B19" s="3205" t="s">
        <v>1105</v>
      </c>
      <c r="C19" s="3205"/>
      <c r="D19" s="1303"/>
      <c r="E19" s="1303"/>
      <c r="F19" s="1304"/>
      <c r="G19" s="1305"/>
      <c r="H19" s="1315"/>
      <c r="I19" s="1316">
        <f>ROUND(D19*E19*F19*G19/10000,0)</f>
        <v>0</v>
      </c>
    </row>
    <row r="20" spans="1:9">
      <c r="A20" s="3204"/>
      <c r="B20" s="3206" t="s">
        <v>1089</v>
      </c>
      <c r="C20" s="3206"/>
      <c r="D20" s="1307">
        <f>SUM(D17:D19)</f>
        <v>0</v>
      </c>
      <c r="E20" s="1307"/>
      <c r="F20" s="1308"/>
      <c r="G20" s="1305"/>
      <c r="H20" s="1312"/>
      <c r="I20" s="1313">
        <f>SUM(I17:I19)</f>
        <v>0</v>
      </c>
    </row>
    <row r="21" spans="1:9">
      <c r="A21" s="3204"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01">
        <f>C27-C30-C31-C32</f>
        <v>0</v>
      </c>
      <c r="F26" s="3201"/>
      <c r="G26" s="3201"/>
      <c r="H26" s="1737" t="s">
        <v>1336</v>
      </c>
    </row>
    <row r="27" spans="1:9">
      <c r="A27" s="1324">
        <v>1</v>
      </c>
      <c r="B27" s="1325" t="s">
        <v>1115</v>
      </c>
      <c r="C27" s="1325">
        <f>C28+C29</f>
        <v>0</v>
      </c>
      <c r="D27" s="1325"/>
      <c r="E27" s="3202"/>
      <c r="F27" s="3202"/>
      <c r="G27" s="3202"/>
    </row>
    <row r="28" spans="1:9">
      <c r="A28" s="1326" t="s">
        <v>1116</v>
      </c>
      <c r="B28" s="1325" t="s">
        <v>1117</v>
      </c>
      <c r="C28" s="1325"/>
      <c r="D28" s="1325"/>
      <c r="E28" s="3202"/>
      <c r="F28" s="3202"/>
      <c r="G28" s="32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3"/>
      <c r="F32" s="3203"/>
      <c r="G32" s="3203"/>
    </row>
    <row r="33" spans="1:7" hidden="1">
      <c r="A33" s="3198" t="s">
        <v>1126</v>
      </c>
      <c r="B33" s="3199"/>
      <c r="C33" s="3199"/>
      <c r="D33" s="3200"/>
      <c r="E33" s="3201"/>
      <c r="F33" s="3201"/>
      <c r="G33" s="3201"/>
    </row>
    <row r="34" spans="1:7" hidden="1">
      <c r="A34" s="1328">
        <v>1</v>
      </c>
      <c r="B34" s="1325" t="s">
        <v>1127</v>
      </c>
      <c r="C34" s="1325"/>
      <c r="D34" s="1325"/>
      <c r="E34" s="3202"/>
      <c r="F34" s="3202"/>
      <c r="G34" s="3202"/>
    </row>
    <row r="35" spans="1:7" hidden="1">
      <c r="A35" s="1328">
        <v>2</v>
      </c>
      <c r="B35" s="1325" t="s">
        <v>1128</v>
      </c>
      <c r="C35" s="1325"/>
      <c r="D35" s="1325"/>
      <c r="E35" s="3202"/>
      <c r="F35" s="3202"/>
      <c r="G35" s="3202"/>
    </row>
    <row r="36" spans="1:7" hidden="1">
      <c r="A36" s="1328">
        <v>3</v>
      </c>
      <c r="B36" s="1325" t="s">
        <v>1129</v>
      </c>
      <c r="C36" s="1325"/>
      <c r="D36" s="1325"/>
      <c r="E36" s="3202"/>
      <c r="F36" s="3202"/>
      <c r="G36" s="3202"/>
    </row>
    <row r="37" spans="1:7" hidden="1">
      <c r="A37" s="1328">
        <v>4</v>
      </c>
      <c r="B37" s="1325" t="s">
        <v>1130</v>
      </c>
      <c r="C37" s="1325"/>
      <c r="D37" s="1325"/>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2524</v>
      </c>
      <c r="C1" s="1634" t="s">
        <v>2525</v>
      </c>
      <c r="D1" s="1621"/>
      <c r="E1" s="2585"/>
      <c r="F1" s="2586" t="s">
        <v>2526</v>
      </c>
      <c r="G1" s="1631" t="s">
        <v>2527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35720.530000000006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2530</v>
      </c>
      <c r="B4" s="402"/>
      <c r="C4" s="3237" t="s">
        <v>2531</v>
      </c>
      <c r="D4" s="3238"/>
      <c r="E4" s="3239" t="s">
        <v>2532</v>
      </c>
      <c r="F4" s="3240"/>
      <c r="G4" s="3237" t="s">
        <v>2533</v>
      </c>
      <c r="H4" s="3238"/>
      <c r="I4" s="3237" t="s">
        <v>2534</v>
      </c>
      <c r="J4" s="3238"/>
      <c r="K4" s="2598" t="s">
        <v>2535</v>
      </c>
      <c r="L4" s="1130"/>
      <c r="M4" s="1131"/>
      <c r="N4" s="1131"/>
      <c r="O4" s="1131"/>
      <c r="P4" s="3241" t="s">
        <v>2536</v>
      </c>
      <c r="Q4" s="3242"/>
      <c r="R4" s="3247" t="s">
        <v>2532</v>
      </c>
      <c r="S4" s="3248"/>
      <c r="T4" s="3247" t="s">
        <v>2533</v>
      </c>
      <c r="U4" s="3248"/>
      <c r="V4" s="3253" t="s">
        <v>2534</v>
      </c>
      <c r="W4" s="3253"/>
      <c r="X4" s="1813"/>
      <c r="Y4" s="3247" t="s">
        <v>2536</v>
      </c>
      <c r="Z4" s="3248"/>
      <c r="AA4" s="3234" t="s">
        <v>2532</v>
      </c>
      <c r="AB4" s="3234" t="s">
        <v>2533</v>
      </c>
      <c r="AC4" s="3234" t="s">
        <v>2534</v>
      </c>
    </row>
    <row r="5" spans="1:29" ht="15">
      <c r="A5" s="404"/>
      <c r="B5" s="405"/>
      <c r="C5" s="3256" t="s">
        <v>2537</v>
      </c>
      <c r="D5" s="3257"/>
      <c r="E5" s="3263" t="s">
        <v>2538</v>
      </c>
      <c r="F5" s="3264"/>
      <c r="G5" s="3256" t="s">
        <v>2539</v>
      </c>
      <c r="H5" s="3257"/>
      <c r="I5" s="3256" t="s">
        <v>2540</v>
      </c>
      <c r="J5" s="3257"/>
      <c r="K5" s="2599"/>
      <c r="L5" s="1130"/>
      <c r="M5" s="1131"/>
      <c r="N5" s="1131"/>
      <c r="O5" s="1131"/>
      <c r="P5" s="3243"/>
      <c r="Q5" s="3244"/>
      <c r="R5" s="3249"/>
      <c r="S5" s="3250"/>
      <c r="T5" s="3249"/>
      <c r="U5" s="3250"/>
      <c r="V5" s="3253"/>
      <c r="W5" s="3253"/>
      <c r="X5" s="1813"/>
      <c r="Y5" s="3249"/>
      <c r="Z5" s="3250"/>
      <c r="AA5" s="3235"/>
      <c r="AB5" s="3235"/>
      <c r="AC5" s="3235"/>
    </row>
    <row r="6" spans="1:29" ht="15.75" thickBot="1">
      <c r="A6" s="406"/>
      <c r="B6" s="407"/>
      <c r="C6" s="3254" t="s">
        <v>2541</v>
      </c>
      <c r="D6" s="3255"/>
      <c r="E6" s="3261" t="s">
        <v>2541</v>
      </c>
      <c r="F6" s="3262"/>
      <c r="G6" s="3254" t="s">
        <v>2541</v>
      </c>
      <c r="H6" s="3255"/>
      <c r="I6" s="3254" t="s">
        <v>2541</v>
      </c>
      <c r="J6" s="3255"/>
      <c r="K6" s="2599" t="s">
        <v>2542</v>
      </c>
      <c r="L6" s="1130"/>
      <c r="M6" s="1131"/>
      <c r="N6" s="1131"/>
      <c r="O6" s="1131"/>
      <c r="P6" s="3245"/>
      <c r="Q6" s="3246"/>
      <c r="R6" s="3249"/>
      <c r="S6" s="3250"/>
      <c r="T6" s="3251"/>
      <c r="U6" s="3252"/>
      <c r="V6" s="3253"/>
      <c r="W6" s="3253"/>
      <c r="X6" s="1813"/>
      <c r="Y6" s="3251"/>
      <c r="Z6" s="3252"/>
      <c r="AA6" s="3236"/>
      <c r="AB6" s="3236"/>
      <c r="AC6" s="3236"/>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58" t="s">
        <v>2544</v>
      </c>
      <c r="Q7" s="3260"/>
      <c r="R7" s="770" t="s">
        <v>23</v>
      </c>
      <c r="S7" s="771">
        <f t="shared" ref="S7:S15" si="0">F7</f>
        <v>0</v>
      </c>
      <c r="T7" s="770" t="s">
        <v>23</v>
      </c>
      <c r="U7" s="771">
        <f t="shared" ref="U7:U15" si="1">H7</f>
        <v>0</v>
      </c>
      <c r="V7" s="770" t="s">
        <v>23</v>
      </c>
      <c r="W7" s="771">
        <f t="shared" ref="W7:W15" si="2">J7</f>
        <v>0</v>
      </c>
      <c r="X7" s="772"/>
      <c r="Y7" s="3258" t="s">
        <v>2544</v>
      </c>
      <c r="Z7" s="3259"/>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58" t="s">
        <v>2547</v>
      </c>
      <c r="Q8" s="3259"/>
      <c r="R8" s="770" t="s">
        <v>23</v>
      </c>
      <c r="S8" s="771">
        <f t="shared" si="0"/>
        <v>0</v>
      </c>
      <c r="T8" s="770" t="s">
        <v>23</v>
      </c>
      <c r="U8" s="771">
        <f t="shared" si="1"/>
        <v>0</v>
      </c>
      <c r="V8" s="770" t="s">
        <v>23</v>
      </c>
      <c r="W8" s="771">
        <f t="shared" si="2"/>
        <v>0</v>
      </c>
      <c r="X8" s="772"/>
      <c r="Y8" s="3258" t="s">
        <v>2547</v>
      </c>
      <c r="Z8" s="325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33"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3"/>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33"/>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33"/>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33"/>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2554</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1" t="s">
        <v>2555</v>
      </c>
      <c r="Q15" s="1810" t="str">
        <f t="shared" si="6"/>
        <v>居住社区成熟度</v>
      </c>
      <c r="R15" s="774" t="s">
        <v>21</v>
      </c>
      <c r="S15" s="775">
        <f t="shared" si="0"/>
        <v>100</v>
      </c>
      <c r="T15" s="774" t="s">
        <v>21</v>
      </c>
      <c r="U15" s="775">
        <f t="shared" si="1"/>
        <v>100</v>
      </c>
      <c r="V15" s="774" t="s">
        <v>21</v>
      </c>
      <c r="W15" s="775">
        <f t="shared" si="2"/>
        <v>100</v>
      </c>
      <c r="X15" s="1813"/>
      <c r="Y15" s="3224" t="s">
        <v>2555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32"/>
      <c r="Q16" s="1810"/>
      <c r="R16" s="774"/>
      <c r="S16" s="775"/>
      <c r="T16" s="774"/>
      <c r="U16" s="775"/>
      <c r="V16" s="774"/>
      <c r="W16" s="775"/>
      <c r="X16" s="1813"/>
      <c r="Y16" s="3225"/>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2"/>
      <c r="Q17" s="1810" t="str">
        <f>B17</f>
        <v>交通便捷度</v>
      </c>
      <c r="R17" s="774" t="s">
        <v>21</v>
      </c>
      <c r="S17" s="775">
        <f>F17</f>
        <v>100</v>
      </c>
      <c r="T17" s="774" t="s">
        <v>21</v>
      </c>
      <c r="U17" s="775">
        <f>H17</f>
        <v>100</v>
      </c>
      <c r="V17" s="774" t="s">
        <v>21</v>
      </c>
      <c r="W17" s="775">
        <f>J17</f>
        <v>100</v>
      </c>
      <c r="X17" s="1813"/>
      <c r="Y17" s="3225"/>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32"/>
      <c r="Q18" s="1810"/>
      <c r="R18" s="774"/>
      <c r="S18" s="775"/>
      <c r="T18" s="774"/>
      <c r="U18" s="775"/>
      <c r="V18" s="774"/>
      <c r="W18" s="775"/>
      <c r="X18" s="1813"/>
      <c r="Y18" s="3225"/>
      <c r="Z18" s="1814"/>
      <c r="AA18" s="1811">
        <v>1</v>
      </c>
      <c r="AB18" s="1811">
        <v>1</v>
      </c>
      <c r="AC18" s="1811">
        <v>1</v>
      </c>
    </row>
    <row r="19" spans="1:29" ht="42.75">
      <c r="A19" s="428"/>
      <c r="B19" s="451" t="s">
        <v>2090</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2"/>
      <c r="Q19" s="1810" t="str">
        <f>B19</f>
        <v>公共配套设施</v>
      </c>
      <c r="R19" s="774" t="s">
        <v>21</v>
      </c>
      <c r="S19" s="775">
        <f>F19</f>
        <v>100</v>
      </c>
      <c r="T19" s="774" t="s">
        <v>21</v>
      </c>
      <c r="U19" s="775">
        <f>H19</f>
        <v>100</v>
      </c>
      <c r="V19" s="774" t="s">
        <v>21</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32"/>
      <c r="Q20" s="1810"/>
      <c r="R20" s="774"/>
      <c r="S20" s="775"/>
      <c r="T20" s="774"/>
      <c r="U20" s="775"/>
      <c r="V20" s="774"/>
      <c r="W20" s="775"/>
      <c r="X20" s="1813"/>
      <c r="Y20" s="3225"/>
      <c r="Z20" s="1814"/>
      <c r="AA20" s="1811">
        <v>1</v>
      </c>
      <c r="AB20" s="1811">
        <v>1</v>
      </c>
      <c r="AC20" s="1811">
        <v>1</v>
      </c>
    </row>
    <row r="21" spans="1:29" ht="28.5">
      <c r="A21" s="428"/>
      <c r="B21" s="1384" t="s">
        <v>2093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2"/>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32"/>
      <c r="Q22" s="1810"/>
      <c r="R22" s="774"/>
      <c r="S22" s="775"/>
      <c r="T22" s="774"/>
      <c r="U22" s="775"/>
      <c r="V22" s="774"/>
      <c r="W22" s="775"/>
      <c r="X22" s="1813"/>
      <c r="Y22" s="3225"/>
      <c r="Z22" s="1814"/>
      <c r="AA22" s="1811">
        <v>1</v>
      </c>
      <c r="AB22" s="1811">
        <v>1</v>
      </c>
      <c r="AC22" s="1811">
        <v>1</v>
      </c>
    </row>
    <row r="23" spans="1:29" ht="57">
      <c r="A23" s="428"/>
      <c r="B23" s="451" t="s">
        <v>2097</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2"/>
      <c r="Q23" s="1810" t="str">
        <f>B23</f>
        <v>自然及人文环境</v>
      </c>
      <c r="R23" s="774" t="s">
        <v>21</v>
      </c>
      <c r="S23" s="775">
        <f>F23</f>
        <v>100</v>
      </c>
      <c r="T23" s="774" t="s">
        <v>21</v>
      </c>
      <c r="U23" s="775">
        <f>H23</f>
        <v>100</v>
      </c>
      <c r="V23" s="774" t="s">
        <v>21</v>
      </c>
      <c r="W23" s="775">
        <f>J23</f>
        <v>100</v>
      </c>
      <c r="X23" s="1813"/>
      <c r="Y23" s="3225"/>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32"/>
      <c r="Q24" s="1810"/>
      <c r="R24" s="774"/>
      <c r="S24" s="775"/>
      <c r="T24" s="774"/>
      <c r="U24" s="775"/>
      <c r="V24" s="774"/>
      <c r="W24" s="775"/>
      <c r="X24" s="1813"/>
      <c r="Y24" s="3225"/>
      <c r="Z24" s="1814"/>
      <c r="AA24" s="1811">
        <v>1</v>
      </c>
      <c r="AB24" s="1811">
        <v>1</v>
      </c>
      <c r="AC24" s="1811">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5"/>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2"/>
      <c r="Q26" s="1810" t="str">
        <f t="shared" si="11"/>
        <v>朝向</v>
      </c>
      <c r="R26" s="774" t="s">
        <v>21</v>
      </c>
      <c r="S26" s="775">
        <f t="shared" si="12"/>
        <v>100</v>
      </c>
      <c r="T26" s="774" t="s">
        <v>21</v>
      </c>
      <c r="U26" s="775">
        <f t="shared" si="13"/>
        <v>100</v>
      </c>
      <c r="V26" s="774" t="s">
        <v>21</v>
      </c>
      <c r="W26" s="775">
        <f t="shared" si="14"/>
        <v>100</v>
      </c>
      <c r="X26" s="1813"/>
      <c r="Y26" s="322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2"/>
      <c r="Q27" s="1795">
        <f t="shared" si="11"/>
        <v>111</v>
      </c>
      <c r="R27" s="770" t="s">
        <v>21</v>
      </c>
      <c r="S27" s="771">
        <f t="shared" si="12"/>
        <v>100</v>
      </c>
      <c r="T27" s="770" t="s">
        <v>21</v>
      </c>
      <c r="U27" s="771">
        <f t="shared" si="13"/>
        <v>100</v>
      </c>
      <c r="V27" s="770" t="s">
        <v>21</v>
      </c>
      <c r="W27" s="771">
        <f t="shared" si="14"/>
        <v>100</v>
      </c>
      <c r="X27" s="772"/>
      <c r="Y27" s="322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2"/>
      <c r="Q28" s="1810">
        <f t="shared" si="11"/>
        <v>111</v>
      </c>
      <c r="R28" s="774" t="s">
        <v>21</v>
      </c>
      <c r="S28" s="775">
        <f t="shared" si="12"/>
        <v>100</v>
      </c>
      <c r="T28" s="774" t="s">
        <v>21</v>
      </c>
      <c r="U28" s="775">
        <f t="shared" si="13"/>
        <v>100</v>
      </c>
      <c r="V28" s="774" t="s">
        <v>21</v>
      </c>
      <c r="W28" s="775">
        <f t="shared" si="14"/>
        <v>100</v>
      </c>
      <c r="X28" s="1813"/>
      <c r="Y28" s="322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2"/>
      <c r="Q29" s="1810">
        <f t="shared" si="11"/>
        <v>111</v>
      </c>
      <c r="R29" s="774" t="s">
        <v>21</v>
      </c>
      <c r="S29" s="775">
        <f t="shared" si="12"/>
        <v>100</v>
      </c>
      <c r="T29" s="774" t="s">
        <v>21</v>
      </c>
      <c r="U29" s="775">
        <f t="shared" si="13"/>
        <v>100</v>
      </c>
      <c r="V29" s="774" t="s">
        <v>21</v>
      </c>
      <c r="W29" s="775">
        <f t="shared" si="14"/>
        <v>100</v>
      </c>
      <c r="X29" s="1813"/>
      <c r="Y29" s="322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2"/>
      <c r="Q30" s="1810">
        <f t="shared" si="11"/>
        <v>111</v>
      </c>
      <c r="R30" s="774" t="s">
        <v>21</v>
      </c>
      <c r="S30" s="775">
        <f t="shared" si="12"/>
        <v>100</v>
      </c>
      <c r="T30" s="774" t="s">
        <v>21</v>
      </c>
      <c r="U30" s="775">
        <f t="shared" si="13"/>
        <v>100</v>
      </c>
      <c r="V30" s="774" t="s">
        <v>21</v>
      </c>
      <c r="W30" s="775">
        <f t="shared" si="14"/>
        <v>100</v>
      </c>
      <c r="X30" s="1813"/>
      <c r="Y30" s="322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2"/>
      <c r="Q31" s="1810">
        <f t="shared" si="11"/>
        <v>111</v>
      </c>
      <c r="R31" s="774" t="s">
        <v>21</v>
      </c>
      <c r="S31" s="775">
        <f t="shared" si="12"/>
        <v>100</v>
      </c>
      <c r="T31" s="774" t="s">
        <v>21</v>
      </c>
      <c r="U31" s="775">
        <f t="shared" si="13"/>
        <v>100</v>
      </c>
      <c r="V31" s="774" t="s">
        <v>21</v>
      </c>
      <c r="W31" s="775">
        <f t="shared" si="14"/>
        <v>100</v>
      </c>
      <c r="X31" s="1813"/>
      <c r="Y31" s="3225"/>
      <c r="Z31" s="1814">
        <f t="shared" si="18"/>
        <v>111</v>
      </c>
      <c r="AA31" s="1811">
        <f t="shared" si="15"/>
        <v>1</v>
      </c>
      <c r="AB31" s="1811">
        <f t="shared" si="16"/>
        <v>1</v>
      </c>
      <c r="AC31" s="1811">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6" t="s">
        <v>2560</v>
      </c>
      <c r="Q32" s="1810" t="str">
        <f t="shared" si="11"/>
        <v>建筑类型</v>
      </c>
      <c r="R32" s="774" t="s">
        <v>21</v>
      </c>
      <c r="S32" s="775">
        <f t="shared" si="12"/>
        <v>100</v>
      </c>
      <c r="T32" s="774" t="s">
        <v>21</v>
      </c>
      <c r="U32" s="775">
        <f t="shared" si="13"/>
        <v>100</v>
      </c>
      <c r="V32" s="774" t="s">
        <v>21</v>
      </c>
      <c r="W32" s="775">
        <f t="shared" si="14"/>
        <v>100</v>
      </c>
      <c r="X32" s="1813"/>
      <c r="Y32" s="3229"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1" t="e">
        <f t="shared" si="15"/>
        <v>#N/A</v>
      </c>
      <c r="AB33" s="1811" t="e">
        <f t="shared" si="16"/>
        <v>#N/A</v>
      </c>
      <c r="AC33" s="1811"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7"/>
      <c r="Q34" s="1810" t="str">
        <f t="shared" si="11"/>
        <v>建筑结构</v>
      </c>
      <c r="R34" s="774" t="s">
        <v>21</v>
      </c>
      <c r="S34" s="775">
        <f t="shared" si="12"/>
        <v>100</v>
      </c>
      <c r="T34" s="774" t="s">
        <v>21</v>
      </c>
      <c r="U34" s="775">
        <f t="shared" si="13"/>
        <v>100</v>
      </c>
      <c r="V34" s="774" t="s">
        <v>21</v>
      </c>
      <c r="W34" s="775">
        <f t="shared" si="14"/>
        <v>100</v>
      </c>
      <c r="X34" s="1813"/>
      <c r="Y34" s="3229"/>
      <c r="Z34" s="1814" t="str">
        <f t="shared" si="18"/>
        <v>建筑结构</v>
      </c>
      <c r="AA34" s="1811">
        <f t="shared" si="15"/>
        <v>1</v>
      </c>
      <c r="AB34" s="1811">
        <f t="shared" si="16"/>
        <v>1</v>
      </c>
      <c r="AC34" s="1811">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7"/>
      <c r="Q35" s="1810" t="str">
        <f t="shared" si="11"/>
        <v>建筑品质</v>
      </c>
      <c r="R35" s="774" t="s">
        <v>21</v>
      </c>
      <c r="S35" s="775">
        <f t="shared" si="12"/>
        <v>100</v>
      </c>
      <c r="T35" s="774" t="s">
        <v>21</v>
      </c>
      <c r="U35" s="775">
        <f t="shared" si="13"/>
        <v>100</v>
      </c>
      <c r="V35" s="774" t="s">
        <v>21</v>
      </c>
      <c r="W35" s="775">
        <f t="shared" si="14"/>
        <v>100</v>
      </c>
      <c r="X35" s="1813"/>
      <c r="Y35" s="3229"/>
      <c r="Z35" s="1814" t="str">
        <f t="shared" si="18"/>
        <v>建筑品质</v>
      </c>
      <c r="AA35" s="1811">
        <f t="shared" si="15"/>
        <v>1</v>
      </c>
      <c r="AB35" s="1811">
        <f t="shared" si="16"/>
        <v>1</v>
      </c>
      <c r="AC35" s="1811">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7"/>
      <c r="Q36" s="1810" t="str">
        <f t="shared" si="11"/>
        <v>公共部分装修</v>
      </c>
      <c r="R36" s="774" t="s">
        <v>21</v>
      </c>
      <c r="S36" s="775">
        <f t="shared" si="12"/>
        <v>100</v>
      </c>
      <c r="T36" s="774" t="s">
        <v>21</v>
      </c>
      <c r="U36" s="775">
        <f t="shared" si="13"/>
        <v>100</v>
      </c>
      <c r="V36" s="774" t="s">
        <v>21</v>
      </c>
      <c r="W36" s="775">
        <f t="shared" si="14"/>
        <v>100</v>
      </c>
      <c r="X36" s="1813"/>
      <c r="Y36" s="3229"/>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7"/>
      <c r="Q37" s="1795"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7" t="s">
        <v>2560</v>
      </c>
      <c r="Q38" s="1810" t="str">
        <f t="shared" si="11"/>
        <v>物业管理</v>
      </c>
      <c r="R38" s="774" t="s">
        <v>21</v>
      </c>
      <c r="S38" s="775">
        <f t="shared" si="12"/>
        <v>100</v>
      </c>
      <c r="T38" s="774" t="s">
        <v>21</v>
      </c>
      <c r="U38" s="775">
        <f t="shared" si="13"/>
        <v>100</v>
      </c>
      <c r="V38" s="774" t="s">
        <v>21</v>
      </c>
      <c r="W38" s="775">
        <f t="shared" si="14"/>
        <v>100</v>
      </c>
      <c r="X38" s="1813"/>
      <c r="Y38" s="3229" t="s">
        <v>2560</v>
      </c>
      <c r="Z38" s="1814" t="str">
        <f t="shared" si="18"/>
        <v>物业管理</v>
      </c>
      <c r="AA38" s="1811">
        <f t="shared" si="15"/>
        <v>1</v>
      </c>
      <c r="AB38" s="1811">
        <f t="shared" si="16"/>
        <v>1</v>
      </c>
      <c r="AC38" s="1811">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7"/>
      <c r="Q39" s="1810" t="str">
        <f t="shared" si="11"/>
        <v>市政基础设施</v>
      </c>
      <c r="R39" s="774" t="s">
        <v>21</v>
      </c>
      <c r="S39" s="775">
        <f t="shared" si="12"/>
        <v>100</v>
      </c>
      <c r="T39" s="774" t="s">
        <v>21</v>
      </c>
      <c r="U39" s="775">
        <f t="shared" si="13"/>
        <v>100</v>
      </c>
      <c r="V39" s="774" t="s">
        <v>21</v>
      </c>
      <c r="W39" s="775">
        <f t="shared" si="14"/>
        <v>100</v>
      </c>
      <c r="X39" s="1813"/>
      <c r="Y39" s="3229"/>
      <c r="Z39" s="1814" t="str">
        <f t="shared" si="18"/>
        <v>市政基础设施</v>
      </c>
      <c r="AA39" s="1811">
        <f t="shared" si="15"/>
        <v>1</v>
      </c>
      <c r="AB39" s="1811">
        <f t="shared" si="16"/>
        <v>1</v>
      </c>
      <c r="AC39" s="1811">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7"/>
      <c r="Q40" s="1810" t="str">
        <f t="shared" si="11"/>
        <v>房型</v>
      </c>
      <c r="R40" s="774" t="s">
        <v>21</v>
      </c>
      <c r="S40" s="775">
        <f t="shared" si="12"/>
        <v>100</v>
      </c>
      <c r="T40" s="774" t="s">
        <v>21</v>
      </c>
      <c r="U40" s="775">
        <f t="shared" si="13"/>
        <v>100</v>
      </c>
      <c r="V40" s="774" t="s">
        <v>21</v>
      </c>
      <c r="W40" s="775">
        <f t="shared" si="14"/>
        <v>100</v>
      </c>
      <c r="X40" s="1813"/>
      <c r="Y40" s="3229"/>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1">
        <f t="shared" si="15"/>
        <v>1</v>
      </c>
      <c r="AB41" s="1811">
        <f t="shared" si="16"/>
        <v>1</v>
      </c>
      <c r="AC41" s="1811">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7"/>
      <c r="Q42" s="1810" t="str">
        <f t="shared" si="11"/>
        <v>内部装修</v>
      </c>
      <c r="R42" s="774" t="s">
        <v>21</v>
      </c>
      <c r="S42" s="775">
        <f t="shared" si="12"/>
        <v>100</v>
      </c>
      <c r="T42" s="774" t="s">
        <v>21</v>
      </c>
      <c r="U42" s="775">
        <f t="shared" si="13"/>
        <v>100</v>
      </c>
      <c r="V42" s="774" t="s">
        <v>21</v>
      </c>
      <c r="W42" s="775">
        <f t="shared" si="14"/>
        <v>100</v>
      </c>
      <c r="X42" s="1813"/>
      <c r="Y42" s="3229"/>
      <c r="Z42" s="1814" t="str">
        <f t="shared" si="18"/>
        <v>内部装修</v>
      </c>
      <c r="AA42" s="1811">
        <f t="shared" si="15"/>
        <v>1</v>
      </c>
      <c r="AB42" s="1811">
        <f t="shared" si="16"/>
        <v>1</v>
      </c>
      <c r="AC42" s="1811">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7"/>
      <c r="Q43" s="1810" t="str">
        <f t="shared" si="11"/>
        <v>内部装修维护情况</v>
      </c>
      <c r="R43" s="774" t="s">
        <v>21</v>
      </c>
      <c r="S43" s="775">
        <f t="shared" si="12"/>
        <v>100</v>
      </c>
      <c r="T43" s="774" t="s">
        <v>21</v>
      </c>
      <c r="U43" s="775">
        <f t="shared" si="13"/>
        <v>100</v>
      </c>
      <c r="V43" s="774" t="s">
        <v>21</v>
      </c>
      <c r="W43" s="775">
        <f t="shared" si="14"/>
        <v>100</v>
      </c>
      <c r="X43" s="1813"/>
      <c r="Y43" s="322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7"/>
      <c r="Q44" s="1795">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7"/>
      <c r="Q45" s="1810">
        <f t="shared" si="11"/>
        <v>111</v>
      </c>
      <c r="R45" s="774" t="s">
        <v>21</v>
      </c>
      <c r="S45" s="775">
        <f t="shared" si="12"/>
        <v>100</v>
      </c>
      <c r="T45" s="774" t="s">
        <v>21</v>
      </c>
      <c r="U45" s="775">
        <f t="shared" si="13"/>
        <v>100</v>
      </c>
      <c r="V45" s="774" t="s">
        <v>21</v>
      </c>
      <c r="W45" s="775">
        <f t="shared" si="14"/>
        <v>100</v>
      </c>
      <c r="X45" s="1813"/>
      <c r="Y45" s="3229"/>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8"/>
      <c r="Q46" s="1810">
        <f t="shared" si="11"/>
        <v>111</v>
      </c>
      <c r="R46" s="774" t="s">
        <v>20</v>
      </c>
      <c r="S46" s="775">
        <f t="shared" si="12"/>
        <v>100</v>
      </c>
      <c r="T46" s="774" t="s">
        <v>20</v>
      </c>
      <c r="U46" s="775">
        <f t="shared" si="13"/>
        <v>100</v>
      </c>
      <c r="V46" s="774" t="s">
        <v>20</v>
      </c>
      <c r="W46" s="775">
        <f t="shared" si="14"/>
        <v>100</v>
      </c>
      <c r="X46" s="1813"/>
      <c r="Y46" s="3230"/>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3"/>
      <c r="L47" s="1143"/>
      <c r="M47" s="1144"/>
      <c r="N47" s="1131"/>
      <c r="O47" s="1144"/>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4"/>
      <c r="L48" s="1143"/>
      <c r="M48" s="1144"/>
      <c r="N48" s="1144"/>
      <c r="O48" s="1144"/>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5"/>
      <c r="L49" s="1143"/>
      <c r="M49" s="1144"/>
      <c r="N49" s="1144"/>
      <c r="O49" s="1144"/>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8"/>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2606</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2558</v>
      </c>
      <c r="B100" s="528" t="s">
        <v>2607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2610</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2611</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2614</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4">
        <v>6</v>
      </c>
      <c r="C139" s="1085">
        <v>96</v>
      </c>
      <c r="D139" s="2650" t="s">
        <v>2626</v>
      </c>
      <c r="E139" s="1086">
        <v>100</v>
      </c>
      <c r="F139" s="1087">
        <v>102.5</v>
      </c>
      <c r="G139" s="2650" t="s">
        <v>2626</v>
      </c>
      <c r="H139" s="1088">
        <v>105</v>
      </c>
      <c r="I139" s="2651" t="s">
        <v>2627</v>
      </c>
      <c r="J139" s="1085">
        <v>20</v>
      </c>
      <c r="K139" s="1089">
        <f>C145/(J139-2)</f>
        <v>4.0555555555555553E-3</v>
      </c>
    </row>
    <row r="140" spans="1:17" ht="15">
      <c r="B140" s="1090">
        <v>5</v>
      </c>
      <c r="C140" s="1091">
        <v>100</v>
      </c>
      <c r="D140" s="1091"/>
      <c r="E140" s="1092"/>
      <c r="F140" s="1093">
        <v>102</v>
      </c>
      <c r="G140" s="1091"/>
      <c r="H140" s="1094"/>
      <c r="I140" s="2652" t="s">
        <v>2628</v>
      </c>
      <c r="J140" s="315">
        <f>ROUNDUP((J139-1)/2,0)</f>
        <v>10</v>
      </c>
      <c r="K140" s="1095">
        <v>100</v>
      </c>
    </row>
    <row r="141" spans="1:17" ht="15">
      <c r="B141" s="1090">
        <v>4</v>
      </c>
      <c r="C141" s="1091">
        <v>102</v>
      </c>
      <c r="D141" s="1091"/>
      <c r="E141" s="1092"/>
      <c r="F141" s="1093">
        <v>101.5</v>
      </c>
      <c r="G141" s="1091"/>
      <c r="H141" s="1094"/>
      <c r="I141" s="2652" t="s">
        <v>2629</v>
      </c>
      <c r="J141" s="315">
        <v>1</v>
      </c>
      <c r="K141" s="1096">
        <f>ROUND(100+(J141-J140)*K139*100,1)</f>
        <v>96.4</v>
      </c>
    </row>
    <row r="142" spans="1:17" ht="15">
      <c r="B142" s="1090">
        <v>3</v>
      </c>
      <c r="C142" s="1091">
        <v>103</v>
      </c>
      <c r="D142" s="1091"/>
      <c r="E142" s="1092"/>
      <c r="F142" s="1093">
        <v>101</v>
      </c>
      <c r="G142" s="1091"/>
      <c r="H142" s="1094"/>
      <c r="I142" s="2652" t="s">
        <v>2630</v>
      </c>
      <c r="J142" s="315">
        <f>J139</f>
        <v>20</v>
      </c>
      <c r="K142" s="1097">
        <v>95</v>
      </c>
    </row>
    <row r="143" spans="1:17" ht="15">
      <c r="B143" s="1090">
        <v>2</v>
      </c>
      <c r="C143" s="1091">
        <v>100</v>
      </c>
      <c r="D143" s="1091"/>
      <c r="E143" s="1092"/>
      <c r="F143" s="1093">
        <v>100.5</v>
      </c>
      <c r="G143" s="1091"/>
      <c r="H143" s="1094"/>
      <c r="I143" s="2652" t="s">
        <v>2631</v>
      </c>
      <c r="J143" s="1091">
        <v>15</v>
      </c>
      <c r="K143" s="1096">
        <f>ROUND(100+(J143-J140)*K139*100,1)</f>
        <v>102</v>
      </c>
    </row>
    <row r="144" spans="1:17" ht="15">
      <c r="B144" s="1090">
        <v>1</v>
      </c>
      <c r="C144" s="1091">
        <v>98</v>
      </c>
      <c r="D144" s="2653" t="s">
        <v>2632</v>
      </c>
      <c r="E144" s="1092">
        <v>102</v>
      </c>
      <c r="F144" s="1098">
        <v>100</v>
      </c>
      <c r="G144" s="2653" t="s">
        <v>2632</v>
      </c>
      <c r="H144" s="1094">
        <v>105</v>
      </c>
      <c r="I144" s="2652" t="s">
        <v>2631</v>
      </c>
      <c r="J144" s="1091">
        <v>18</v>
      </c>
      <c r="K144" s="1096">
        <f>ROUND(100+(J144-J140)*K139*100,1)</f>
        <v>103.2</v>
      </c>
    </row>
    <row r="145" spans="2:11" ht="15.75" thickBot="1">
      <c r="B145" s="2654" t="s">
        <v>2633</v>
      </c>
      <c r="C145" s="1099">
        <f>ROUND(MAX(C139:C144)/MIN(C139:C144)-1,3)</f>
        <v>7.2999999999999995E-2</v>
      </c>
      <c r="D145" s="1100"/>
      <c r="E145" s="1100"/>
      <c r="F145" s="2655" t="s">
        <v>2634</v>
      </c>
      <c r="G145" s="2656"/>
      <c r="H145" s="2657"/>
      <c r="I145" s="2658" t="s">
        <v>2631</v>
      </c>
      <c r="J145" s="1101">
        <v>8</v>
      </c>
      <c r="K145" s="1102">
        <f>ROUND(100+(J145-J140)*K139*100,1)</f>
        <v>99.2</v>
      </c>
    </row>
    <row r="147" spans="2:11">
      <c r="B147" s="2639" t="s">
        <v>2635</v>
      </c>
    </row>
    <row r="148" spans="2:11">
      <c r="B148" s="263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2637</v>
      </c>
      <c r="C1" s="1634" t="s">
        <v>2525</v>
      </c>
      <c r="D1" s="1621"/>
      <c r="E1" s="2659"/>
      <c r="F1" s="2586"/>
      <c r="G1" s="1631" t="s">
        <v>2638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2322</v>
      </c>
      <c r="B2" s="1418" t="e">
        <f ca="1">IF(C2="——",ROUND(C49*D3/10000,0),ROUND(C49*D3/10000,0)-D2)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2324</v>
      </c>
      <c r="B3" s="609" t="e">
        <f ca="1">IF(C2="——",C49,ROUND(B2*10000/D3,0))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53" t="s">
        <v>2643</v>
      </c>
      <c r="AC4" s="3234" t="s">
        <v>2644</v>
      </c>
    </row>
    <row r="5" spans="1:29"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53"/>
      <c r="AC5" s="3235"/>
    </row>
    <row r="6" spans="1:29" ht="15.75" thickBot="1">
      <c r="A6" s="406"/>
      <c r="B6" s="407"/>
      <c r="C6" s="3254" t="s">
        <v>2541</v>
      </c>
      <c r="D6" s="3255"/>
      <c r="E6" s="3261" t="s">
        <v>2541</v>
      </c>
      <c r="F6" s="3262"/>
      <c r="G6" s="3254" t="s">
        <v>2541</v>
      </c>
      <c r="H6" s="3255"/>
      <c r="I6" s="3254" t="s">
        <v>2541</v>
      </c>
      <c r="J6" s="3255"/>
      <c r="K6" s="610" t="s">
        <v>2542</v>
      </c>
      <c r="L6" s="1130"/>
      <c r="M6" s="1131"/>
      <c r="N6" s="1131"/>
      <c r="O6" s="1131"/>
      <c r="P6" s="3245"/>
      <c r="Q6" s="3246"/>
      <c r="R6" s="3249"/>
      <c r="S6" s="3250"/>
      <c r="T6" s="3251"/>
      <c r="U6" s="3252"/>
      <c r="V6" s="3253"/>
      <c r="W6" s="3253"/>
      <c r="X6" s="1813"/>
      <c r="Y6" s="3251"/>
      <c r="Z6" s="3252"/>
      <c r="AA6" s="3236"/>
      <c r="AB6" s="3253"/>
      <c r="AC6" s="3236"/>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8" t="s">
        <v>2544</v>
      </c>
      <c r="Q7" s="3260"/>
      <c r="R7" s="770" t="s">
        <v>17</v>
      </c>
      <c r="S7" s="771">
        <f t="shared" ref="S7:S15" si="0">F7</f>
        <v>0</v>
      </c>
      <c r="T7" s="770" t="s">
        <v>17</v>
      </c>
      <c r="U7" s="771">
        <f t="shared" ref="U7:U15" si="1">H7</f>
        <v>0</v>
      </c>
      <c r="V7" s="770" t="s">
        <v>17</v>
      </c>
      <c r="W7" s="771">
        <f t="shared" ref="W7:W15" si="2">J7</f>
        <v>0</v>
      </c>
      <c r="X7" s="772"/>
      <c r="Y7" s="3258" t="s">
        <v>2544</v>
      </c>
      <c r="Z7" s="325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3"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3"/>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2554</v>
      </c>
      <c r="B15" s="69" t="s">
        <v>2648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1" t="s">
        <v>2555</v>
      </c>
      <c r="Q15" s="1810" t="str">
        <f t="shared" si="6"/>
        <v>商业繁华度</v>
      </c>
      <c r="R15" s="774" t="s">
        <v>17</v>
      </c>
      <c r="S15" s="775">
        <f t="shared" si="0"/>
        <v>100</v>
      </c>
      <c r="T15" s="774" t="s">
        <v>17</v>
      </c>
      <c r="U15" s="775">
        <f t="shared" si="1"/>
        <v>100</v>
      </c>
      <c r="V15" s="774" t="s">
        <v>17</v>
      </c>
      <c r="W15" s="775">
        <f t="shared" si="2"/>
        <v>100</v>
      </c>
      <c r="X15" s="1813"/>
      <c r="Y15" s="3224"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2"/>
      <c r="Q16" s="1810"/>
      <c r="R16" s="774"/>
      <c r="S16" s="775"/>
      <c r="T16" s="774"/>
      <c r="U16" s="775"/>
      <c r="V16" s="774"/>
      <c r="W16" s="775"/>
      <c r="X16" s="1813"/>
      <c r="Y16" s="3225"/>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32"/>
      <c r="Q18" s="1810"/>
      <c r="R18" s="774"/>
      <c r="S18" s="775"/>
      <c r="T18" s="774"/>
      <c r="U18" s="775"/>
      <c r="V18" s="774"/>
      <c r="W18" s="775"/>
      <c r="X18" s="1813"/>
      <c r="Y18" s="3225"/>
      <c r="Z18" s="1814"/>
      <c r="AA18" s="1811">
        <v>1</v>
      </c>
      <c r="AB18" s="1811">
        <v>1</v>
      </c>
      <c r="AC18" s="1811">
        <v>1</v>
      </c>
    </row>
    <row r="19" spans="1:29" ht="42.75">
      <c r="A19" s="428"/>
      <c r="B19" s="451" t="s">
        <v>2649</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32"/>
      <c r="Q20" s="1810"/>
      <c r="R20" s="774"/>
      <c r="S20" s="775"/>
      <c r="T20" s="774"/>
      <c r="U20" s="775"/>
      <c r="V20" s="774"/>
      <c r="W20" s="775"/>
      <c r="X20" s="1813"/>
      <c r="Y20" s="3225"/>
      <c r="Z20" s="1814"/>
      <c r="AA20" s="1811">
        <v>1</v>
      </c>
      <c r="AB20" s="1811">
        <v>1</v>
      </c>
      <c r="AC20" s="1811">
        <v>1</v>
      </c>
    </row>
    <row r="21" spans="1:29" ht="28.5">
      <c r="A21" s="428"/>
      <c r="B21" s="1384" t="s">
        <v>2650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32"/>
      <c r="Q22" s="1810"/>
      <c r="R22" s="774"/>
      <c r="S22" s="775"/>
      <c r="T22" s="774"/>
      <c r="U22" s="775"/>
      <c r="V22" s="774"/>
      <c r="W22" s="775"/>
      <c r="X22" s="1813"/>
      <c r="Y22" s="3225"/>
      <c r="Z22" s="1814"/>
      <c r="AA22" s="1811">
        <v>1</v>
      </c>
      <c r="AB22" s="1811">
        <v>1</v>
      </c>
      <c r="AC22" s="1811">
        <v>1</v>
      </c>
    </row>
    <row r="23" spans="1:29" ht="57">
      <c r="A23" s="428"/>
      <c r="B23" s="451" t="s">
        <v>2097</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2"/>
      <c r="Q23" s="1810" t="str">
        <f>B23</f>
        <v>自然及人文环境</v>
      </c>
      <c r="R23" s="774" t="s">
        <v>17</v>
      </c>
      <c r="S23" s="775">
        <f>F23</f>
        <v>100</v>
      </c>
      <c r="T23" s="774" t="s">
        <v>17</v>
      </c>
      <c r="U23" s="775">
        <f>H23</f>
        <v>100</v>
      </c>
      <c r="V23" s="774" t="s">
        <v>17</v>
      </c>
      <c r="W23" s="775">
        <f>J23</f>
        <v>100</v>
      </c>
      <c r="X23" s="1813"/>
      <c r="Y23" s="3225"/>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32"/>
      <c r="Q24" s="1810"/>
      <c r="R24" s="774"/>
      <c r="S24" s="775"/>
      <c r="T24" s="774"/>
      <c r="U24" s="775"/>
      <c r="V24" s="774"/>
      <c r="W24" s="775"/>
      <c r="X24" s="1813"/>
      <c r="Y24" s="3225"/>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2"/>
      <c r="Q25" s="1810" t="str">
        <f t="shared" ref="Q25:Q46" si="11">B25</f>
        <v>临街状况</v>
      </c>
      <c r="R25" s="774" t="s">
        <v>17</v>
      </c>
      <c r="S25" s="775">
        <f>F25</f>
        <v>100</v>
      </c>
      <c r="T25" s="774" t="s">
        <v>17</v>
      </c>
      <c r="U25" s="775">
        <f>H25</f>
        <v>100</v>
      </c>
      <c r="V25" s="774" t="s">
        <v>17</v>
      </c>
      <c r="W25" s="775">
        <f>J25</f>
        <v>100</v>
      </c>
      <c r="X25" s="1813"/>
      <c r="Y25" s="3225"/>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2"/>
      <c r="Q26" s="1810" t="str">
        <f t="shared" si="11"/>
        <v>平面位置/可视性</v>
      </c>
      <c r="R26" s="774" t="s">
        <v>17</v>
      </c>
      <c r="S26" s="775">
        <f>F26</f>
        <v>100</v>
      </c>
      <c r="T26" s="774" t="s">
        <v>17</v>
      </c>
      <c r="U26" s="775">
        <f>H26</f>
        <v>100</v>
      </c>
      <c r="V26" s="774" t="s">
        <v>17</v>
      </c>
      <c r="W26" s="775">
        <f>J26</f>
        <v>100</v>
      </c>
      <c r="X26" s="1813"/>
      <c r="Y26" s="3225"/>
      <c r="Z26" s="1814" t="str">
        <f>Q26</f>
        <v>平面位置/可视性</v>
      </c>
      <c r="AA26" s="1811">
        <f t="shared" si="3"/>
        <v>1</v>
      </c>
      <c r="AB26" s="1811">
        <f t="shared" si="4"/>
        <v>1</v>
      </c>
      <c r="AC26" s="1811">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2"/>
      <c r="Q27" s="1795" t="str">
        <f t="shared" si="11"/>
        <v>人流量</v>
      </c>
      <c r="R27" s="770" t="s">
        <v>17</v>
      </c>
      <c r="S27" s="771">
        <f>F27</f>
        <v>100</v>
      </c>
      <c r="T27" s="770" t="s">
        <v>17</v>
      </c>
      <c r="U27" s="771">
        <f>H27</f>
        <v>100</v>
      </c>
      <c r="V27" s="770" t="s">
        <v>17</v>
      </c>
      <c r="W27" s="771">
        <f>J27</f>
        <v>100</v>
      </c>
      <c r="X27" s="772"/>
      <c r="Y27" s="3225"/>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2"/>
      <c r="Q29" s="1810">
        <f t="shared" si="11"/>
        <v>111</v>
      </c>
      <c r="R29" s="774" t="s">
        <v>17</v>
      </c>
      <c r="S29" s="775">
        <f t="shared" si="12"/>
        <v>100</v>
      </c>
      <c r="T29" s="774" t="s">
        <v>17</v>
      </c>
      <c r="U29" s="775">
        <f t="shared" si="13"/>
        <v>100</v>
      </c>
      <c r="V29" s="774" t="s">
        <v>17</v>
      </c>
      <c r="W29" s="775">
        <f t="shared" si="14"/>
        <v>100</v>
      </c>
      <c r="X29" s="1813"/>
      <c r="Y29" s="322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1811">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6" t="s">
        <v>2560</v>
      </c>
      <c r="Q32" s="1810" t="str">
        <f t="shared" si="11"/>
        <v>商业类型</v>
      </c>
      <c r="R32" s="774" t="s">
        <v>17</v>
      </c>
      <c r="S32" s="775">
        <f t="shared" si="12"/>
        <v>100</v>
      </c>
      <c r="T32" s="774" t="s">
        <v>17</v>
      </c>
      <c r="U32" s="775">
        <f t="shared" si="13"/>
        <v>100</v>
      </c>
      <c r="V32" s="774" t="s">
        <v>17</v>
      </c>
      <c r="W32" s="775">
        <f t="shared" si="14"/>
        <v>100</v>
      </c>
      <c r="X32" s="1813"/>
      <c r="Y32" s="3229"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1" t="e">
        <f t="shared" si="3"/>
        <v>#N/A</v>
      </c>
      <c r="AB33" s="1811" t="e">
        <f t="shared" si="4"/>
        <v>#N/A</v>
      </c>
      <c r="AC33" s="1811"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7"/>
      <c r="Q34" s="1810" t="str">
        <f t="shared" si="11"/>
        <v>建筑结构</v>
      </c>
      <c r="R34" s="774" t="s">
        <v>17</v>
      </c>
      <c r="S34" s="775">
        <f t="shared" si="12"/>
        <v>100</v>
      </c>
      <c r="T34" s="774" t="s">
        <v>17</v>
      </c>
      <c r="U34" s="775">
        <f t="shared" si="13"/>
        <v>100</v>
      </c>
      <c r="V34" s="774" t="s">
        <v>17</v>
      </c>
      <c r="W34" s="775">
        <f t="shared" si="14"/>
        <v>100</v>
      </c>
      <c r="X34" s="1813"/>
      <c r="Y34" s="3229"/>
      <c r="Z34" s="1814" t="str">
        <f t="shared" si="15"/>
        <v>建筑结构</v>
      </c>
      <c r="AA34" s="1811">
        <f t="shared" si="3"/>
        <v>1</v>
      </c>
      <c r="AB34" s="1811">
        <f t="shared" si="4"/>
        <v>1</v>
      </c>
      <c r="AC34" s="1811">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7"/>
      <c r="Q35" s="1810" t="str">
        <f t="shared" si="11"/>
        <v>公共部分装修</v>
      </c>
      <c r="R35" s="774" t="s">
        <v>17</v>
      </c>
      <c r="S35" s="775">
        <f t="shared" si="12"/>
        <v>100</v>
      </c>
      <c r="T35" s="774" t="s">
        <v>17</v>
      </c>
      <c r="U35" s="775">
        <f t="shared" si="13"/>
        <v>100</v>
      </c>
      <c r="V35" s="774" t="s">
        <v>17</v>
      </c>
      <c r="W35" s="775">
        <f t="shared" si="14"/>
        <v>100</v>
      </c>
      <c r="X35" s="1813"/>
      <c r="Y35" s="3229"/>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7"/>
      <c r="Q36" s="1810" t="str">
        <f t="shared" si="11"/>
        <v>成新度</v>
      </c>
      <c r="R36" s="774" t="s">
        <v>17</v>
      </c>
      <c r="S36" s="775" t="e">
        <f t="shared" si="12"/>
        <v>#N/A</v>
      </c>
      <c r="T36" s="774" t="s">
        <v>17</v>
      </c>
      <c r="U36" s="775" t="e">
        <f t="shared" si="13"/>
        <v>#N/A</v>
      </c>
      <c r="V36" s="774" t="s">
        <v>17</v>
      </c>
      <c r="W36" s="775" t="e">
        <f t="shared" si="14"/>
        <v>#N/A</v>
      </c>
      <c r="X36" s="1813"/>
      <c r="Y36" s="3229"/>
      <c r="Z36" s="1814" t="str">
        <f t="shared" si="15"/>
        <v>成新度</v>
      </c>
      <c r="AA36" s="1811" t="e">
        <f t="shared" si="3"/>
        <v>#N/A</v>
      </c>
      <c r="AB36" s="1811" t="e">
        <f t="shared" si="4"/>
        <v>#N/A</v>
      </c>
      <c r="AC36" s="1811"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7"/>
      <c r="Q37" s="1795"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7" t="s">
        <v>2560</v>
      </c>
      <c r="Q38" s="1810" t="str">
        <f t="shared" si="11"/>
        <v>业态</v>
      </c>
      <c r="R38" s="774" t="s">
        <v>17</v>
      </c>
      <c r="S38" s="775">
        <f t="shared" si="12"/>
        <v>100</v>
      </c>
      <c r="T38" s="774" t="s">
        <v>17</v>
      </c>
      <c r="U38" s="775">
        <f t="shared" si="13"/>
        <v>100</v>
      </c>
      <c r="V38" s="774" t="s">
        <v>17</v>
      </c>
      <c r="W38" s="775">
        <f t="shared" si="14"/>
        <v>100</v>
      </c>
      <c r="X38" s="1813"/>
      <c r="Y38" s="3229" t="s">
        <v>2560</v>
      </c>
      <c r="Z38" s="1814" t="str">
        <f t="shared" si="15"/>
        <v>业态</v>
      </c>
      <c r="AA38" s="1811">
        <f t="shared" si="3"/>
        <v>1</v>
      </c>
      <c r="AB38" s="1811">
        <f t="shared" si="4"/>
        <v>1</v>
      </c>
      <c r="AC38" s="1811">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7"/>
      <c r="Q39" s="1810" t="str">
        <f t="shared" si="11"/>
        <v>层高</v>
      </c>
      <c r="R39" s="774" t="s">
        <v>17</v>
      </c>
      <c r="S39" s="775">
        <f t="shared" si="12"/>
        <v>100</v>
      </c>
      <c r="T39" s="774" t="s">
        <v>17</v>
      </c>
      <c r="U39" s="775">
        <f t="shared" si="13"/>
        <v>100</v>
      </c>
      <c r="V39" s="774" t="s">
        <v>17</v>
      </c>
      <c r="W39" s="775">
        <f t="shared" si="14"/>
        <v>100</v>
      </c>
      <c r="X39" s="1813"/>
      <c r="Y39" s="3229"/>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7"/>
      <c r="Q40" s="1810" t="str">
        <f t="shared" si="11"/>
        <v>单套建筑面积</v>
      </c>
      <c r="R40" s="774" t="s">
        <v>17</v>
      </c>
      <c r="S40" s="775">
        <f t="shared" si="12"/>
        <v>100</v>
      </c>
      <c r="T40" s="774" t="s">
        <v>17</v>
      </c>
      <c r="U40" s="775">
        <f t="shared" si="13"/>
        <v>100</v>
      </c>
      <c r="V40" s="774" t="s">
        <v>17</v>
      </c>
      <c r="W40" s="775">
        <f t="shared" si="14"/>
        <v>100</v>
      </c>
      <c r="X40" s="1813"/>
      <c r="Y40" s="3229"/>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1">
        <f t="shared" si="3"/>
        <v>1</v>
      </c>
      <c r="AB41" s="1811">
        <f t="shared" si="4"/>
        <v>1</v>
      </c>
      <c r="AC41" s="1811">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7"/>
      <c r="Q42" s="1810" t="str">
        <f t="shared" si="11"/>
        <v>内部装修</v>
      </c>
      <c r="R42" s="774" t="s">
        <v>17</v>
      </c>
      <c r="S42" s="775">
        <f t="shared" si="12"/>
        <v>100</v>
      </c>
      <c r="T42" s="774" t="s">
        <v>17</v>
      </c>
      <c r="U42" s="775">
        <f t="shared" si="13"/>
        <v>100</v>
      </c>
      <c r="V42" s="774" t="s">
        <v>17</v>
      </c>
      <c r="W42" s="775">
        <f t="shared" si="14"/>
        <v>100</v>
      </c>
      <c r="X42" s="1813"/>
      <c r="Y42" s="3229"/>
      <c r="Z42" s="1814" t="str">
        <f t="shared" si="15"/>
        <v>内部装修</v>
      </c>
      <c r="AA42" s="1811">
        <f t="shared" si="3"/>
        <v>1</v>
      </c>
      <c r="AB42" s="1811">
        <f t="shared" si="4"/>
        <v>1</v>
      </c>
      <c r="AC42" s="1811">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7"/>
      <c r="Q43" s="1810" t="str">
        <f t="shared" si="11"/>
        <v>内部装修维护情况</v>
      </c>
      <c r="R43" s="774" t="s">
        <v>17</v>
      </c>
      <c r="S43" s="775">
        <f t="shared" si="12"/>
        <v>100</v>
      </c>
      <c r="T43" s="774" t="s">
        <v>17</v>
      </c>
      <c r="U43" s="775">
        <f t="shared" si="13"/>
        <v>100</v>
      </c>
      <c r="V43" s="774" t="s">
        <v>17</v>
      </c>
      <c r="W43" s="775">
        <f t="shared" si="14"/>
        <v>100</v>
      </c>
      <c r="X43" s="1813"/>
      <c r="Y43" s="322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7"/>
      <c r="Q44" s="1795">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7"/>
      <c r="Q45" s="1810">
        <f t="shared" si="11"/>
        <v>111</v>
      </c>
      <c r="R45" s="774" t="s">
        <v>17</v>
      </c>
      <c r="S45" s="775">
        <f t="shared" si="12"/>
        <v>100</v>
      </c>
      <c r="T45" s="774" t="s">
        <v>17</v>
      </c>
      <c r="U45" s="775">
        <f t="shared" si="13"/>
        <v>100</v>
      </c>
      <c r="V45" s="774" t="s">
        <v>17</v>
      </c>
      <c r="W45" s="775">
        <f t="shared" si="14"/>
        <v>100</v>
      </c>
      <c r="X45" s="1813"/>
      <c r="Y45" s="3229"/>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8"/>
      <c r="Q46" s="1810">
        <f t="shared" si="11"/>
        <v>111</v>
      </c>
      <c r="R46" s="774" t="s">
        <v>17</v>
      </c>
      <c r="S46" s="775">
        <f t="shared" si="12"/>
        <v>100</v>
      </c>
      <c r="T46" s="774" t="s">
        <v>17</v>
      </c>
      <c r="U46" s="775">
        <f t="shared" si="13"/>
        <v>100</v>
      </c>
      <c r="V46" s="774" t="s">
        <v>17</v>
      </c>
      <c r="W46" s="775">
        <f t="shared" si="14"/>
        <v>100</v>
      </c>
      <c r="X46" s="1813"/>
      <c r="Y46" s="3230"/>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22" t="str">
        <f>A47</f>
        <v>成交单价（元/平方米）</v>
      </c>
      <c r="Q47" s="3222"/>
      <c r="R47" s="3253">
        <f>E47</f>
        <v>0</v>
      </c>
      <c r="S47" s="3253"/>
      <c r="T47" s="3253">
        <f>G47</f>
        <v>0</v>
      </c>
      <c r="U47" s="3253"/>
      <c r="V47" s="3253">
        <f>I47</f>
        <v>0</v>
      </c>
      <c r="W47" s="3253"/>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2558</v>
      </c>
      <c r="B100" s="528" t="s">
        <v>2676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2611</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2679</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都会洪业（天津）有限公司：</v>
      </c>
    </row>
    <row r="4" spans="1:1" ht="36">
      <c r="A4" s="1948" t="str">
        <f>"受贵公司委托，我公司对"&amp;项目基本情况!S1&amp;"进行了预评估。"</f>
        <v>受贵公司委托，我公司对北京市海淀区海淀东三街2号-4层-401号等29套商贸综合用房房地产房地产抵押价值进行了预评估。</v>
      </c>
    </row>
    <row r="5" spans="1:1" ht="18.75">
      <c r="A5" s="1949" t="s">
        <v>1608</v>
      </c>
    </row>
    <row r="6" spans="1:1" ht="18.75">
      <c r="A6" s="1950" t="s">
        <v>1609</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1" t="s">
        <v>1610</v>
      </c>
    </row>
    <row r="9" spans="1:1" ht="18.75">
      <c r="A9" s="1950" t="s">
        <v>1611</v>
      </c>
    </row>
    <row r="10" spans="1:1" ht="14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2681</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71" t="s">
        <v>2646</v>
      </c>
      <c r="Q4" s="3272"/>
      <c r="R4" s="3275" t="s">
        <v>2642</v>
      </c>
      <c r="S4" s="3276"/>
      <c r="T4" s="3275" t="s">
        <v>2643</v>
      </c>
      <c r="U4" s="3276"/>
      <c r="V4" s="3277" t="s">
        <v>2644</v>
      </c>
      <c r="W4" s="3277"/>
      <c r="X4" s="2672"/>
      <c r="Y4" s="3275" t="s">
        <v>2646</v>
      </c>
      <c r="Z4" s="3276"/>
      <c r="AA4" s="3279" t="s">
        <v>2642</v>
      </c>
      <c r="AB4" s="3279" t="s">
        <v>2643</v>
      </c>
      <c r="AC4" s="3268" t="s">
        <v>2644</v>
      </c>
    </row>
    <row r="5" spans="1:29" ht="15">
      <c r="A5" s="404"/>
      <c r="B5" s="405"/>
      <c r="C5" s="3256" t="s">
        <v>2537</v>
      </c>
      <c r="D5" s="3257"/>
      <c r="E5" s="3263" t="s">
        <v>2538</v>
      </c>
      <c r="F5" s="3264"/>
      <c r="G5" s="3256" t="s">
        <v>2539</v>
      </c>
      <c r="H5" s="3257"/>
      <c r="I5" s="3256" t="s">
        <v>2540</v>
      </c>
      <c r="J5" s="3257"/>
      <c r="K5" s="610"/>
      <c r="L5" s="1130"/>
      <c r="M5" s="1131"/>
      <c r="N5" s="1131"/>
      <c r="O5" s="1131"/>
      <c r="P5" s="3273"/>
      <c r="Q5" s="3244"/>
      <c r="R5" s="3249"/>
      <c r="S5" s="3250"/>
      <c r="T5" s="3249"/>
      <c r="U5" s="3250"/>
      <c r="V5" s="3253"/>
      <c r="W5" s="3253"/>
      <c r="X5" s="1813"/>
      <c r="Y5" s="3249"/>
      <c r="Z5" s="3250"/>
      <c r="AA5" s="3235"/>
      <c r="AB5" s="3235"/>
      <c r="AC5" s="3269"/>
    </row>
    <row r="6" spans="1:29" ht="15.75" thickBot="1">
      <c r="A6" s="406"/>
      <c r="B6" s="407"/>
      <c r="C6" s="3254" t="s">
        <v>2541</v>
      </c>
      <c r="D6" s="3255"/>
      <c r="E6" s="3261" t="s">
        <v>2541</v>
      </c>
      <c r="F6" s="3262"/>
      <c r="G6" s="3254" t="s">
        <v>2541</v>
      </c>
      <c r="H6" s="3255"/>
      <c r="I6" s="3254" t="s">
        <v>2541</v>
      </c>
      <c r="J6" s="3255"/>
      <c r="K6" s="610" t="s">
        <v>2542</v>
      </c>
      <c r="L6" s="1130"/>
      <c r="M6" s="1131"/>
      <c r="N6" s="1131"/>
      <c r="O6" s="1131"/>
      <c r="P6" s="3274"/>
      <c r="Q6" s="3246"/>
      <c r="R6" s="3249"/>
      <c r="S6" s="3250"/>
      <c r="T6" s="3251"/>
      <c r="U6" s="3252"/>
      <c r="V6" s="3253"/>
      <c r="W6" s="3253"/>
      <c r="X6" s="1813"/>
      <c r="Y6" s="3251"/>
      <c r="Z6" s="3252"/>
      <c r="AA6" s="3236"/>
      <c r="AB6" s="3236"/>
      <c r="AC6" s="3270"/>
    </row>
    <row r="7" spans="1:29" s="117" customFormat="1" ht="15.75" thickBot="1">
      <c r="A7" s="408" t="s">
        <v>2543</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2544</v>
      </c>
      <c r="Q7" s="3260"/>
      <c r="R7" s="770" t="s">
        <v>17</v>
      </c>
      <c r="S7" s="771">
        <f t="shared" ref="S7:S15" si="0">F7</f>
        <v>0</v>
      </c>
      <c r="T7" s="770" t="s">
        <v>17</v>
      </c>
      <c r="U7" s="771">
        <f t="shared" ref="U7:U15" si="1">H7</f>
        <v>0</v>
      </c>
      <c r="V7" s="770" t="s">
        <v>17</v>
      </c>
      <c r="W7" s="771">
        <f t="shared" ref="W7:W15" si="2">J7</f>
        <v>0</v>
      </c>
      <c r="X7" s="772"/>
      <c r="Y7" s="3258" t="s">
        <v>2544</v>
      </c>
      <c r="Z7" s="3259"/>
      <c r="AA7" s="773" t="e">
        <f>D7/F7</f>
        <v>#DIV/0!</v>
      </c>
      <c r="AB7" s="773" t="e">
        <f>D7/H7</f>
        <v>#DIV/0!</v>
      </c>
      <c r="AC7" s="267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2547</v>
      </c>
      <c r="Q8" s="3259"/>
      <c r="R8" s="770" t="s">
        <v>17</v>
      </c>
      <c r="S8" s="771">
        <f t="shared" si="0"/>
        <v>0</v>
      </c>
      <c r="T8" s="770" t="s">
        <v>17</v>
      </c>
      <c r="U8" s="771">
        <f t="shared" si="1"/>
        <v>0</v>
      </c>
      <c r="V8" s="770" t="s">
        <v>17</v>
      </c>
      <c r="W8" s="771">
        <f t="shared" si="2"/>
        <v>0</v>
      </c>
      <c r="X8" s="772"/>
      <c r="Y8" s="3258" t="s">
        <v>2547</v>
      </c>
      <c r="Z8" s="3259"/>
      <c r="AA8" s="773" t="e">
        <f t="shared" ref="AA8:AA47" si="3">D8/F8</f>
        <v>#DIV/0!</v>
      </c>
      <c r="AB8" s="773" t="e">
        <f t="shared" ref="AB8:AB47" si="4">D8/H8</f>
        <v>#DIV/0!</v>
      </c>
      <c r="AC8" s="267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3"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267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3"/>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3">
        <f t="shared" si="5"/>
        <v>1</v>
      </c>
    </row>
    <row r="15" spans="1:29" ht="71.25">
      <c r="A15" s="440" t="s">
        <v>2554</v>
      </c>
      <c r="B15" s="629" t="s">
        <v>2682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1" t="s">
        <v>2555</v>
      </c>
      <c r="Q15" s="1810" t="str">
        <f t="shared" si="6"/>
        <v>办公集聚程度</v>
      </c>
      <c r="R15" s="774" t="s">
        <v>17</v>
      </c>
      <c r="S15" s="775">
        <f t="shared" si="0"/>
        <v>100</v>
      </c>
      <c r="T15" s="774" t="s">
        <v>17</v>
      </c>
      <c r="U15" s="775">
        <f t="shared" si="1"/>
        <v>100</v>
      </c>
      <c r="V15" s="774" t="s">
        <v>17</v>
      </c>
      <c r="W15" s="775">
        <f t="shared" si="2"/>
        <v>100</v>
      </c>
      <c r="X15" s="1813"/>
      <c r="Y15" s="3224" t="s">
        <v>2555</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32"/>
      <c r="Q16" s="1810"/>
      <c r="R16" s="774"/>
      <c r="S16" s="775"/>
      <c r="T16" s="774"/>
      <c r="U16" s="775"/>
      <c r="V16" s="774"/>
      <c r="W16" s="775"/>
      <c r="X16" s="1813"/>
      <c r="Y16" s="3225"/>
      <c r="Z16" s="1814"/>
      <c r="AA16" s="1811">
        <v>1</v>
      </c>
      <c r="AB16" s="1811">
        <v>1</v>
      </c>
      <c r="AC16" s="2676">
        <v>1</v>
      </c>
    </row>
    <row r="17" spans="1:29" ht="71.25">
      <c r="A17" s="428"/>
      <c r="B17" s="631" t="s">
        <v>2092</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2"/>
      <c r="Q18" s="1810"/>
      <c r="R18" s="774"/>
      <c r="S18" s="775"/>
      <c r="T18" s="774"/>
      <c r="U18" s="775"/>
      <c r="V18" s="774"/>
      <c r="W18" s="775"/>
      <c r="X18" s="1813"/>
      <c r="Y18" s="3225"/>
      <c r="Z18" s="1814"/>
      <c r="AA18" s="1811">
        <v>1</v>
      </c>
      <c r="AB18" s="1811">
        <v>1</v>
      </c>
      <c r="AC18" s="2676">
        <v>1</v>
      </c>
    </row>
    <row r="19" spans="1:29" ht="42.75">
      <c r="A19" s="428"/>
      <c r="B19" s="631" t="s">
        <v>2683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2"/>
      <c r="Q20" s="1810"/>
      <c r="R20" s="774"/>
      <c r="S20" s="775"/>
      <c r="T20" s="774"/>
      <c r="U20" s="775"/>
      <c r="V20" s="774"/>
      <c r="W20" s="775"/>
      <c r="X20" s="1813"/>
      <c r="Y20" s="3225"/>
      <c r="Z20" s="1814"/>
      <c r="AA20" s="1811">
        <v>1</v>
      </c>
      <c r="AB20" s="1811">
        <v>1</v>
      </c>
      <c r="AC20" s="2676">
        <v>1</v>
      </c>
    </row>
    <row r="21" spans="1:29" ht="28.5">
      <c r="A21" s="428"/>
      <c r="B21" s="633" t="s">
        <v>2684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2"/>
      <c r="Q22" s="1810"/>
      <c r="R22" s="774"/>
      <c r="S22" s="775"/>
      <c r="T22" s="774"/>
      <c r="U22" s="775"/>
      <c r="V22" s="774"/>
      <c r="W22" s="775"/>
      <c r="X22" s="1813"/>
      <c r="Y22" s="3225"/>
      <c r="Z22" s="1814"/>
      <c r="AA22" s="1811">
        <v>1</v>
      </c>
      <c r="AB22" s="1811">
        <v>1</v>
      </c>
      <c r="AC22" s="2676">
        <v>1</v>
      </c>
    </row>
    <row r="23" spans="1:29" ht="42.75">
      <c r="A23" s="428"/>
      <c r="B23" s="631" t="s">
        <v>2685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2"/>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2"/>
      <c r="Q24" s="1810"/>
      <c r="R24" s="774"/>
      <c r="S24" s="775"/>
      <c r="T24" s="774"/>
      <c r="U24" s="775"/>
      <c r="V24" s="774"/>
      <c r="W24" s="775"/>
      <c r="X24" s="1813"/>
      <c r="Y24" s="3225"/>
      <c r="Z24" s="1814"/>
      <c r="AA24" s="1811">
        <v>1</v>
      </c>
      <c r="AB24" s="1811">
        <v>1</v>
      </c>
      <c r="AC24" s="2676">
        <v>1</v>
      </c>
    </row>
    <row r="25" spans="1:29" ht="27">
      <c r="A25" s="404"/>
      <c r="B25" s="631" t="s">
        <v>2686</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2"/>
      <c r="Q25" s="1810" t="str">
        <f>B25</f>
        <v>毗邻道路的类型与等级</v>
      </c>
      <c r="R25" s="774" t="s">
        <v>17</v>
      </c>
      <c r="S25" s="775">
        <f>F25</f>
        <v>100</v>
      </c>
      <c r="T25" s="774" t="s">
        <v>17</v>
      </c>
      <c r="U25" s="775">
        <f>H25</f>
        <v>100</v>
      </c>
      <c r="V25" s="774" t="s">
        <v>17</v>
      </c>
      <c r="W25" s="775">
        <f>J25</f>
        <v>100</v>
      </c>
      <c r="X25" s="1813"/>
      <c r="Y25" s="3225"/>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32"/>
      <c r="Q26" s="1810"/>
      <c r="R26" s="774"/>
      <c r="S26" s="775"/>
      <c r="T26" s="774"/>
      <c r="U26" s="775"/>
      <c r="V26" s="774"/>
      <c r="W26" s="775"/>
      <c r="X26" s="1813"/>
      <c r="Y26" s="3225"/>
      <c r="Z26" s="1814"/>
      <c r="AA26" s="1811">
        <v>1</v>
      </c>
      <c r="AB26" s="1811">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2"/>
      <c r="Q27" s="1810" t="str">
        <f t="shared" ref="Q27:Q47" si="11">B27</f>
        <v>楼层</v>
      </c>
      <c r="R27" s="774" t="s">
        <v>17</v>
      </c>
      <c r="S27" s="775">
        <f>F27</f>
        <v>100</v>
      </c>
      <c r="T27" s="774" t="s">
        <v>17</v>
      </c>
      <c r="U27" s="775">
        <f>H27</f>
        <v>100</v>
      </c>
      <c r="V27" s="774" t="s">
        <v>17</v>
      </c>
      <c r="W27" s="775">
        <f>J27</f>
        <v>100</v>
      </c>
      <c r="X27" s="1813"/>
      <c r="Y27" s="3225"/>
      <c r="Z27" s="1814" t="str">
        <f>Q27</f>
        <v>楼层</v>
      </c>
      <c r="AA27" s="1811">
        <f t="shared" si="3"/>
        <v>1</v>
      </c>
      <c r="AB27" s="1811">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2"/>
      <c r="Q28" s="1795" t="str">
        <f t="shared" si="11"/>
        <v>朝向</v>
      </c>
      <c r="R28" s="770" t="s">
        <v>17</v>
      </c>
      <c r="S28" s="771">
        <f>F28</f>
        <v>100</v>
      </c>
      <c r="T28" s="770" t="s">
        <v>17</v>
      </c>
      <c r="U28" s="771">
        <f>H28</f>
        <v>100</v>
      </c>
      <c r="V28" s="770" t="s">
        <v>17</v>
      </c>
      <c r="W28" s="771">
        <f>J28</f>
        <v>100</v>
      </c>
      <c r="X28" s="772"/>
      <c r="Y28" s="3225"/>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2"/>
      <c r="Q29" s="1810">
        <f t="shared" si="11"/>
        <v>111</v>
      </c>
      <c r="R29" s="774" t="s">
        <v>17</v>
      </c>
      <c r="S29" s="775">
        <f t="shared" ref="S29:S47" si="12">F29</f>
        <v>100</v>
      </c>
      <c r="T29" s="774" t="s">
        <v>17</v>
      </c>
      <c r="U29" s="775">
        <f t="shared" ref="U29:U47" si="13">H29</f>
        <v>100</v>
      </c>
      <c r="V29" s="774" t="s">
        <v>17</v>
      </c>
      <c r="W29" s="775">
        <f t="shared" ref="W29:W47" si="14">J29</f>
        <v>100</v>
      </c>
      <c r="X29" s="1813"/>
      <c r="Y29" s="3225"/>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2"/>
      <c r="Q32" s="1810">
        <f t="shared" si="11"/>
        <v>111</v>
      </c>
      <c r="R32" s="774" t="s">
        <v>17</v>
      </c>
      <c r="S32" s="775">
        <f t="shared" si="12"/>
        <v>100</v>
      </c>
      <c r="T32" s="774" t="s">
        <v>17</v>
      </c>
      <c r="U32" s="775">
        <f t="shared" si="13"/>
        <v>100</v>
      </c>
      <c r="V32" s="774" t="s">
        <v>17</v>
      </c>
      <c r="W32" s="775">
        <f t="shared" si="14"/>
        <v>100</v>
      </c>
      <c r="X32" s="1813"/>
      <c r="Y32" s="3225"/>
      <c r="Z32" s="1814">
        <f t="shared" si="15"/>
        <v>111</v>
      </c>
      <c r="AA32" s="1811">
        <f t="shared" si="3"/>
        <v>1</v>
      </c>
      <c r="AB32" s="1811">
        <f t="shared" si="4"/>
        <v>1</v>
      </c>
      <c r="AC32" s="2676">
        <f t="shared" si="5"/>
        <v>1</v>
      </c>
    </row>
    <row r="33" spans="1:29" ht="15">
      <c r="A33" s="440" t="s">
        <v>2558</v>
      </c>
      <c r="B33" s="71" t="s">
        <v>2688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6" t="s">
        <v>2560</v>
      </c>
      <c r="Q33" s="1810" t="str">
        <f t="shared" si="11"/>
        <v>建筑类型</v>
      </c>
      <c r="R33" s="774" t="s">
        <v>17</v>
      </c>
      <c r="S33" s="775">
        <f t="shared" si="12"/>
        <v>100</v>
      </c>
      <c r="T33" s="774" t="s">
        <v>17</v>
      </c>
      <c r="U33" s="775">
        <f t="shared" si="13"/>
        <v>100</v>
      </c>
      <c r="V33" s="774" t="s">
        <v>17</v>
      </c>
      <c r="W33" s="775">
        <f t="shared" si="14"/>
        <v>100</v>
      </c>
      <c r="X33" s="1813"/>
      <c r="Y33" s="3229" t="s">
        <v>2560</v>
      </c>
      <c r="Z33" s="1814" t="str">
        <f t="shared" si="15"/>
        <v>建筑类型</v>
      </c>
      <c r="AA33" s="1811">
        <f t="shared" si="3"/>
        <v>1</v>
      </c>
      <c r="AB33" s="1811">
        <f t="shared" si="4"/>
        <v>1</v>
      </c>
      <c r="AC33" s="267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7"/>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11" t="e">
        <f t="shared" si="3"/>
        <v>#N/A</v>
      </c>
      <c r="AB34" s="1811" t="e">
        <f t="shared" si="4"/>
        <v>#N/A</v>
      </c>
      <c r="AC34" s="267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7"/>
      <c r="Q35" s="1810" t="str">
        <f t="shared" si="11"/>
        <v>建筑结构</v>
      </c>
      <c r="R35" s="774" t="s">
        <v>17</v>
      </c>
      <c r="S35" s="775">
        <f t="shared" si="12"/>
        <v>100</v>
      </c>
      <c r="T35" s="774" t="s">
        <v>17</v>
      </c>
      <c r="U35" s="775">
        <f t="shared" si="13"/>
        <v>100</v>
      </c>
      <c r="V35" s="774" t="s">
        <v>17</v>
      </c>
      <c r="W35" s="775">
        <f t="shared" si="14"/>
        <v>100</v>
      </c>
      <c r="X35" s="1813"/>
      <c r="Y35" s="3229"/>
      <c r="Z35" s="1814" t="str">
        <f t="shared" si="15"/>
        <v>建筑结构</v>
      </c>
      <c r="AA35" s="1811">
        <f t="shared" si="3"/>
        <v>1</v>
      </c>
      <c r="AB35" s="1811">
        <f t="shared" si="4"/>
        <v>1</v>
      </c>
      <c r="AC35" s="267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7"/>
      <c r="Q36" s="1810" t="str">
        <f t="shared" si="11"/>
        <v>公共部分装修</v>
      </c>
      <c r="R36" s="774" t="s">
        <v>17</v>
      </c>
      <c r="S36" s="775">
        <f t="shared" si="12"/>
        <v>100</v>
      </c>
      <c r="T36" s="774" t="s">
        <v>17</v>
      </c>
      <c r="U36" s="775">
        <f t="shared" si="13"/>
        <v>100</v>
      </c>
      <c r="V36" s="774" t="s">
        <v>17</v>
      </c>
      <c r="W36" s="775">
        <f t="shared" si="14"/>
        <v>100</v>
      </c>
      <c r="X36" s="1813"/>
      <c r="Y36" s="3229"/>
      <c r="Z36" s="1814" t="str">
        <f t="shared" si="15"/>
        <v>公共部分装修</v>
      </c>
      <c r="AA36" s="1811">
        <f t="shared" si="3"/>
        <v>1</v>
      </c>
      <c r="AB36" s="1811">
        <f t="shared" si="4"/>
        <v>1</v>
      </c>
      <c r="AC36" s="267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7"/>
      <c r="Q37" s="1810" t="str">
        <f t="shared" si="11"/>
        <v>成新度</v>
      </c>
      <c r="R37" s="774" t="s">
        <v>17</v>
      </c>
      <c r="S37" s="775" t="e">
        <f t="shared" si="12"/>
        <v>#N/A</v>
      </c>
      <c r="T37" s="774" t="s">
        <v>17</v>
      </c>
      <c r="U37" s="775" t="e">
        <f t="shared" si="13"/>
        <v>#N/A</v>
      </c>
      <c r="V37" s="774" t="s">
        <v>17</v>
      </c>
      <c r="W37" s="775" t="e">
        <f t="shared" si="14"/>
        <v>#N/A</v>
      </c>
      <c r="X37" s="1813"/>
      <c r="Y37" s="3229"/>
      <c r="Z37" s="1814" t="str">
        <f t="shared" si="15"/>
        <v>成新度</v>
      </c>
      <c r="AA37" s="1811" t="e">
        <f t="shared" si="3"/>
        <v>#N/A</v>
      </c>
      <c r="AB37" s="1811" t="e">
        <f t="shared" si="4"/>
        <v>#N/A</v>
      </c>
      <c r="AC37" s="267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7"/>
      <c r="Q38" s="1795"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7" t="s">
        <v>2560</v>
      </c>
      <c r="Q39" s="1810" t="str">
        <f t="shared" si="11"/>
        <v>物业管理</v>
      </c>
      <c r="R39" s="774" t="s">
        <v>17</v>
      </c>
      <c r="S39" s="775">
        <f t="shared" si="12"/>
        <v>100</v>
      </c>
      <c r="T39" s="774" t="s">
        <v>17</v>
      </c>
      <c r="U39" s="775">
        <f t="shared" si="13"/>
        <v>100</v>
      </c>
      <c r="V39" s="774" t="s">
        <v>17</v>
      </c>
      <c r="W39" s="775">
        <f t="shared" si="14"/>
        <v>100</v>
      </c>
      <c r="X39" s="1813"/>
      <c r="Y39" s="3229" t="s">
        <v>2560</v>
      </c>
      <c r="Z39" s="1814" t="str">
        <f t="shared" si="15"/>
        <v>物业管理</v>
      </c>
      <c r="AA39" s="1811">
        <f t="shared" si="3"/>
        <v>1</v>
      </c>
      <c r="AB39" s="1811">
        <f t="shared" si="4"/>
        <v>1</v>
      </c>
      <c r="AC39" s="267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7"/>
      <c r="Q40" s="1810" t="str">
        <f t="shared" si="11"/>
        <v>市政基础设施</v>
      </c>
      <c r="R40" s="774" t="s">
        <v>17</v>
      </c>
      <c r="S40" s="775">
        <f t="shared" si="12"/>
        <v>100</v>
      </c>
      <c r="T40" s="774" t="s">
        <v>17</v>
      </c>
      <c r="U40" s="775">
        <f t="shared" si="13"/>
        <v>100</v>
      </c>
      <c r="V40" s="774" t="s">
        <v>17</v>
      </c>
      <c r="W40" s="775">
        <f t="shared" si="14"/>
        <v>100</v>
      </c>
      <c r="X40" s="1813"/>
      <c r="Y40" s="3229"/>
      <c r="Z40" s="1814" t="str">
        <f t="shared" si="15"/>
        <v>市政基础设施</v>
      </c>
      <c r="AA40" s="1811">
        <f t="shared" si="3"/>
        <v>1</v>
      </c>
      <c r="AB40" s="1811">
        <f t="shared" si="4"/>
        <v>1</v>
      </c>
      <c r="AC40" s="267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7"/>
      <c r="Q41" s="1810" t="str">
        <f t="shared" si="11"/>
        <v>层高</v>
      </c>
      <c r="R41" s="774" t="s">
        <v>17</v>
      </c>
      <c r="S41" s="775">
        <f t="shared" si="12"/>
        <v>100</v>
      </c>
      <c r="T41" s="774" t="s">
        <v>17</v>
      </c>
      <c r="U41" s="775">
        <f t="shared" si="13"/>
        <v>100</v>
      </c>
      <c r="V41" s="774" t="s">
        <v>17</v>
      </c>
      <c r="W41" s="775">
        <f t="shared" si="14"/>
        <v>100</v>
      </c>
      <c r="X41" s="1813"/>
      <c r="Y41" s="3229"/>
      <c r="Z41" s="1814" t="str">
        <f t="shared" si="15"/>
        <v>层高</v>
      </c>
      <c r="AA41" s="1811">
        <f t="shared" si="3"/>
        <v>1</v>
      </c>
      <c r="AB41" s="1811">
        <f t="shared" si="4"/>
        <v>1</v>
      </c>
      <c r="AC41" s="2676">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1">
        <f t="shared" si="3"/>
        <v>1</v>
      </c>
      <c r="AB42" s="1811">
        <f t="shared" si="4"/>
        <v>1</v>
      </c>
      <c r="AC42" s="267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7"/>
      <c r="Q43" s="1810" t="str">
        <f t="shared" si="11"/>
        <v>内部装修</v>
      </c>
      <c r="R43" s="774" t="s">
        <v>17</v>
      </c>
      <c r="S43" s="775">
        <f t="shared" si="12"/>
        <v>100</v>
      </c>
      <c r="T43" s="774" t="s">
        <v>17</v>
      </c>
      <c r="U43" s="775">
        <f t="shared" si="13"/>
        <v>100</v>
      </c>
      <c r="V43" s="774" t="s">
        <v>17</v>
      </c>
      <c r="W43" s="775">
        <f t="shared" si="14"/>
        <v>100</v>
      </c>
      <c r="X43" s="1813"/>
      <c r="Y43" s="3229"/>
      <c r="Z43" s="1814" t="str">
        <f t="shared" si="15"/>
        <v>内部装修</v>
      </c>
      <c r="AA43" s="1811">
        <f t="shared" si="3"/>
        <v>1</v>
      </c>
      <c r="AB43" s="1811">
        <f t="shared" si="4"/>
        <v>1</v>
      </c>
      <c r="AC43" s="2676">
        <f t="shared" si="5"/>
        <v>1</v>
      </c>
    </row>
    <row r="44" spans="1:29" ht="15">
      <c r="A44" s="472"/>
      <c r="B44" s="422" t="s">
        <v>2571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7"/>
      <c r="Q44" s="1810" t="str">
        <f t="shared" si="11"/>
        <v>内部装修维护情况</v>
      </c>
      <c r="R44" s="774" t="s">
        <v>17</v>
      </c>
      <c r="S44" s="775">
        <f t="shared" si="12"/>
        <v>100</v>
      </c>
      <c r="T44" s="774" t="s">
        <v>17</v>
      </c>
      <c r="U44" s="775">
        <f t="shared" si="13"/>
        <v>100</v>
      </c>
      <c r="V44" s="774" t="s">
        <v>17</v>
      </c>
      <c r="W44" s="775">
        <f t="shared" si="14"/>
        <v>100</v>
      </c>
      <c r="X44" s="1813"/>
      <c r="Y44" s="3229"/>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7"/>
      <c r="Q45" s="1795">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7"/>
      <c r="Q46" s="1810">
        <f t="shared" si="11"/>
        <v>111</v>
      </c>
      <c r="R46" s="774" t="s">
        <v>17</v>
      </c>
      <c r="S46" s="775">
        <f t="shared" si="12"/>
        <v>100</v>
      </c>
      <c r="T46" s="774" t="s">
        <v>17</v>
      </c>
      <c r="U46" s="775">
        <f t="shared" si="13"/>
        <v>100</v>
      </c>
      <c r="V46" s="774" t="s">
        <v>17</v>
      </c>
      <c r="W46" s="775">
        <f t="shared" si="14"/>
        <v>100</v>
      </c>
      <c r="X46" s="1813"/>
      <c r="Y46" s="3229"/>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8"/>
      <c r="Q47" s="1810">
        <f t="shared" si="11"/>
        <v>111</v>
      </c>
      <c r="R47" s="774" t="s">
        <v>17</v>
      </c>
      <c r="S47" s="775">
        <f t="shared" si="12"/>
        <v>100</v>
      </c>
      <c r="T47" s="774" t="s">
        <v>17</v>
      </c>
      <c r="U47" s="775">
        <f t="shared" si="13"/>
        <v>100</v>
      </c>
      <c r="V47" s="774" t="s">
        <v>17</v>
      </c>
      <c r="W47" s="775">
        <f t="shared" si="14"/>
        <v>100</v>
      </c>
      <c r="X47" s="1813"/>
      <c r="Y47" s="3230"/>
      <c r="Z47" s="1814">
        <f t="shared" si="15"/>
        <v>111</v>
      </c>
      <c r="AA47" s="1811">
        <f t="shared" si="3"/>
        <v>1</v>
      </c>
      <c r="AB47" s="1811">
        <f t="shared" si="4"/>
        <v>1</v>
      </c>
      <c r="AC47" s="2676">
        <f t="shared" si="5"/>
        <v>1</v>
      </c>
    </row>
    <row r="48" spans="1:29" ht="15">
      <c r="A48" s="479" t="s">
        <v>2572</v>
      </c>
      <c r="B48" s="480"/>
      <c r="C48" s="1407" t="s">
        <v>1</v>
      </c>
      <c r="D48" s="1408"/>
      <c r="E48" s="1409"/>
      <c r="F48" s="1410"/>
      <c r="G48" s="1411"/>
      <c r="H48" s="1412"/>
      <c r="I48" s="1409"/>
      <c r="J48" s="485"/>
      <c r="K48" s="783"/>
      <c r="L48" s="1143"/>
      <c r="M48" s="1131"/>
      <c r="N48" s="1131"/>
      <c r="O48" s="1131"/>
      <c r="P48" s="3233"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33"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3"/>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2583</v>
      </c>
      <c r="B64" s="528" t="s">
        <v>2549</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2694</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2558</v>
      </c>
      <c r="B101" s="528" t="s">
        <v>2607</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2609</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2611</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2612</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2613</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2696</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2615</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2697</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8"/>
      <c r="D2" s="1124"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35720.530000000006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35" t="s">
        <v>2643</v>
      </c>
      <c r="AC4" s="3234" t="s">
        <v>2644</v>
      </c>
    </row>
    <row r="5" spans="1:29"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35"/>
      <c r="AC5" s="3235"/>
    </row>
    <row r="6" spans="1:29" ht="15.75" thickBot="1">
      <c r="A6" s="406"/>
      <c r="B6" s="407"/>
      <c r="C6" s="3254" t="s">
        <v>2541</v>
      </c>
      <c r="D6" s="3255"/>
      <c r="E6" s="3261" t="s">
        <v>2541</v>
      </c>
      <c r="F6" s="3262"/>
      <c r="G6" s="3254" t="s">
        <v>2541</v>
      </c>
      <c r="H6" s="3255"/>
      <c r="I6" s="3254" t="s">
        <v>2541</v>
      </c>
      <c r="J6" s="3255"/>
      <c r="K6" s="610" t="s">
        <v>2542</v>
      </c>
      <c r="L6" s="1130"/>
      <c r="M6" s="1131"/>
      <c r="N6" s="1131"/>
      <c r="O6" s="1131"/>
      <c r="P6" s="3245"/>
      <c r="Q6" s="3246"/>
      <c r="R6" s="3249"/>
      <c r="S6" s="3250"/>
      <c r="T6" s="3251"/>
      <c r="U6" s="3252"/>
      <c r="V6" s="3253"/>
      <c r="W6" s="3253"/>
      <c r="X6" s="1813"/>
      <c r="Y6" s="3251"/>
      <c r="Z6" s="3252"/>
      <c r="AA6" s="3236"/>
      <c r="AB6" s="3236"/>
      <c r="AC6" s="3236"/>
    </row>
    <row r="7" spans="1:29" s="117" customFormat="1" ht="15.75" thickBot="1">
      <c r="A7" s="408" t="s">
        <v>2543</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8" t="s">
        <v>2544</v>
      </c>
      <c r="Q7" s="3260"/>
      <c r="R7" s="770" t="s">
        <v>17</v>
      </c>
      <c r="S7" s="771">
        <f t="shared" ref="S7:S15" si="0">F7</f>
        <v>0</v>
      </c>
      <c r="T7" s="770" t="s">
        <v>17</v>
      </c>
      <c r="U7" s="771">
        <f t="shared" ref="U7:U15" si="1">H7</f>
        <v>0</v>
      </c>
      <c r="V7" s="770" t="s">
        <v>17</v>
      </c>
      <c r="W7" s="771">
        <f t="shared" ref="W7:W15" si="2">J7</f>
        <v>0</v>
      </c>
      <c r="X7" s="772"/>
      <c r="Y7" s="3258" t="s">
        <v>2544</v>
      </c>
      <c r="Z7" s="325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2"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2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2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2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4" t="s">
        <v>2555</v>
      </c>
      <c r="Q15" s="1810" t="str">
        <f t="shared" si="6"/>
        <v>产业集聚程度</v>
      </c>
      <c r="R15" s="774" t="s">
        <v>17</v>
      </c>
      <c r="S15" s="775">
        <f t="shared" si="0"/>
        <v>100</v>
      </c>
      <c r="T15" s="774" t="s">
        <v>17</v>
      </c>
      <c r="U15" s="775">
        <f t="shared" si="1"/>
        <v>100</v>
      </c>
      <c r="V15" s="774" t="s">
        <v>17</v>
      </c>
      <c r="W15" s="775">
        <f t="shared" si="2"/>
        <v>100</v>
      </c>
      <c r="X15" s="1813"/>
      <c r="Y15" s="3224"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5"/>
      <c r="Q16" s="1810"/>
      <c r="R16" s="774"/>
      <c r="S16" s="775"/>
      <c r="T16" s="774"/>
      <c r="U16" s="775"/>
      <c r="V16" s="774"/>
      <c r="W16" s="775"/>
      <c r="X16" s="1813"/>
      <c r="Y16" s="3225"/>
      <c r="Z16" s="1814"/>
      <c r="AA16" s="1811">
        <v>1</v>
      </c>
      <c r="AB16" s="1811">
        <v>1</v>
      </c>
      <c r="AC16" s="1811">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25"/>
      <c r="Q18" s="1810"/>
      <c r="R18" s="774"/>
      <c r="S18" s="775"/>
      <c r="T18" s="774"/>
      <c r="U18" s="775"/>
      <c r="V18" s="774"/>
      <c r="W18" s="775"/>
      <c r="X18" s="1813"/>
      <c r="Y18" s="3225"/>
      <c r="Z18" s="1814"/>
      <c r="AA18" s="1811">
        <v>1</v>
      </c>
      <c r="AB18" s="1811">
        <v>1</v>
      </c>
      <c r="AC18" s="1811">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5"/>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25"/>
      <c r="Q20" s="1810"/>
      <c r="R20" s="774"/>
      <c r="S20" s="775"/>
      <c r="T20" s="774"/>
      <c r="U20" s="775"/>
      <c r="V20" s="774"/>
      <c r="W20" s="775"/>
      <c r="X20" s="1813"/>
      <c r="Y20" s="3225"/>
      <c r="Z20" s="1814"/>
      <c r="AA20" s="1811">
        <v>1</v>
      </c>
      <c r="AB20" s="1811">
        <v>1</v>
      </c>
      <c r="AC20" s="1811">
        <v>1</v>
      </c>
    </row>
    <row r="21" spans="1:29" ht="28.5">
      <c r="A21" s="428"/>
      <c r="B21" s="1384"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5"/>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25"/>
      <c r="Q22" s="1810"/>
      <c r="R22" s="774"/>
      <c r="S22" s="775"/>
      <c r="T22" s="774"/>
      <c r="U22" s="775"/>
      <c r="V22" s="774"/>
      <c r="W22" s="775"/>
      <c r="X22" s="1813"/>
      <c r="Y22" s="3225"/>
      <c r="Z22" s="1814"/>
      <c r="AA22" s="1811">
        <v>1</v>
      </c>
      <c r="AB22" s="1811">
        <v>1</v>
      </c>
      <c r="AC22" s="1811">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5"/>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25"/>
      <c r="Q24" s="1810"/>
      <c r="R24" s="774"/>
      <c r="S24" s="775"/>
      <c r="T24" s="774"/>
      <c r="U24" s="775"/>
      <c r="V24" s="774"/>
      <c r="W24" s="775"/>
      <c r="X24" s="1813"/>
      <c r="Y24" s="322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5"/>
      <c r="Q25" s="1810">
        <f>B25</f>
        <v>111</v>
      </c>
      <c r="R25" s="774" t="s">
        <v>17</v>
      </c>
      <c r="S25" s="775">
        <f>F25</f>
        <v>100</v>
      </c>
      <c r="T25" s="774" t="s">
        <v>17</v>
      </c>
      <c r="U25" s="775">
        <f>H25</f>
        <v>100</v>
      </c>
      <c r="V25" s="774" t="s">
        <v>17</v>
      </c>
      <c r="W25" s="775">
        <f>J25</f>
        <v>100</v>
      </c>
      <c r="X25" s="1813"/>
      <c r="Y25" s="322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5"/>
      <c r="Q26" s="1810">
        <f t="shared" ref="Q26:Q40" si="11">B26</f>
        <v>111</v>
      </c>
      <c r="R26" s="774" t="s">
        <v>17</v>
      </c>
      <c r="S26" s="775">
        <f>F26</f>
        <v>100</v>
      </c>
      <c r="T26" s="774" t="s">
        <v>17</v>
      </c>
      <c r="U26" s="775">
        <f>H26</f>
        <v>100</v>
      </c>
      <c r="V26" s="774" t="s">
        <v>17</v>
      </c>
      <c r="W26" s="775">
        <f>J26</f>
        <v>100</v>
      </c>
      <c r="X26" s="1813"/>
      <c r="Y26" s="322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5"/>
      <c r="Q27" s="1795">
        <f t="shared" si="11"/>
        <v>111</v>
      </c>
      <c r="R27" s="770" t="s">
        <v>17</v>
      </c>
      <c r="S27" s="771">
        <f>F27</f>
        <v>100</v>
      </c>
      <c r="T27" s="770" t="s">
        <v>17</v>
      </c>
      <c r="U27" s="771">
        <f>H27</f>
        <v>100</v>
      </c>
      <c r="V27" s="770" t="s">
        <v>17</v>
      </c>
      <c r="W27" s="771">
        <f>J27</f>
        <v>100</v>
      </c>
      <c r="X27" s="772"/>
      <c r="Y27" s="322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5"/>
      <c r="Q28" s="1810">
        <f t="shared" si="11"/>
        <v>111</v>
      </c>
      <c r="R28" s="774" t="s">
        <v>17</v>
      </c>
      <c r="S28" s="775">
        <f t="shared" ref="S28:S40" si="12">F28</f>
        <v>100</v>
      </c>
      <c r="T28" s="774" t="s">
        <v>17</v>
      </c>
      <c r="U28" s="775">
        <f t="shared" ref="U28:U40" si="13">H28</f>
        <v>100</v>
      </c>
      <c r="V28" s="774" t="s">
        <v>17</v>
      </c>
      <c r="W28" s="775">
        <f t="shared" ref="W28:W40" si="14">J28</f>
        <v>100</v>
      </c>
      <c r="X28" s="1813"/>
      <c r="Y28" s="3225"/>
      <c r="Z28" s="1814">
        <f t="shared" ref="Z28:Z40" si="15">Q28</f>
        <v>111</v>
      </c>
      <c r="AA28" s="1811">
        <f t="shared" si="3"/>
        <v>1</v>
      </c>
      <c r="AB28" s="1811">
        <f t="shared" si="4"/>
        <v>1</v>
      </c>
      <c r="AC28" s="1811">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80" t="s">
        <v>2560</v>
      </c>
      <c r="Q29" s="1810" t="str">
        <f t="shared" si="11"/>
        <v>建筑类型</v>
      </c>
      <c r="R29" s="774" t="s">
        <v>17</v>
      </c>
      <c r="S29" s="775">
        <f t="shared" si="12"/>
        <v>100</v>
      </c>
      <c r="T29" s="774" t="s">
        <v>17</v>
      </c>
      <c r="U29" s="775">
        <f t="shared" si="13"/>
        <v>100</v>
      </c>
      <c r="V29" s="774" t="s">
        <v>17</v>
      </c>
      <c r="W29" s="775">
        <f t="shared" si="14"/>
        <v>100</v>
      </c>
      <c r="X29" s="1813"/>
      <c r="Y29" s="3229"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9"/>
      <c r="Q31" s="1810" t="str">
        <f t="shared" si="11"/>
        <v>建筑结构</v>
      </c>
      <c r="R31" s="774" t="s">
        <v>17</v>
      </c>
      <c r="S31" s="775">
        <f t="shared" si="12"/>
        <v>100</v>
      </c>
      <c r="T31" s="774" t="s">
        <v>17</v>
      </c>
      <c r="U31" s="775">
        <f t="shared" si="13"/>
        <v>100</v>
      </c>
      <c r="V31" s="774" t="s">
        <v>17</v>
      </c>
      <c r="W31" s="775">
        <f t="shared" si="14"/>
        <v>100</v>
      </c>
      <c r="X31" s="1813"/>
      <c r="Y31" s="3229"/>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9"/>
      <c r="Q32" s="1810" t="str">
        <f t="shared" si="11"/>
        <v>公共部分装修</v>
      </c>
      <c r="R32" s="774" t="s">
        <v>17</v>
      </c>
      <c r="S32" s="775">
        <f t="shared" si="12"/>
        <v>100</v>
      </c>
      <c r="T32" s="774" t="s">
        <v>17</v>
      </c>
      <c r="U32" s="775">
        <f t="shared" si="13"/>
        <v>100</v>
      </c>
      <c r="V32" s="774" t="s">
        <v>17</v>
      </c>
      <c r="W32" s="775">
        <f t="shared" si="14"/>
        <v>100</v>
      </c>
      <c r="X32" s="1813"/>
      <c r="Y32" s="3229"/>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9"/>
      <c r="Q33" s="1810" t="str">
        <f t="shared" si="11"/>
        <v>成新度</v>
      </c>
      <c r="R33" s="774" t="s">
        <v>17</v>
      </c>
      <c r="S33" s="775" t="e">
        <f t="shared" si="12"/>
        <v>#N/A</v>
      </c>
      <c r="T33" s="774" t="s">
        <v>17</v>
      </c>
      <c r="U33" s="775" t="e">
        <f t="shared" si="13"/>
        <v>#N/A</v>
      </c>
      <c r="V33" s="774" t="s">
        <v>17</v>
      </c>
      <c r="W33" s="775" t="e">
        <f t="shared" si="14"/>
        <v>#N/A</v>
      </c>
      <c r="X33" s="1813"/>
      <c r="Y33" s="3229"/>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9"/>
      <c r="Q34" s="1795"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9" t="s">
        <v>2560</v>
      </c>
      <c r="Q35" s="1810" t="str">
        <f t="shared" si="11"/>
        <v>市政基础设施</v>
      </c>
      <c r="R35" s="774" t="s">
        <v>17</v>
      </c>
      <c r="S35" s="775">
        <f t="shared" si="12"/>
        <v>100</v>
      </c>
      <c r="T35" s="774" t="s">
        <v>17</v>
      </c>
      <c r="U35" s="775">
        <f t="shared" si="13"/>
        <v>100</v>
      </c>
      <c r="V35" s="774" t="s">
        <v>17</v>
      </c>
      <c r="W35" s="775">
        <f t="shared" si="14"/>
        <v>100</v>
      </c>
      <c r="X35" s="1813"/>
      <c r="Y35" s="3229"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9"/>
      <c r="Q36" s="1810" t="str">
        <f t="shared" si="11"/>
        <v>内部装修</v>
      </c>
      <c r="R36" s="774" t="s">
        <v>17</v>
      </c>
      <c r="S36" s="775">
        <f t="shared" si="12"/>
        <v>100</v>
      </c>
      <c r="T36" s="774" t="s">
        <v>17</v>
      </c>
      <c r="U36" s="775">
        <f t="shared" si="13"/>
        <v>100</v>
      </c>
      <c r="V36" s="774" t="s">
        <v>17</v>
      </c>
      <c r="W36" s="775">
        <f t="shared" si="14"/>
        <v>100</v>
      </c>
      <c r="X36" s="1813"/>
      <c r="Y36" s="3229"/>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9"/>
      <c r="Q37" s="1810" t="str">
        <f t="shared" si="11"/>
        <v>内部装修状况</v>
      </c>
      <c r="R37" s="774" t="s">
        <v>17</v>
      </c>
      <c r="S37" s="775">
        <f t="shared" si="12"/>
        <v>100</v>
      </c>
      <c r="T37" s="774" t="s">
        <v>17</v>
      </c>
      <c r="U37" s="775">
        <f t="shared" si="13"/>
        <v>100</v>
      </c>
      <c r="V37" s="774" t="s">
        <v>17</v>
      </c>
      <c r="W37" s="775">
        <f t="shared" si="14"/>
        <v>100</v>
      </c>
      <c r="X37" s="1813"/>
      <c r="Y37" s="322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9"/>
      <c r="Q39" s="1810">
        <f t="shared" si="11"/>
        <v>111</v>
      </c>
      <c r="R39" s="774" t="s">
        <v>17</v>
      </c>
      <c r="S39" s="775">
        <f t="shared" si="12"/>
        <v>100</v>
      </c>
      <c r="T39" s="774" t="s">
        <v>17</v>
      </c>
      <c r="U39" s="775">
        <f t="shared" si="13"/>
        <v>100</v>
      </c>
      <c r="V39" s="774" t="s">
        <v>17</v>
      </c>
      <c r="W39" s="775">
        <f t="shared" si="14"/>
        <v>100</v>
      </c>
      <c r="X39" s="1813"/>
      <c r="Y39" s="3229"/>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0"/>
      <c r="Q40" s="1810">
        <f t="shared" si="11"/>
        <v>111</v>
      </c>
      <c r="R40" s="774" t="s">
        <v>17</v>
      </c>
      <c r="S40" s="775">
        <f t="shared" si="12"/>
        <v>100</v>
      </c>
      <c r="T40" s="774" t="s">
        <v>17</v>
      </c>
      <c r="U40" s="775">
        <f t="shared" si="13"/>
        <v>100</v>
      </c>
      <c r="V40" s="774" t="s">
        <v>17</v>
      </c>
      <c r="W40" s="775">
        <f t="shared" si="14"/>
        <v>100</v>
      </c>
      <c r="X40" s="1813"/>
      <c r="Y40" s="3230"/>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35" t="s">
        <v>2643</v>
      </c>
      <c r="AC4" s="3234" t="s">
        <v>2644</v>
      </c>
    </row>
    <row r="5" spans="1:29"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35"/>
      <c r="AC5" s="3235"/>
    </row>
    <row r="6" spans="1:29" ht="15.75" thickBot="1">
      <c r="A6" s="406"/>
      <c r="B6" s="407"/>
      <c r="C6" s="3254" t="s">
        <v>2541</v>
      </c>
      <c r="D6" s="3255"/>
      <c r="E6" s="3261" t="s">
        <v>2541</v>
      </c>
      <c r="F6" s="3262"/>
      <c r="G6" s="3254" t="s">
        <v>2541</v>
      </c>
      <c r="H6" s="3255"/>
      <c r="I6" s="3254" t="s">
        <v>2541</v>
      </c>
      <c r="J6" s="3255"/>
      <c r="K6" s="610" t="s">
        <v>2542</v>
      </c>
      <c r="L6" s="1130"/>
      <c r="M6" s="1131"/>
      <c r="N6" s="1131"/>
      <c r="O6" s="1131"/>
      <c r="P6" s="3245"/>
      <c r="Q6" s="3246"/>
      <c r="R6" s="3249"/>
      <c r="S6" s="3250"/>
      <c r="T6" s="3251"/>
      <c r="U6" s="3252"/>
      <c r="V6" s="3253"/>
      <c r="W6" s="3253"/>
      <c r="X6" s="1813"/>
      <c r="Y6" s="3251"/>
      <c r="Z6" s="3252"/>
      <c r="AA6" s="3236"/>
      <c r="AB6" s="3236"/>
      <c r="AC6" s="3236"/>
    </row>
    <row r="7" spans="1:29" s="117" customFormat="1" ht="15.75" thickBot="1">
      <c r="A7" s="408" t="s">
        <v>2543</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8" t="s">
        <v>2544</v>
      </c>
      <c r="Q7" s="3260"/>
      <c r="R7" s="770" t="s">
        <v>17</v>
      </c>
      <c r="S7" s="771">
        <f t="shared" ref="S7:S14" si="0">F7</f>
        <v>0</v>
      </c>
      <c r="T7" s="770" t="s">
        <v>17</v>
      </c>
      <c r="U7" s="771">
        <f t="shared" ref="U7:U14" si="1">H7</f>
        <v>0</v>
      </c>
      <c r="V7" s="770" t="s">
        <v>17</v>
      </c>
      <c r="W7" s="771">
        <f t="shared" ref="W7:W14" si="2">J7</f>
        <v>0</v>
      </c>
      <c r="X7" s="772"/>
      <c r="Y7" s="3258" t="s">
        <v>2544</v>
      </c>
      <c r="Z7" s="325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2" t="s">
        <v>2550</v>
      </c>
      <c r="Q9" s="1795" t="str">
        <f t="shared" ref="Q9:Q14" si="6">B9</f>
        <v>用途</v>
      </c>
      <c r="R9" s="770" t="s">
        <v>17</v>
      </c>
      <c r="S9" s="771">
        <f t="shared" si="0"/>
        <v>100</v>
      </c>
      <c r="T9" s="770" t="s">
        <v>17</v>
      </c>
      <c r="U9" s="771">
        <f t="shared" si="1"/>
        <v>100</v>
      </c>
      <c r="V9" s="770" t="s">
        <v>17</v>
      </c>
      <c r="W9" s="771">
        <f t="shared" si="2"/>
        <v>100</v>
      </c>
      <c r="X9" s="772"/>
      <c r="Y9" s="3024"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2554</v>
      </c>
      <c r="B14" s="629" t="s">
        <v>2704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4" t="s">
        <v>2555</v>
      </c>
      <c r="Q14" s="1810" t="str">
        <f t="shared" si="6"/>
        <v>交通便捷度</v>
      </c>
      <c r="R14" s="774" t="s">
        <v>17</v>
      </c>
      <c r="S14" s="775">
        <f t="shared" si="0"/>
        <v>100</v>
      </c>
      <c r="T14" s="774" t="s">
        <v>17</v>
      </c>
      <c r="U14" s="775">
        <f t="shared" si="1"/>
        <v>100</v>
      </c>
      <c r="V14" s="774" t="s">
        <v>17</v>
      </c>
      <c r="W14" s="775">
        <f t="shared" si="2"/>
        <v>100</v>
      </c>
      <c r="X14" s="1813"/>
      <c r="Y14" s="3224"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5"/>
      <c r="Q15" s="1810"/>
      <c r="R15" s="774"/>
      <c r="S15" s="775"/>
      <c r="T15" s="774"/>
      <c r="U15" s="775"/>
      <c r="V15" s="774"/>
      <c r="W15" s="775"/>
      <c r="X15" s="1813"/>
      <c r="Y15" s="3225"/>
      <c r="Z15" s="1814"/>
      <c r="AA15" s="1811">
        <v>1</v>
      </c>
      <c r="AB15" s="1811">
        <v>1</v>
      </c>
      <c r="AC15" s="1811">
        <v>1</v>
      </c>
    </row>
    <row r="16" spans="1:29" ht="42.75">
      <c r="A16" s="404"/>
      <c r="B16" s="631" t="s">
        <v>2683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25"/>
      <c r="Q17" s="1810"/>
      <c r="R17" s="774"/>
      <c r="S17" s="775"/>
      <c r="T17" s="774"/>
      <c r="U17" s="775"/>
      <c r="V17" s="774"/>
      <c r="W17" s="775"/>
      <c r="X17" s="1813"/>
      <c r="Y17" s="3225"/>
      <c r="Z17" s="1814"/>
      <c r="AA17" s="1811">
        <v>1</v>
      </c>
      <c r="AB17" s="1811">
        <v>1</v>
      </c>
      <c r="AC17" s="1811">
        <v>1</v>
      </c>
    </row>
    <row r="18" spans="1:29" ht="28.5">
      <c r="A18" s="404"/>
      <c r="B18" s="633" t="s">
        <v>2684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25"/>
      <c r="Q19" s="1810"/>
      <c r="R19" s="774"/>
      <c r="S19" s="775"/>
      <c r="T19" s="774"/>
      <c r="U19" s="775"/>
      <c r="V19" s="774"/>
      <c r="W19" s="775"/>
      <c r="X19" s="1813"/>
      <c r="Y19" s="3225"/>
      <c r="Z19" s="1814"/>
      <c r="AA19" s="1811">
        <v>1</v>
      </c>
      <c r="AB19" s="1811">
        <v>1</v>
      </c>
      <c r="AC19" s="1811">
        <v>1</v>
      </c>
    </row>
    <row r="20" spans="1:29" ht="57">
      <c r="A20" s="404"/>
      <c r="B20" s="631" t="s">
        <v>2705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5"/>
      <c r="Q21" s="1810"/>
      <c r="R21" s="774"/>
      <c r="S21" s="775"/>
      <c r="T21" s="774"/>
      <c r="U21" s="775"/>
      <c r="V21" s="774"/>
      <c r="W21" s="775"/>
      <c r="X21" s="1813"/>
      <c r="Y21" s="3225"/>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5"/>
      <c r="Q24" s="1810">
        <f t="shared" ref="Q24:Q36"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9"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9"/>
      <c r="Q28" s="1810" t="str">
        <f t="shared" si="11"/>
        <v>公共部分装修</v>
      </c>
      <c r="R28" s="774" t="s">
        <v>17</v>
      </c>
      <c r="S28" s="775">
        <f t="shared" si="12"/>
        <v>100</v>
      </c>
      <c r="T28" s="774" t="s">
        <v>17</v>
      </c>
      <c r="U28" s="775">
        <f t="shared" si="13"/>
        <v>100</v>
      </c>
      <c r="V28" s="774" t="s">
        <v>17</v>
      </c>
      <c r="W28" s="775">
        <f t="shared" si="14"/>
        <v>100</v>
      </c>
      <c r="X28" s="1813"/>
      <c r="Y28" s="3229"/>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9"/>
      <c r="Q29" s="1810" t="str">
        <f t="shared" si="11"/>
        <v>成新率</v>
      </c>
      <c r="R29" s="774" t="s">
        <v>17</v>
      </c>
      <c r="S29" s="775" t="e">
        <f t="shared" si="12"/>
        <v>#N/A</v>
      </c>
      <c r="T29" s="774" t="s">
        <v>17</v>
      </c>
      <c r="U29" s="775" t="e">
        <f t="shared" si="13"/>
        <v>#N/A</v>
      </c>
      <c r="V29" s="774" t="s">
        <v>17</v>
      </c>
      <c r="W29" s="775" t="e">
        <f t="shared" si="14"/>
        <v>#N/A</v>
      </c>
      <c r="X29" s="1813"/>
      <c r="Y29" s="3229"/>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9"/>
      <c r="Q30" s="1810" t="str">
        <f t="shared" si="11"/>
        <v>物业等级</v>
      </c>
      <c r="R30" s="774" t="s">
        <v>17</v>
      </c>
      <c r="S30" s="775">
        <f t="shared" si="12"/>
        <v>100</v>
      </c>
      <c r="T30" s="774" t="s">
        <v>17</v>
      </c>
      <c r="U30" s="775">
        <f t="shared" si="13"/>
        <v>100</v>
      </c>
      <c r="V30" s="774" t="s">
        <v>17</v>
      </c>
      <c r="W30" s="775">
        <f t="shared" si="14"/>
        <v>100</v>
      </c>
      <c r="X30" s="1813"/>
      <c r="Y30" s="3229"/>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9"/>
      <c r="Q31" s="1795"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9" t="s">
        <v>2560</v>
      </c>
      <c r="Q32" s="1810" t="str">
        <f t="shared" si="11"/>
        <v>车位类型</v>
      </c>
      <c r="R32" s="774" t="s">
        <v>17</v>
      </c>
      <c r="S32" s="775">
        <f t="shared" si="12"/>
        <v>100</v>
      </c>
      <c r="T32" s="774" t="s">
        <v>17</v>
      </c>
      <c r="U32" s="775">
        <f t="shared" si="13"/>
        <v>100</v>
      </c>
      <c r="V32" s="774" t="s">
        <v>17</v>
      </c>
      <c r="W32" s="775">
        <f t="shared" si="14"/>
        <v>100</v>
      </c>
      <c r="X32" s="1813"/>
      <c r="Y32" s="3229"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9"/>
      <c r="Q33" s="1810" t="str">
        <f t="shared" si="11"/>
        <v>是否直接入户</v>
      </c>
      <c r="R33" s="774" t="s">
        <v>17</v>
      </c>
      <c r="S33" s="775">
        <f t="shared" si="12"/>
        <v>100</v>
      </c>
      <c r="T33" s="774" t="s">
        <v>17</v>
      </c>
      <c r="U33" s="775">
        <f t="shared" si="13"/>
        <v>100</v>
      </c>
      <c r="V33" s="774" t="s">
        <v>17</v>
      </c>
      <c r="W33" s="775">
        <f t="shared" si="14"/>
        <v>100</v>
      </c>
      <c r="X33" s="1813"/>
      <c r="Y33" s="322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9"/>
      <c r="Q34" s="1810">
        <f t="shared" si="11"/>
        <v>111</v>
      </c>
      <c r="R34" s="774" t="s">
        <v>17</v>
      </c>
      <c r="S34" s="775">
        <f t="shared" si="12"/>
        <v>100</v>
      </c>
      <c r="T34" s="774" t="s">
        <v>17</v>
      </c>
      <c r="U34" s="775">
        <f t="shared" si="13"/>
        <v>100</v>
      </c>
      <c r="V34" s="774" t="s">
        <v>17</v>
      </c>
      <c r="W34" s="775">
        <f t="shared" si="14"/>
        <v>100</v>
      </c>
      <c r="X34" s="1813"/>
      <c r="Y34" s="322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9"/>
      <c r="Q36" s="1810">
        <f t="shared" si="11"/>
        <v>111</v>
      </c>
      <c r="R36" s="774" t="s">
        <v>17</v>
      </c>
      <c r="S36" s="775">
        <f t="shared" si="12"/>
        <v>100</v>
      </c>
      <c r="T36" s="774" t="s">
        <v>17</v>
      </c>
      <c r="U36" s="775">
        <f t="shared" si="13"/>
        <v>100</v>
      </c>
      <c r="V36" s="774" t="s">
        <v>17</v>
      </c>
      <c r="W36" s="775">
        <f t="shared" si="14"/>
        <v>100</v>
      </c>
      <c r="X36" s="1813"/>
      <c r="Y36" s="3229"/>
      <c r="Z36" s="1814">
        <f t="shared" si="15"/>
        <v>111</v>
      </c>
      <c r="AA36" s="1811">
        <f t="shared" si="3"/>
        <v>1</v>
      </c>
      <c r="AB36" s="1811">
        <f t="shared" si="4"/>
        <v>1</v>
      </c>
      <c r="AC36" s="1811">
        <f t="shared" si="5"/>
        <v>1</v>
      </c>
    </row>
    <row r="37" spans="1:29" ht="15">
      <c r="A37" s="479" t="s">
        <v>2715</v>
      </c>
      <c r="B37" s="2697" t="s">
        <v>2716</v>
      </c>
      <c r="C37" s="1407" t="s">
        <v>1</v>
      </c>
      <c r="D37" s="1408"/>
      <c r="E37" s="1409"/>
      <c r="F37" s="1410"/>
      <c r="G37" s="1411"/>
      <c r="H37" s="1412"/>
      <c r="I37" s="1409"/>
      <c r="J37" s="1412"/>
      <c r="K37" s="619"/>
      <c r="L37" s="1143"/>
      <c r="M37" s="1144"/>
      <c r="N37" s="1131"/>
      <c r="O37" s="1144"/>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35" t="s">
        <v>2643</v>
      </c>
      <c r="AC4" s="3234" t="s">
        <v>2644</v>
      </c>
    </row>
    <row r="5" spans="1:29"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35"/>
      <c r="AC5" s="3235"/>
    </row>
    <row r="6" spans="1:29" ht="15.75" thickBot="1">
      <c r="A6" s="406"/>
      <c r="B6" s="407"/>
      <c r="C6" s="3254" t="s">
        <v>2541</v>
      </c>
      <c r="D6" s="3255"/>
      <c r="E6" s="3261" t="s">
        <v>2541</v>
      </c>
      <c r="F6" s="3262"/>
      <c r="G6" s="3254" t="s">
        <v>2541</v>
      </c>
      <c r="H6" s="3255"/>
      <c r="I6" s="3254" t="s">
        <v>2541</v>
      </c>
      <c r="J6" s="3255"/>
      <c r="K6" s="610" t="s">
        <v>2542</v>
      </c>
      <c r="L6" s="1130"/>
      <c r="M6" s="1131"/>
      <c r="N6" s="1131"/>
      <c r="O6" s="1131"/>
      <c r="P6" s="3245"/>
      <c r="Q6" s="3246"/>
      <c r="R6" s="3249"/>
      <c r="S6" s="3250"/>
      <c r="T6" s="3251"/>
      <c r="U6" s="3252"/>
      <c r="V6" s="3253"/>
      <c r="W6" s="3253"/>
      <c r="X6" s="1813"/>
      <c r="Y6" s="3251"/>
      <c r="Z6" s="3252"/>
      <c r="AA6" s="3236"/>
      <c r="AB6" s="3236"/>
      <c r="AC6" s="3236"/>
    </row>
    <row r="7" spans="1:29" s="117" customFormat="1" ht="15.75" thickBot="1">
      <c r="A7" s="408" t="s">
        <v>2543</v>
      </c>
      <c r="B7" s="409"/>
      <c r="C7" s="410">
        <f>'数据-取费表'!B2</f>
        <v>43598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58" t="s">
        <v>2544</v>
      </c>
      <c r="Q7" s="3260"/>
      <c r="R7" s="770" t="s">
        <v>17</v>
      </c>
      <c r="S7" s="771">
        <f t="shared" ref="S7:S14" si="0">F7</f>
        <v>0</v>
      </c>
      <c r="T7" s="770" t="s">
        <v>17</v>
      </c>
      <c r="U7" s="771">
        <f t="shared" ref="U7:U14" si="1">H7</f>
        <v>0</v>
      </c>
      <c r="V7" s="770" t="s">
        <v>17</v>
      </c>
      <c r="W7" s="771">
        <f t="shared" ref="W7:W14" si="2">J7</f>
        <v>0</v>
      </c>
      <c r="X7" s="772"/>
      <c r="Y7" s="3258" t="s">
        <v>2544</v>
      </c>
      <c r="Z7" s="325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2" t="s">
        <v>2550</v>
      </c>
      <c r="Q9" s="1795" t="str">
        <f t="shared" ref="Q9:Q14" si="6">B9</f>
        <v>用途</v>
      </c>
      <c r="R9" s="770" t="s">
        <v>17</v>
      </c>
      <c r="S9" s="771">
        <f t="shared" si="0"/>
        <v>100</v>
      </c>
      <c r="T9" s="770" t="s">
        <v>17</v>
      </c>
      <c r="U9" s="771">
        <f t="shared" si="1"/>
        <v>100</v>
      </c>
      <c r="V9" s="770" t="s">
        <v>17</v>
      </c>
      <c r="W9" s="771">
        <f t="shared" si="2"/>
        <v>100</v>
      </c>
      <c r="X9" s="772"/>
      <c r="Y9" s="3024"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2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2554</v>
      </c>
      <c r="B14" s="69" t="s">
        <v>2704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4" t="s">
        <v>2555</v>
      </c>
      <c r="Q14" s="1810" t="str">
        <f t="shared" si="6"/>
        <v>交通便捷度</v>
      </c>
      <c r="R14" s="774" t="s">
        <v>17</v>
      </c>
      <c r="S14" s="775">
        <f t="shared" si="0"/>
        <v>100</v>
      </c>
      <c r="T14" s="774" t="s">
        <v>17</v>
      </c>
      <c r="U14" s="775">
        <f t="shared" si="1"/>
        <v>100</v>
      </c>
      <c r="V14" s="774" t="s">
        <v>17</v>
      </c>
      <c r="W14" s="775">
        <f t="shared" si="2"/>
        <v>100</v>
      </c>
      <c r="X14" s="1813"/>
      <c r="Y14" s="3224"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5"/>
      <c r="Q15" s="1810"/>
      <c r="R15" s="774"/>
      <c r="S15" s="775"/>
      <c r="T15" s="774"/>
      <c r="U15" s="775"/>
      <c r="V15" s="774"/>
      <c r="W15" s="775"/>
      <c r="X15" s="1813"/>
      <c r="Y15" s="3225"/>
      <c r="Z15" s="1814"/>
      <c r="AA15" s="1811">
        <v>1</v>
      </c>
      <c r="AB15" s="1811">
        <v>1</v>
      </c>
      <c r="AC15" s="1811">
        <v>1</v>
      </c>
    </row>
    <row r="16" spans="1:29" ht="42.75">
      <c r="A16" s="428"/>
      <c r="B16" s="451" t="s">
        <v>2683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25"/>
      <c r="Q17" s="1810"/>
      <c r="R17" s="774"/>
      <c r="S17" s="775"/>
      <c r="T17" s="774"/>
      <c r="U17" s="775"/>
      <c r="V17" s="774"/>
      <c r="W17" s="775"/>
      <c r="X17" s="1813"/>
      <c r="Y17" s="3225"/>
      <c r="Z17" s="1814"/>
      <c r="AA17" s="1811">
        <v>1</v>
      </c>
      <c r="AB17" s="1811">
        <v>1</v>
      </c>
      <c r="AC17" s="1811">
        <v>1</v>
      </c>
    </row>
    <row r="18" spans="1:29" ht="28.5">
      <c r="A18" s="428"/>
      <c r="B18" s="1384" t="s">
        <v>2684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25"/>
      <c r="Q19" s="1810"/>
      <c r="R19" s="774"/>
      <c r="S19" s="775"/>
      <c r="T19" s="774"/>
      <c r="U19" s="775"/>
      <c r="V19" s="774"/>
      <c r="W19" s="775"/>
      <c r="X19" s="1813"/>
      <c r="Y19" s="3225"/>
      <c r="Z19" s="1814"/>
      <c r="AA19" s="1811">
        <v>1</v>
      </c>
      <c r="AB19" s="1811">
        <v>1</v>
      </c>
      <c r="AC19" s="1811">
        <v>1</v>
      </c>
    </row>
    <row r="20" spans="1:29" ht="57">
      <c r="A20" s="428"/>
      <c r="B20" s="451" t="s">
        <v>2705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5"/>
      <c r="Q21" s="1810"/>
      <c r="R21" s="774"/>
      <c r="S21" s="775"/>
      <c r="T21" s="774"/>
      <c r="U21" s="775"/>
      <c r="V21" s="774"/>
      <c r="W21" s="775"/>
      <c r="X21" s="1813"/>
      <c r="Y21" s="3225"/>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5"/>
      <c r="Q24" s="1810">
        <f t="shared" ref="Q24:Q34"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80"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9"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9"/>
      <c r="Q28" s="1810" t="str">
        <f t="shared" si="11"/>
        <v>物业等级</v>
      </c>
      <c r="R28" s="774" t="s">
        <v>17</v>
      </c>
      <c r="S28" s="775">
        <f t="shared" si="12"/>
        <v>100</v>
      </c>
      <c r="T28" s="774" t="s">
        <v>17</v>
      </c>
      <c r="U28" s="775">
        <f t="shared" si="13"/>
        <v>100</v>
      </c>
      <c r="V28" s="774" t="s">
        <v>17</v>
      </c>
      <c r="W28" s="775">
        <f t="shared" si="14"/>
        <v>100</v>
      </c>
      <c r="X28" s="1813"/>
      <c r="Y28" s="3229"/>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9"/>
      <c r="Q29" s="1810" t="str">
        <f t="shared" si="11"/>
        <v>有无电梯</v>
      </c>
      <c r="R29" s="774" t="s">
        <v>17</v>
      </c>
      <c r="S29" s="775">
        <f t="shared" si="12"/>
        <v>100</v>
      </c>
      <c r="T29" s="774" t="s">
        <v>17</v>
      </c>
      <c r="U29" s="775">
        <f t="shared" si="13"/>
        <v>100</v>
      </c>
      <c r="V29" s="774" t="s">
        <v>17</v>
      </c>
      <c r="W29" s="775">
        <f t="shared" si="14"/>
        <v>100</v>
      </c>
      <c r="X29" s="1813"/>
      <c r="Y29" s="3229"/>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9"/>
      <c r="Q30" s="1810" t="str">
        <f t="shared" si="11"/>
        <v>建筑面积</v>
      </c>
      <c r="R30" s="774" t="s">
        <v>17</v>
      </c>
      <c r="S30" s="775" t="e">
        <f t="shared" si="12"/>
        <v>#N/A</v>
      </c>
      <c r="T30" s="774" t="s">
        <v>17</v>
      </c>
      <c r="U30" s="775" t="e">
        <f t="shared" si="13"/>
        <v>#N/A</v>
      </c>
      <c r="V30" s="774" t="s">
        <v>17</v>
      </c>
      <c r="W30" s="775" t="e">
        <f t="shared" si="14"/>
        <v>#N/A</v>
      </c>
      <c r="X30" s="1813"/>
      <c r="Y30" s="3229"/>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9"/>
      <c r="Q31" s="1795"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9" t="s">
        <v>2560</v>
      </c>
      <c r="Q32" s="1810">
        <f t="shared" si="11"/>
        <v>111</v>
      </c>
      <c r="R32" s="774" t="s">
        <v>17</v>
      </c>
      <c r="S32" s="775">
        <f t="shared" si="12"/>
        <v>100</v>
      </c>
      <c r="T32" s="774" t="s">
        <v>17</v>
      </c>
      <c r="U32" s="775">
        <f t="shared" si="13"/>
        <v>100</v>
      </c>
      <c r="V32" s="774" t="s">
        <v>17</v>
      </c>
      <c r="W32" s="775">
        <f t="shared" si="14"/>
        <v>100</v>
      </c>
      <c r="X32" s="1813"/>
      <c r="Y32" s="3229" t="s">
        <v>2560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9"/>
      <c r="Q33" s="1810">
        <f t="shared" si="11"/>
        <v>111</v>
      </c>
      <c r="R33" s="774" t="s">
        <v>17</v>
      </c>
      <c r="S33" s="775">
        <f t="shared" si="12"/>
        <v>100</v>
      </c>
      <c r="T33" s="774" t="s">
        <v>17</v>
      </c>
      <c r="U33" s="775">
        <f t="shared" si="13"/>
        <v>100</v>
      </c>
      <c r="V33" s="774" t="s">
        <v>17</v>
      </c>
      <c r="W33" s="775">
        <f t="shared" si="14"/>
        <v>100</v>
      </c>
      <c r="X33" s="1813"/>
      <c r="Y33" s="3229"/>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29"/>
      <c r="Q34" s="1810">
        <f t="shared" si="11"/>
        <v>111</v>
      </c>
      <c r="R34" s="774" t="s">
        <v>17</v>
      </c>
      <c r="S34" s="775">
        <f t="shared" si="12"/>
        <v>100</v>
      </c>
      <c r="T34" s="774" t="s">
        <v>17</v>
      </c>
      <c r="U34" s="775">
        <f t="shared" si="13"/>
        <v>100</v>
      </c>
      <c r="V34" s="774" t="s">
        <v>17</v>
      </c>
      <c r="W34" s="775">
        <f t="shared" si="14"/>
        <v>100</v>
      </c>
      <c r="X34" s="1813"/>
      <c r="Y34" s="3229"/>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35" t="s">
        <v>2643</v>
      </c>
      <c r="AC4" s="3234" t="s">
        <v>2644</v>
      </c>
    </row>
    <row r="5" spans="1:30"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35"/>
      <c r="AC5" s="3235"/>
    </row>
    <row r="6" spans="1:30" ht="15.75" thickBot="1">
      <c r="A6" s="406"/>
      <c r="B6" s="407"/>
      <c r="C6" s="3254" t="s">
        <v>2541</v>
      </c>
      <c r="D6" s="3255"/>
      <c r="E6" s="3261" t="s">
        <v>2541</v>
      </c>
      <c r="F6" s="3262"/>
      <c r="G6" s="3254" t="s">
        <v>2541</v>
      </c>
      <c r="H6" s="3255"/>
      <c r="I6" s="3254" t="s">
        <v>2541</v>
      </c>
      <c r="J6" s="3255"/>
      <c r="K6" s="610" t="s">
        <v>2542</v>
      </c>
      <c r="L6" s="1130"/>
      <c r="M6" s="1131"/>
      <c r="N6" s="1131"/>
      <c r="O6" s="1131"/>
      <c r="P6" s="3245"/>
      <c r="Q6" s="3246"/>
      <c r="R6" s="3249"/>
      <c r="S6" s="3250"/>
      <c r="T6" s="3251"/>
      <c r="U6" s="3252"/>
      <c r="V6" s="3253"/>
      <c r="W6" s="3253"/>
      <c r="X6" s="1813"/>
      <c r="Y6" s="3251"/>
      <c r="Z6" s="3252"/>
      <c r="AA6" s="3236"/>
      <c r="AB6" s="3236"/>
      <c r="AC6" s="3236"/>
    </row>
    <row r="7" spans="1:30" s="117" customFormat="1" ht="15.75" thickBot="1">
      <c r="A7" s="408" t="s">
        <v>2543</v>
      </c>
      <c r="B7" s="409"/>
      <c r="C7" s="410">
        <f>'数据-取费表'!B2</f>
        <v>43598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58" t="s">
        <v>2544</v>
      </c>
      <c r="Q7" s="3260"/>
      <c r="R7" s="770" t="s">
        <v>17</v>
      </c>
      <c r="S7" s="771">
        <f t="shared" ref="S7:S15" si="0">F7</f>
        <v>0</v>
      </c>
      <c r="T7" s="770" t="s">
        <v>17</v>
      </c>
      <c r="U7" s="771">
        <f t="shared" ref="U7:U15" si="1">H7</f>
        <v>0</v>
      </c>
      <c r="V7" s="770" t="s">
        <v>17</v>
      </c>
      <c r="W7" s="771">
        <f t="shared" ref="W7:W15" si="2">J7</f>
        <v>0</v>
      </c>
      <c r="X7" s="772"/>
      <c r="Y7" s="3258" t="s">
        <v>2544</v>
      </c>
      <c r="Z7" s="325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22"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22"/>
      <c r="Q10" s="1795" t="str">
        <f t="shared" si="6"/>
        <v>土地使用年限（年）</v>
      </c>
      <c r="R10" s="770" t="s">
        <v>17</v>
      </c>
      <c r="S10" s="771">
        <f t="shared" ca="1" si="0"/>
        <v>115</v>
      </c>
      <c r="T10" s="770" t="s">
        <v>17</v>
      </c>
      <c r="U10" s="771">
        <f t="shared" ca="1" si="1"/>
        <v>115</v>
      </c>
      <c r="V10" s="770" t="s">
        <v>17</v>
      </c>
      <c r="W10" s="771">
        <f t="shared" ca="1" si="2"/>
        <v>115</v>
      </c>
      <c r="X10" s="772"/>
      <c r="Y10" s="3024"/>
      <c r="Z10" s="55" t="str">
        <f t="shared" si="7"/>
        <v>土地使用年限（年）</v>
      </c>
      <c r="AA10" s="773">
        <f t="shared" ca="1" si="3"/>
        <v>0.86956521739130432</v>
      </c>
      <c r="AB10" s="773">
        <f t="shared" ca="1" si="4"/>
        <v>0.86956521739130432</v>
      </c>
      <c r="AC10" s="773">
        <f t="shared" ca="1"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2"/>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2"/>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2"/>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2554</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4" t="s">
        <v>2555</v>
      </c>
      <c r="Q15" s="1810" t="str">
        <f t="shared" si="6"/>
        <v>居住社区成熟度</v>
      </c>
      <c r="R15" s="774" t="s">
        <v>17</v>
      </c>
      <c r="S15" s="775">
        <f t="shared" si="0"/>
        <v>100</v>
      </c>
      <c r="T15" s="774" t="s">
        <v>17</v>
      </c>
      <c r="U15" s="775">
        <f t="shared" si="1"/>
        <v>100</v>
      </c>
      <c r="V15" s="774" t="s">
        <v>17</v>
      </c>
      <c r="W15" s="775">
        <f t="shared" si="2"/>
        <v>100</v>
      </c>
      <c r="X15" s="1813"/>
      <c r="Y15" s="3224" t="s">
        <v>2555</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25"/>
      <c r="Q16" s="1810"/>
      <c r="R16" s="774"/>
      <c r="S16" s="775"/>
      <c r="T16" s="774"/>
      <c r="U16" s="775"/>
      <c r="V16" s="774"/>
      <c r="W16" s="775"/>
      <c r="X16" s="1813"/>
      <c r="Y16" s="3225"/>
      <c r="Z16" s="1814"/>
      <c r="AA16" s="1811">
        <v>1</v>
      </c>
      <c r="AB16" s="1811">
        <v>1</v>
      </c>
      <c r="AC16" s="1811">
        <v>1</v>
      </c>
    </row>
    <row r="17" spans="1:29" ht="71.25">
      <c r="A17" s="428"/>
      <c r="B17" s="451" t="s">
        <v>2648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5"/>
      <c r="Q17" s="1810" t="str">
        <f>B17</f>
        <v>商业繁华度</v>
      </c>
      <c r="R17" s="774" t="s">
        <v>17</v>
      </c>
      <c r="S17" s="775">
        <f>F17</f>
        <v>100</v>
      </c>
      <c r="T17" s="774" t="s">
        <v>17</v>
      </c>
      <c r="U17" s="775">
        <f>H17</f>
        <v>100</v>
      </c>
      <c r="V17" s="774" t="s">
        <v>17</v>
      </c>
      <c r="W17" s="775">
        <f>J17</f>
        <v>100</v>
      </c>
      <c r="X17" s="1813"/>
      <c r="Y17" s="3225"/>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25"/>
      <c r="Q18" s="1810"/>
      <c r="R18" s="774"/>
      <c r="S18" s="775"/>
      <c r="T18" s="774"/>
      <c r="U18" s="775"/>
      <c r="V18" s="774"/>
      <c r="W18" s="775"/>
      <c r="X18" s="1813"/>
      <c r="Y18" s="3225"/>
      <c r="Z18" s="1814"/>
      <c r="AA18" s="1811">
        <v>1</v>
      </c>
      <c r="AB18" s="1811">
        <v>1</v>
      </c>
      <c r="AC18" s="1811">
        <v>1</v>
      </c>
    </row>
    <row r="19" spans="1:29" ht="71.25">
      <c r="A19" s="428"/>
      <c r="B19" s="451" t="s">
        <v>2682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5"/>
      <c r="Q19" s="1810" t="str">
        <f>B19</f>
        <v>办公集聚程度</v>
      </c>
      <c r="R19" s="774" t="s">
        <v>17</v>
      </c>
      <c r="S19" s="775">
        <f>F19</f>
        <v>100</v>
      </c>
      <c r="T19" s="774" t="s">
        <v>17</v>
      </c>
      <c r="U19" s="775">
        <f>H19</f>
        <v>100</v>
      </c>
      <c r="V19" s="774" t="s">
        <v>17</v>
      </c>
      <c r="W19" s="775">
        <f>J19</f>
        <v>100</v>
      </c>
      <c r="X19" s="1813"/>
      <c r="Y19" s="3225"/>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25"/>
      <c r="Q20" s="1810"/>
      <c r="R20" s="774"/>
      <c r="S20" s="775"/>
      <c r="T20" s="774"/>
      <c r="U20" s="775"/>
      <c r="V20" s="774"/>
      <c r="W20" s="775"/>
      <c r="X20" s="1813"/>
      <c r="Y20" s="3225"/>
      <c r="Z20" s="1814"/>
      <c r="AA20" s="1811">
        <v>1</v>
      </c>
      <c r="AB20" s="1811">
        <v>1</v>
      </c>
      <c r="AC20" s="1811">
        <v>1</v>
      </c>
    </row>
    <row r="21" spans="1:29" ht="85.5">
      <c r="A21" s="428"/>
      <c r="B21" s="451" t="s">
        <v>2704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5"/>
      <c r="Q21" s="1810" t="str">
        <f>B21</f>
        <v>交通便捷度</v>
      </c>
      <c r="R21" s="774" t="s">
        <v>17</v>
      </c>
      <c r="S21" s="775">
        <f>F21</f>
        <v>100</v>
      </c>
      <c r="T21" s="774" t="s">
        <v>17</v>
      </c>
      <c r="U21" s="775">
        <f>H21</f>
        <v>100</v>
      </c>
      <c r="V21" s="774" t="s">
        <v>17</v>
      </c>
      <c r="W21" s="775">
        <f>J21</f>
        <v>100</v>
      </c>
      <c r="X21" s="1813"/>
      <c r="Y21" s="3225"/>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25"/>
      <c r="Q22" s="1810"/>
      <c r="R22" s="774"/>
      <c r="S22" s="775"/>
      <c r="T22" s="774"/>
      <c r="U22" s="775"/>
      <c r="V22" s="774"/>
      <c r="W22" s="775"/>
      <c r="X22" s="1813"/>
      <c r="Y22" s="3225"/>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5"/>
      <c r="Q23" s="1810" t="str">
        <f t="shared" ref="Q23:Q37" si="8">B23</f>
        <v>区域土地利用方向</v>
      </c>
      <c r="R23" s="774" t="s">
        <v>17</v>
      </c>
      <c r="S23" s="775">
        <f>F23</f>
        <v>100</v>
      </c>
      <c r="T23" s="774" t="s">
        <v>17</v>
      </c>
      <c r="U23" s="775">
        <f>H23</f>
        <v>100</v>
      </c>
      <c r="V23" s="774" t="s">
        <v>17</v>
      </c>
      <c r="W23" s="775">
        <f>J23</f>
        <v>100</v>
      </c>
      <c r="X23" s="1813"/>
      <c r="Y23" s="3225"/>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25"/>
      <c r="Q24" s="1810"/>
      <c r="R24" s="774"/>
      <c r="S24" s="775"/>
      <c r="T24" s="774"/>
      <c r="U24" s="775"/>
      <c r="V24" s="774"/>
      <c r="W24" s="775"/>
      <c r="X24" s="1813"/>
      <c r="Y24" s="3225"/>
      <c r="Z24" s="1814"/>
      <c r="AA24" s="1811"/>
      <c r="AB24" s="1811"/>
      <c r="AC24" s="1811"/>
    </row>
    <row r="25" spans="1:29" ht="57">
      <c r="A25" s="404"/>
      <c r="B25" s="1384" t="s">
        <v>2744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5"/>
      <c r="Q25" s="1810" t="str">
        <f t="shared" si="8"/>
        <v>自然及人文环境状况</v>
      </c>
      <c r="R25" s="774" t="s">
        <v>17</v>
      </c>
      <c r="S25" s="775">
        <f>F25</f>
        <v>100</v>
      </c>
      <c r="T25" s="774" t="s">
        <v>17</v>
      </c>
      <c r="U25" s="775">
        <f>H25</f>
        <v>100</v>
      </c>
      <c r="V25" s="774" t="s">
        <v>17</v>
      </c>
      <c r="W25" s="775">
        <f>J25</f>
        <v>100</v>
      </c>
      <c r="X25" s="1813"/>
      <c r="Y25" s="3225"/>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25"/>
      <c r="Q26" s="1810"/>
      <c r="R26" s="774"/>
      <c r="S26" s="775"/>
      <c r="T26" s="774"/>
      <c r="U26" s="775"/>
      <c r="V26" s="774"/>
      <c r="W26" s="775"/>
      <c r="X26" s="1813"/>
      <c r="Y26" s="3225"/>
      <c r="Z26" s="1814"/>
      <c r="AA26" s="1811">
        <v>1</v>
      </c>
      <c r="AB26" s="1811">
        <v>1</v>
      </c>
      <c r="AC26" s="1811">
        <v>1</v>
      </c>
    </row>
    <row r="27" spans="1:29" s="117" customFormat="1" ht="42.75">
      <c r="A27" s="649"/>
      <c r="B27" s="1384" t="s">
        <v>2649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5"/>
      <c r="Q27" s="1795" t="str">
        <f t="shared" si="8"/>
        <v>公共配套设施</v>
      </c>
      <c r="R27" s="770" t="s">
        <v>17</v>
      </c>
      <c r="S27" s="771">
        <f>F27</f>
        <v>100</v>
      </c>
      <c r="T27" s="770" t="s">
        <v>17</v>
      </c>
      <c r="U27" s="771">
        <f>H27</f>
        <v>100</v>
      </c>
      <c r="V27" s="770" t="s">
        <v>17</v>
      </c>
      <c r="W27" s="771">
        <f>J27</f>
        <v>100</v>
      </c>
      <c r="X27" s="772"/>
      <c r="Y27" s="3225"/>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25"/>
      <c r="Q28" s="1795"/>
      <c r="R28" s="770"/>
      <c r="S28" s="771"/>
      <c r="T28" s="770"/>
      <c r="U28" s="771"/>
      <c r="V28" s="770"/>
      <c r="W28" s="771"/>
      <c r="X28" s="772"/>
      <c r="Y28" s="3225"/>
      <c r="Z28" s="55"/>
      <c r="AA28" s="1811">
        <v>1</v>
      </c>
      <c r="AB28" s="1811">
        <v>1</v>
      </c>
      <c r="AC28" s="1811">
        <v>1</v>
      </c>
    </row>
    <row r="29" spans="1:29" s="117" customFormat="1" ht="28.5">
      <c r="A29" s="649"/>
      <c r="B29" s="1384" t="s">
        <v>2650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5"/>
      <c r="Q29" s="1795"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25"/>
      <c r="Q30" s="1795"/>
      <c r="R30" s="770"/>
      <c r="S30" s="771"/>
      <c r="T30" s="770"/>
      <c r="U30" s="771"/>
      <c r="V30" s="770"/>
      <c r="W30" s="771"/>
      <c r="X30" s="772"/>
      <c r="Y30" s="3225"/>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5"/>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5"/>
      <c r="Q32" s="1810" t="str">
        <f t="shared" si="8"/>
        <v>毗邻道路的类型与等级</v>
      </c>
      <c r="R32" s="774" t="s">
        <v>17</v>
      </c>
      <c r="S32" s="775">
        <f t="shared" si="10"/>
        <v>100</v>
      </c>
      <c r="T32" s="774" t="s">
        <v>17</v>
      </c>
      <c r="U32" s="775">
        <f t="shared" si="11"/>
        <v>100</v>
      </c>
      <c r="V32" s="774" t="s">
        <v>17</v>
      </c>
      <c r="W32" s="775">
        <f t="shared" si="12"/>
        <v>100</v>
      </c>
      <c r="X32" s="1813"/>
      <c r="Y32" s="3225"/>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25"/>
      <c r="Q33" s="1810"/>
      <c r="R33" s="774"/>
      <c r="S33" s="775"/>
      <c r="T33" s="774"/>
      <c r="U33" s="775"/>
      <c r="V33" s="774"/>
      <c r="W33" s="775"/>
      <c r="X33" s="1813"/>
      <c r="Y33" s="3225"/>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5"/>
      <c r="Q34" s="1810" t="str">
        <f t="shared" si="8"/>
        <v>土地级别</v>
      </c>
      <c r="R34" s="774" t="s">
        <v>17</v>
      </c>
      <c r="S34" s="775">
        <f t="shared" si="10"/>
        <v>100</v>
      </c>
      <c r="T34" s="774" t="s">
        <v>17</v>
      </c>
      <c r="U34" s="775">
        <f t="shared" si="11"/>
        <v>100</v>
      </c>
      <c r="V34" s="774" t="s">
        <v>17</v>
      </c>
      <c r="W34" s="775">
        <f t="shared" si="12"/>
        <v>100</v>
      </c>
      <c r="X34" s="1813"/>
      <c r="Y34" s="322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5"/>
      <c r="Q35" s="1810">
        <f t="shared" si="8"/>
        <v>111</v>
      </c>
      <c r="R35" s="774" t="s">
        <v>17</v>
      </c>
      <c r="S35" s="775">
        <f t="shared" si="10"/>
        <v>100</v>
      </c>
      <c r="T35" s="774" t="s">
        <v>17</v>
      </c>
      <c r="U35" s="775">
        <f t="shared" si="11"/>
        <v>100</v>
      </c>
      <c r="V35" s="774" t="s">
        <v>17</v>
      </c>
      <c r="W35" s="775">
        <f t="shared" si="12"/>
        <v>100</v>
      </c>
      <c r="X35" s="1813"/>
      <c r="Y35" s="322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2560</v>
      </c>
      <c r="Q36" s="1810">
        <f t="shared" si="8"/>
        <v>111</v>
      </c>
      <c r="R36" s="774" t="s">
        <v>17</v>
      </c>
      <c r="S36" s="775">
        <f t="shared" si="10"/>
        <v>100</v>
      </c>
      <c r="T36" s="774" t="s">
        <v>17</v>
      </c>
      <c r="U36" s="775">
        <f t="shared" si="11"/>
        <v>100</v>
      </c>
      <c r="V36" s="774" t="s">
        <v>17</v>
      </c>
      <c r="W36" s="775">
        <f t="shared" si="12"/>
        <v>100</v>
      </c>
      <c r="X36" s="1813"/>
      <c r="Y36" s="3229"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9"/>
      <c r="Q37" s="1810">
        <f t="shared" si="8"/>
        <v>111</v>
      </c>
      <c r="R37" s="777" t="s">
        <v>17</v>
      </c>
      <c r="S37" s="778">
        <f t="shared" si="10"/>
        <v>100</v>
      </c>
      <c r="T37" s="777" t="s">
        <v>17</v>
      </c>
      <c r="U37" s="778">
        <f t="shared" si="11"/>
        <v>100</v>
      </c>
      <c r="V37" s="777" t="s">
        <v>17</v>
      </c>
      <c r="W37" s="778">
        <f t="shared" si="12"/>
        <v>100</v>
      </c>
      <c r="X37" s="779"/>
      <c r="Y37" s="3229"/>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9"/>
      <c r="Q38" s="1810" t="str">
        <f>B38</f>
        <v>宗地面积</v>
      </c>
      <c r="R38" s="774" t="s">
        <v>17</v>
      </c>
      <c r="S38" s="775" t="e">
        <f t="shared" si="10"/>
        <v>#N/A</v>
      </c>
      <c r="T38" s="774" t="s">
        <v>17</v>
      </c>
      <c r="U38" s="775" t="e">
        <f t="shared" si="11"/>
        <v>#N/A</v>
      </c>
      <c r="V38" s="774" t="s">
        <v>17</v>
      </c>
      <c r="W38" s="775" t="e">
        <f t="shared" si="12"/>
        <v>#N/A</v>
      </c>
      <c r="X38" s="1813"/>
      <c r="Y38" s="3229"/>
      <c r="Z38" s="1814" t="str">
        <f t="shared" si="13"/>
        <v>宗地面积</v>
      </c>
      <c r="AA38" s="1811" t="e">
        <f t="shared" si="3"/>
        <v>#N/A</v>
      </c>
      <c r="AB38" s="1811" t="e">
        <f t="shared" si="4"/>
        <v>#N/A</v>
      </c>
      <c r="AC38" s="1811"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9"/>
      <c r="Q39" s="1810" t="str">
        <f t="shared" ref="Q39:Q45" si="14">B39</f>
        <v>宗地形状</v>
      </c>
      <c r="R39" s="774" t="s">
        <v>17</v>
      </c>
      <c r="S39" s="775">
        <f t="shared" si="10"/>
        <v>100</v>
      </c>
      <c r="T39" s="774" t="s">
        <v>17</v>
      </c>
      <c r="U39" s="775">
        <f t="shared" si="11"/>
        <v>100</v>
      </c>
      <c r="V39" s="774" t="s">
        <v>17</v>
      </c>
      <c r="W39" s="775">
        <f t="shared" si="12"/>
        <v>100</v>
      </c>
      <c r="X39" s="1813"/>
      <c r="Y39" s="3229"/>
      <c r="Z39" s="1814" t="str">
        <f t="shared" si="13"/>
        <v>宗地形状</v>
      </c>
      <c r="AA39" s="1811">
        <f t="shared" si="3"/>
        <v>1</v>
      </c>
      <c r="AB39" s="1811">
        <f t="shared" si="4"/>
        <v>1</v>
      </c>
      <c r="AC39" s="1811">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9"/>
      <c r="Q40" s="1810" t="str">
        <f t="shared" si="14"/>
        <v>临街宽度及深度</v>
      </c>
      <c r="R40" s="774" t="s">
        <v>17</v>
      </c>
      <c r="S40" s="775">
        <f t="shared" si="10"/>
        <v>100</v>
      </c>
      <c r="T40" s="774" t="s">
        <v>17</v>
      </c>
      <c r="U40" s="775">
        <f t="shared" si="11"/>
        <v>100</v>
      </c>
      <c r="V40" s="774" t="s">
        <v>17</v>
      </c>
      <c r="W40" s="775">
        <f t="shared" si="12"/>
        <v>100</v>
      </c>
      <c r="X40" s="1813"/>
      <c r="Y40" s="3229"/>
      <c r="Z40" s="1814" t="str">
        <f t="shared" si="13"/>
        <v>临街宽度及深度</v>
      </c>
      <c r="AA40" s="1811">
        <f t="shared" si="3"/>
        <v>1</v>
      </c>
      <c r="AB40" s="1811">
        <f t="shared" si="4"/>
        <v>1</v>
      </c>
      <c r="AC40" s="1811">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29"/>
      <c r="Q41" s="1810"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9" t="s">
        <v>2560</v>
      </c>
      <c r="Q42" s="1810" t="str">
        <f t="shared" si="14"/>
        <v>工程地质条件</v>
      </c>
      <c r="R42" s="774" t="s">
        <v>17</v>
      </c>
      <c r="S42" s="775">
        <f t="shared" si="10"/>
        <v>100</v>
      </c>
      <c r="T42" s="774" t="s">
        <v>17</v>
      </c>
      <c r="U42" s="775">
        <f t="shared" si="11"/>
        <v>100</v>
      </c>
      <c r="V42" s="774" t="s">
        <v>17</v>
      </c>
      <c r="W42" s="775">
        <f t="shared" si="12"/>
        <v>100</v>
      </c>
      <c r="X42" s="1813"/>
      <c r="Y42" s="3229"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9"/>
      <c r="Q43" s="1810">
        <f t="shared" si="14"/>
        <v>111</v>
      </c>
      <c r="R43" s="774" t="s">
        <v>17</v>
      </c>
      <c r="S43" s="775">
        <f t="shared" si="10"/>
        <v>100</v>
      </c>
      <c r="T43" s="774" t="s">
        <v>17</v>
      </c>
      <c r="U43" s="775">
        <f t="shared" si="11"/>
        <v>100</v>
      </c>
      <c r="V43" s="774" t="s">
        <v>17</v>
      </c>
      <c r="W43" s="775">
        <f t="shared" si="12"/>
        <v>100</v>
      </c>
      <c r="X43" s="1813"/>
      <c r="Y43" s="322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9"/>
      <c r="Q44" s="1810">
        <f t="shared" si="14"/>
        <v>111</v>
      </c>
      <c r="R44" s="774" t="s">
        <v>17</v>
      </c>
      <c r="S44" s="775">
        <f t="shared" si="10"/>
        <v>100</v>
      </c>
      <c r="T44" s="774" t="s">
        <v>17</v>
      </c>
      <c r="U44" s="775">
        <f t="shared" si="11"/>
        <v>100</v>
      </c>
      <c r="V44" s="774" t="s">
        <v>17</v>
      </c>
      <c r="W44" s="775">
        <f t="shared" si="12"/>
        <v>100</v>
      </c>
      <c r="X44" s="1813"/>
      <c r="Y44" s="3229"/>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9"/>
      <c r="Q45" s="1810">
        <f t="shared" si="14"/>
        <v>111</v>
      </c>
      <c r="R45" s="777" t="s">
        <v>17</v>
      </c>
      <c r="S45" s="778">
        <f t="shared" si="10"/>
        <v>100</v>
      </c>
      <c r="T45" s="777" t="s">
        <v>17</v>
      </c>
      <c r="U45" s="778">
        <f t="shared" si="11"/>
        <v>100</v>
      </c>
      <c r="V45" s="777" t="s">
        <v>17</v>
      </c>
      <c r="W45" s="778">
        <f t="shared" si="12"/>
        <v>100</v>
      </c>
      <c r="X45" s="779"/>
      <c r="Y45" s="3229"/>
      <c r="Z45" s="780">
        <f t="shared" si="13"/>
        <v>111</v>
      </c>
      <c r="AA45" s="1811">
        <f t="shared" si="3"/>
        <v>1</v>
      </c>
      <c r="AB45" s="1811">
        <f t="shared" si="4"/>
        <v>1</v>
      </c>
      <c r="AC45" s="1811">
        <f t="shared" si="5"/>
        <v>1</v>
      </c>
    </row>
    <row r="46" spans="1:29" ht="15">
      <c r="A46" s="479" t="s">
        <v>2715</v>
      </c>
      <c r="B46" s="2706" t="s">
        <v>2751</v>
      </c>
      <c r="C46" s="682" t="s">
        <v>1</v>
      </c>
      <c r="D46" s="481"/>
      <c r="E46" s="482"/>
      <c r="F46" s="483"/>
      <c r="G46" s="484"/>
      <c r="H46" s="485"/>
      <c r="I46" s="482"/>
      <c r="J46" s="485"/>
      <c r="K46" s="783"/>
      <c r="L46" s="1143"/>
      <c r="M46" s="1144"/>
      <c r="N46" s="1131"/>
      <c r="O46" s="1144"/>
      <c r="P46" s="3222" t="str">
        <f>A46</f>
        <v>成交单价</v>
      </c>
      <c r="Q46" s="3222"/>
      <c r="R46" s="3253">
        <f>E46</f>
        <v>0</v>
      </c>
      <c r="S46" s="3253"/>
      <c r="T46" s="3253">
        <f>G46</f>
        <v>0</v>
      </c>
      <c r="U46" s="3253"/>
      <c r="V46" s="3253">
        <f>I46</f>
        <v>0</v>
      </c>
      <c r="W46" s="325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22" t="str">
        <f>A47</f>
        <v>比较价值（元/平方米）</v>
      </c>
      <c r="Q47" s="3222"/>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19" t="str">
        <f>A48</f>
        <v>估价对象XX用房的比较价值（楼面单价，元/平方米）</v>
      </c>
      <c r="Q48" s="3220"/>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7" t="s">
        <v>2755</v>
      </c>
      <c r="D55" s="2708" t="s">
        <v>2756</v>
      </c>
      <c r="E55" s="686" t="s">
        <v>2757</v>
      </c>
      <c r="F55" s="1107" t="s">
        <v>2758</v>
      </c>
      <c r="G55" s="3237" t="s">
        <v>2759</v>
      </c>
      <c r="H55" s="3283"/>
      <c r="I55" s="144" t="s">
        <v>2760</v>
      </c>
      <c r="J55" s="2709">
        <f>项目基本情况!F35</f>
        <v>0</v>
      </c>
      <c r="K55" s="2710" t="s">
        <v>2761</v>
      </c>
      <c r="L55" s="1106"/>
      <c r="M55" s="1144"/>
      <c r="N55" s="1144"/>
      <c r="O55" s="1144"/>
    </row>
    <row r="56" spans="1:15" s="692" customFormat="1">
      <c r="A56" s="688" t="s">
        <v>2762</v>
      </c>
      <c r="B56" s="689" t="e">
        <f>C48</f>
        <v>#DIV/0!</v>
      </c>
      <c r="C56" s="690">
        <v>1</v>
      </c>
      <c r="D56" s="1163">
        <v>1</v>
      </c>
      <c r="E56" s="690">
        <f>'数据-汇总表'!E8+'数据-汇总表'!E9</f>
        <v>24865.040000000005</v>
      </c>
      <c r="F56" s="1103" t="e">
        <f t="shared" ref="F56:F65" si="15">ROUND(B56*E56/10000,0)</f>
        <v>#DIV/0!</v>
      </c>
      <c r="G56" s="3233"/>
      <c r="H56" s="322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0.3</v>
      </c>
      <c r="D61" s="1164">
        <v>0.25</v>
      </c>
      <c r="E61" s="261">
        <f>'数据-汇总表'!E11</f>
        <v>2476.71</v>
      </c>
      <c r="F61" s="1103" t="e">
        <f t="shared" si="15"/>
        <v>#DIV/0!</v>
      </c>
      <c r="G61" s="2711" t="s">
        <v>2769</v>
      </c>
      <c r="H61" s="1104" t="str">
        <f>项目基本情况!C37</f>
        <v>二级</v>
      </c>
      <c r="I61" s="1108">
        <f>SUMIF(修正!A45:A56,H61,修正!F45:F56)</f>
        <v>0.3</v>
      </c>
      <c r="J61" s="1112"/>
      <c r="K61" s="1144"/>
      <c r="L61" s="941"/>
      <c r="M61" s="941"/>
      <c r="N61" s="941"/>
      <c r="O61" s="941"/>
    </row>
    <row r="62" spans="1:15" s="692" customFormat="1">
      <c r="A62" s="693" t="s">
        <v>2770</v>
      </c>
      <c r="B62" s="262" t="e">
        <f t="shared" si="17"/>
        <v>#DIV/0!</v>
      </c>
      <c r="C62" s="200">
        <f t="shared" si="16"/>
        <v>0.3</v>
      </c>
      <c r="D62" s="1164">
        <v>0.25</v>
      </c>
      <c r="E62" s="261">
        <f>'数据-汇总表'!E12</f>
        <v>0</v>
      </c>
      <c r="F62" s="1103" t="e">
        <f t="shared" si="15"/>
        <v>#DIV/0!</v>
      </c>
      <c r="G62" s="1109" t="s">
        <v>2771</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1"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0.25</v>
      </c>
      <c r="D65" s="1164">
        <v>0.25</v>
      </c>
      <c r="E65" s="261">
        <f>'数据-汇总表'!E15</f>
        <v>7023.41</v>
      </c>
      <c r="F65" s="1103" t="e">
        <f t="shared" si="15"/>
        <v>#DIV/0!</v>
      </c>
      <c r="G65" s="2712" t="s">
        <v>2769</v>
      </c>
      <c r="H65" s="1114" t="str">
        <f>项目基本情况!C37</f>
        <v>二级</v>
      </c>
      <c r="I65" s="1110">
        <f>SUMIF(修正!A45:A56,H65,修正!H45:H56)</f>
        <v>0.25</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34365.160000000003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3"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7" t="s">
        <v>2641</v>
      </c>
      <c r="D4" s="3238"/>
      <c r="E4" s="3239" t="s">
        <v>2642</v>
      </c>
      <c r="F4" s="3240"/>
      <c r="G4" s="3237" t="s">
        <v>2643</v>
      </c>
      <c r="H4" s="3238"/>
      <c r="I4" s="3237" t="s">
        <v>2644</v>
      </c>
      <c r="J4" s="3238"/>
      <c r="K4" s="610" t="s">
        <v>2645</v>
      </c>
      <c r="L4" s="1130"/>
      <c r="M4" s="1131"/>
      <c r="N4" s="1131"/>
      <c r="O4" s="1131"/>
      <c r="P4" s="3241" t="s">
        <v>2646</v>
      </c>
      <c r="Q4" s="3242"/>
      <c r="R4" s="3247" t="s">
        <v>2642</v>
      </c>
      <c r="S4" s="3248"/>
      <c r="T4" s="3247" t="s">
        <v>2643</v>
      </c>
      <c r="U4" s="3248"/>
      <c r="V4" s="3253" t="s">
        <v>2644</v>
      </c>
      <c r="W4" s="3253"/>
      <c r="X4" s="1813"/>
      <c r="Y4" s="3247" t="s">
        <v>2646</v>
      </c>
      <c r="Z4" s="3248"/>
      <c r="AA4" s="3234" t="s">
        <v>2642</v>
      </c>
      <c r="AB4" s="3235" t="s">
        <v>2643</v>
      </c>
      <c r="AC4" s="3234" t="s">
        <v>2644</v>
      </c>
    </row>
    <row r="5" spans="1:29" ht="15">
      <c r="A5" s="404"/>
      <c r="B5" s="405"/>
      <c r="C5" s="3256" t="s">
        <v>2537</v>
      </c>
      <c r="D5" s="3257"/>
      <c r="E5" s="3263" t="s">
        <v>2538</v>
      </c>
      <c r="F5" s="3264"/>
      <c r="G5" s="3256" t="s">
        <v>2539</v>
      </c>
      <c r="H5" s="3257"/>
      <c r="I5" s="3256" t="s">
        <v>2540</v>
      </c>
      <c r="J5" s="3257"/>
      <c r="K5" s="610"/>
      <c r="L5" s="1130"/>
      <c r="M5" s="1131"/>
      <c r="N5" s="1131"/>
      <c r="O5" s="1131"/>
      <c r="P5" s="3243"/>
      <c r="Q5" s="3244"/>
      <c r="R5" s="3249"/>
      <c r="S5" s="3250"/>
      <c r="T5" s="3249"/>
      <c r="U5" s="3250"/>
      <c r="V5" s="3253"/>
      <c r="W5" s="3253"/>
      <c r="X5" s="1813"/>
      <c r="Y5" s="3249"/>
      <c r="Z5" s="3250"/>
      <c r="AA5" s="3235"/>
      <c r="AB5" s="3235"/>
      <c r="AC5" s="3235"/>
    </row>
    <row r="6" spans="1:29" ht="15.75" thickBot="1">
      <c r="A6" s="406"/>
      <c r="B6" s="407"/>
      <c r="C6" s="3285" t="s">
        <v>2792</v>
      </c>
      <c r="D6" s="3286"/>
      <c r="E6" s="3287" t="s">
        <v>2792</v>
      </c>
      <c r="F6" s="3288"/>
      <c r="G6" s="3285" t="s">
        <v>2792</v>
      </c>
      <c r="H6" s="3286"/>
      <c r="I6" s="3285" t="s">
        <v>2792</v>
      </c>
      <c r="J6" s="3286"/>
      <c r="K6" s="610" t="s">
        <v>2542</v>
      </c>
      <c r="L6" s="1130"/>
      <c r="M6" s="1131"/>
      <c r="N6" s="1131"/>
      <c r="O6" s="1131"/>
      <c r="P6" s="3245"/>
      <c r="Q6" s="3246"/>
      <c r="R6" s="3249"/>
      <c r="S6" s="3250"/>
      <c r="T6" s="3251"/>
      <c r="U6" s="3252"/>
      <c r="V6" s="3253"/>
      <c r="W6" s="3253"/>
      <c r="X6" s="1813"/>
      <c r="Y6" s="3251"/>
      <c r="Z6" s="3252"/>
      <c r="AA6" s="3236"/>
      <c r="AB6" s="3236"/>
      <c r="AC6" s="3236"/>
    </row>
    <row r="7" spans="1:29" s="117" customFormat="1" ht="15.75" thickBot="1">
      <c r="A7" s="408" t="s">
        <v>2543</v>
      </c>
      <c r="B7" s="409"/>
      <c r="C7" s="410">
        <f>'数据-取费表'!B2</f>
        <v>43598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58" t="s">
        <v>2544</v>
      </c>
      <c r="Q7" s="3260"/>
      <c r="R7" s="770" t="s">
        <v>17</v>
      </c>
      <c r="S7" s="771">
        <f t="shared" ref="S7:S15" si="0">F7</f>
        <v>0</v>
      </c>
      <c r="T7" s="770" t="s">
        <v>17</v>
      </c>
      <c r="U7" s="771">
        <f t="shared" ref="U7:U15" si="1">H7</f>
        <v>0</v>
      </c>
      <c r="V7" s="770" t="s">
        <v>17</v>
      </c>
      <c r="W7" s="771">
        <f t="shared" ref="W7:W15" si="2">J7</f>
        <v>0</v>
      </c>
      <c r="X7" s="772"/>
      <c r="Y7" s="3258" t="s">
        <v>2544</v>
      </c>
      <c r="Z7" s="325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8" t="s">
        <v>2547</v>
      </c>
      <c r="Q8" s="3259"/>
      <c r="R8" s="770" t="s">
        <v>17</v>
      </c>
      <c r="S8" s="771">
        <f t="shared" si="0"/>
        <v>0</v>
      </c>
      <c r="T8" s="770" t="s">
        <v>17</v>
      </c>
      <c r="U8" s="771">
        <f t="shared" si="1"/>
        <v>0</v>
      </c>
      <c r="V8" s="770" t="s">
        <v>17</v>
      </c>
      <c r="W8" s="771">
        <f t="shared" si="2"/>
        <v>0</v>
      </c>
      <c r="X8" s="772"/>
      <c r="Y8" s="3258" t="s">
        <v>2547</v>
      </c>
      <c r="Z8" s="3259"/>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22" t="s">
        <v>2550</v>
      </c>
      <c r="Q9" s="1795" t="str">
        <f t="shared" ref="Q9:Q15" si="6">B9</f>
        <v>用途</v>
      </c>
      <c r="R9" s="770" t="s">
        <v>17</v>
      </c>
      <c r="S9" s="771">
        <f t="shared" si="0"/>
        <v>100</v>
      </c>
      <c r="T9" s="770" t="s">
        <v>17</v>
      </c>
      <c r="U9" s="771">
        <f t="shared" si="1"/>
        <v>100</v>
      </c>
      <c r="V9" s="770" t="s">
        <v>17</v>
      </c>
      <c r="W9" s="771">
        <f t="shared" si="2"/>
        <v>100</v>
      </c>
      <c r="X9" s="772"/>
      <c r="Y9" s="3024"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22"/>
      <c r="Q10" s="1795" t="str">
        <f t="shared" si="6"/>
        <v>土地使用年限（年）</v>
      </c>
      <c r="R10" s="770" t="s">
        <v>17</v>
      </c>
      <c r="S10" s="771">
        <f t="shared" ca="1" si="0"/>
        <v>115</v>
      </c>
      <c r="T10" s="770" t="s">
        <v>17</v>
      </c>
      <c r="U10" s="771">
        <f t="shared" ca="1" si="1"/>
        <v>115</v>
      </c>
      <c r="V10" s="770" t="s">
        <v>17</v>
      </c>
      <c r="W10" s="771">
        <f t="shared" ca="1" si="2"/>
        <v>115</v>
      </c>
      <c r="X10" s="772"/>
      <c r="Y10" s="3024"/>
      <c r="Z10" s="55" t="str">
        <f t="shared" si="7"/>
        <v>土地使用年限（年）</v>
      </c>
      <c r="AA10" s="773">
        <f t="shared" ca="1" si="3"/>
        <v>0.86956521739130432</v>
      </c>
      <c r="AB10" s="773">
        <f t="shared" ca="1" si="4"/>
        <v>0.86956521739130432</v>
      </c>
      <c r="AC10" s="773">
        <f t="shared" ca="1"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4" t="s">
        <v>2555</v>
      </c>
      <c r="Q15" s="1810" t="str">
        <f t="shared" si="6"/>
        <v>产业集聚程度</v>
      </c>
      <c r="R15" s="774" t="s">
        <v>17</v>
      </c>
      <c r="S15" s="775">
        <f t="shared" si="0"/>
        <v>100</v>
      </c>
      <c r="T15" s="774" t="s">
        <v>17</v>
      </c>
      <c r="U15" s="775">
        <f t="shared" si="1"/>
        <v>100</v>
      </c>
      <c r="V15" s="774" t="s">
        <v>17</v>
      </c>
      <c r="W15" s="775">
        <f t="shared" si="2"/>
        <v>100</v>
      </c>
      <c r="X15" s="1813"/>
      <c r="Y15" s="3224" t="s">
        <v>2555</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25"/>
      <c r="Q16" s="1810"/>
      <c r="R16" s="774"/>
      <c r="S16" s="775"/>
      <c r="T16" s="774"/>
      <c r="U16" s="775"/>
      <c r="V16" s="774"/>
      <c r="W16" s="775"/>
      <c r="X16" s="1813"/>
      <c r="Y16" s="3225"/>
      <c r="Z16" s="1814"/>
      <c r="AA16" s="1811">
        <v>1</v>
      </c>
      <c r="AB16" s="1811">
        <v>1</v>
      </c>
      <c r="AC16" s="1811">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25"/>
      <c r="Q18" s="1810"/>
      <c r="R18" s="774"/>
      <c r="S18" s="775"/>
      <c r="T18" s="774"/>
      <c r="U18" s="775"/>
      <c r="V18" s="774"/>
      <c r="W18" s="775"/>
      <c r="X18" s="1813"/>
      <c r="Y18" s="3225"/>
      <c r="Z18" s="1814"/>
      <c r="AA18" s="1811">
        <v>1</v>
      </c>
      <c r="AB18" s="1811">
        <v>1</v>
      </c>
      <c r="AC18" s="1811">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5"/>
      <c r="Q19" s="1810" t="str">
        <f t="shared" ref="Q19:Q33" si="8">B19</f>
        <v>区域土地利用方向</v>
      </c>
      <c r="R19" s="774" t="s">
        <v>17</v>
      </c>
      <c r="S19" s="775">
        <f>F19</f>
        <v>100</v>
      </c>
      <c r="T19" s="774" t="s">
        <v>17</v>
      </c>
      <c r="U19" s="775">
        <f>H19</f>
        <v>100</v>
      </c>
      <c r="V19" s="774" t="s">
        <v>17</v>
      </c>
      <c r="W19" s="775">
        <f>J19</f>
        <v>100</v>
      </c>
      <c r="X19" s="1813"/>
      <c r="Y19" s="3225"/>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25"/>
      <c r="Q20" s="1810"/>
      <c r="R20" s="774"/>
      <c r="S20" s="775"/>
      <c r="T20" s="774"/>
      <c r="U20" s="775"/>
      <c r="V20" s="774"/>
      <c r="W20" s="775"/>
      <c r="X20" s="1813"/>
      <c r="Y20" s="3225"/>
      <c r="Z20" s="1814"/>
      <c r="AA20" s="1811"/>
      <c r="AB20" s="1811"/>
      <c r="AC20" s="1811"/>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5"/>
      <c r="Q21" s="1810" t="str">
        <f t="shared" si="8"/>
        <v>环境状况</v>
      </c>
      <c r="R21" s="774" t="s">
        <v>17</v>
      </c>
      <c r="S21" s="775">
        <f>F21</f>
        <v>100</v>
      </c>
      <c r="T21" s="774" t="s">
        <v>17</v>
      </c>
      <c r="U21" s="775">
        <f>H21</f>
        <v>100</v>
      </c>
      <c r="V21" s="774" t="s">
        <v>17</v>
      </c>
      <c r="W21" s="775">
        <f>J21</f>
        <v>100</v>
      </c>
      <c r="X21" s="1813"/>
      <c r="Y21" s="3225"/>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25"/>
      <c r="Q22" s="1810"/>
      <c r="R22" s="774"/>
      <c r="S22" s="775"/>
      <c r="T22" s="774"/>
      <c r="U22" s="775"/>
      <c r="V22" s="774"/>
      <c r="W22" s="775"/>
      <c r="X22" s="1813"/>
      <c r="Y22" s="3225"/>
      <c r="Z22" s="1814"/>
      <c r="AA22" s="1811">
        <v>1</v>
      </c>
      <c r="AB22" s="1811">
        <v>1</v>
      </c>
      <c r="AC22" s="1811">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5"/>
      <c r="Q23" s="1795" t="str">
        <f t="shared" si="8"/>
        <v>公共配套设施</v>
      </c>
      <c r="R23" s="770" t="s">
        <v>17</v>
      </c>
      <c r="S23" s="771">
        <f>F23</f>
        <v>100</v>
      </c>
      <c r="T23" s="770" t="s">
        <v>17</v>
      </c>
      <c r="U23" s="771">
        <f>H23</f>
        <v>100</v>
      </c>
      <c r="V23" s="770" t="s">
        <v>17</v>
      </c>
      <c r="W23" s="771">
        <f>J23</f>
        <v>100</v>
      </c>
      <c r="X23" s="772"/>
      <c r="Y23" s="3225"/>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25"/>
      <c r="Q24" s="1795"/>
      <c r="R24" s="770"/>
      <c r="S24" s="771"/>
      <c r="T24" s="770"/>
      <c r="U24" s="771"/>
      <c r="V24" s="770"/>
      <c r="W24" s="771"/>
      <c r="X24" s="772"/>
      <c r="Y24" s="3225"/>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5"/>
      <c r="Q25" s="1795"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25"/>
      <c r="Q26" s="1795"/>
      <c r="R26" s="770"/>
      <c r="S26" s="771"/>
      <c r="T26" s="770"/>
      <c r="U26" s="771"/>
      <c r="V26" s="770"/>
      <c r="W26" s="771"/>
      <c r="X26" s="772"/>
      <c r="Y26" s="322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5"/>
      <c r="Z27" s="1814" t="str">
        <f t="shared" ref="Z27:Z40" si="13">Q27</f>
        <v>临街状况</v>
      </c>
      <c r="AA27" s="1811">
        <f t="shared" si="3"/>
        <v>1</v>
      </c>
      <c r="AB27" s="1811">
        <f t="shared" si="4"/>
        <v>1</v>
      </c>
      <c r="AC27" s="1811">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5"/>
      <c r="Q28" s="1810" t="str">
        <f t="shared" si="8"/>
        <v>毗邻道路的类型与等级</v>
      </c>
      <c r="R28" s="774" t="s">
        <v>17</v>
      </c>
      <c r="S28" s="775">
        <f t="shared" si="10"/>
        <v>100</v>
      </c>
      <c r="T28" s="774" t="s">
        <v>17</v>
      </c>
      <c r="U28" s="775">
        <f t="shared" si="11"/>
        <v>100</v>
      </c>
      <c r="V28" s="774" t="s">
        <v>17</v>
      </c>
      <c r="W28" s="775">
        <f t="shared" si="12"/>
        <v>100</v>
      </c>
      <c r="X28" s="1813"/>
      <c r="Y28" s="3225"/>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25"/>
      <c r="Q29" s="1810"/>
      <c r="R29" s="774"/>
      <c r="S29" s="775"/>
      <c r="T29" s="774"/>
      <c r="U29" s="775"/>
      <c r="V29" s="774"/>
      <c r="W29" s="775"/>
      <c r="X29" s="1813"/>
      <c r="Y29" s="3225"/>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5"/>
      <c r="Q30" s="1810" t="str">
        <f t="shared" si="8"/>
        <v>土地级别</v>
      </c>
      <c r="R30" s="774" t="s">
        <v>17</v>
      </c>
      <c r="S30" s="775">
        <f t="shared" si="10"/>
        <v>100</v>
      </c>
      <c r="T30" s="774" t="s">
        <v>17</v>
      </c>
      <c r="U30" s="775">
        <f t="shared" si="11"/>
        <v>100</v>
      </c>
      <c r="V30" s="774" t="s">
        <v>17</v>
      </c>
      <c r="W30" s="775">
        <f t="shared" si="12"/>
        <v>100</v>
      </c>
      <c r="X30" s="1813"/>
      <c r="Y30" s="3225"/>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5"/>
      <c r="Q31" s="1810">
        <f t="shared" si="8"/>
        <v>111</v>
      </c>
      <c r="R31" s="774" t="s">
        <v>17</v>
      </c>
      <c r="S31" s="775">
        <f t="shared" si="10"/>
        <v>100</v>
      </c>
      <c r="T31" s="774" t="s">
        <v>17</v>
      </c>
      <c r="U31" s="775">
        <f t="shared" si="11"/>
        <v>100</v>
      </c>
      <c r="V31" s="774" t="s">
        <v>17</v>
      </c>
      <c r="W31" s="775">
        <f t="shared" si="12"/>
        <v>100</v>
      </c>
      <c r="X31" s="1813"/>
      <c r="Y31" s="3225"/>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2560</v>
      </c>
      <c r="Q32" s="1810">
        <f t="shared" si="8"/>
        <v>111</v>
      </c>
      <c r="R32" s="774" t="s">
        <v>17</v>
      </c>
      <c r="S32" s="775">
        <f t="shared" si="10"/>
        <v>100</v>
      </c>
      <c r="T32" s="774" t="s">
        <v>17</v>
      </c>
      <c r="U32" s="775">
        <f t="shared" si="11"/>
        <v>100</v>
      </c>
      <c r="V32" s="774" t="s">
        <v>17</v>
      </c>
      <c r="W32" s="775">
        <f t="shared" si="12"/>
        <v>100</v>
      </c>
      <c r="X32" s="1813"/>
      <c r="Y32" s="3229" t="s">
        <v>2560</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9"/>
      <c r="Q33" s="1810">
        <f t="shared" si="8"/>
        <v>111</v>
      </c>
      <c r="R33" s="777" t="s">
        <v>17</v>
      </c>
      <c r="S33" s="778">
        <f t="shared" si="10"/>
        <v>100</v>
      </c>
      <c r="T33" s="777" t="s">
        <v>17</v>
      </c>
      <c r="U33" s="778">
        <f t="shared" si="11"/>
        <v>100</v>
      </c>
      <c r="V33" s="777" t="s">
        <v>17</v>
      </c>
      <c r="W33" s="778">
        <f t="shared" si="12"/>
        <v>100</v>
      </c>
      <c r="X33" s="779"/>
      <c r="Y33" s="3229"/>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9"/>
      <c r="Q34" s="1810" t="str">
        <f>B34</f>
        <v>宗地面积</v>
      </c>
      <c r="R34" s="774" t="s">
        <v>17</v>
      </c>
      <c r="S34" s="775" t="e">
        <f t="shared" si="10"/>
        <v>#N/A</v>
      </c>
      <c r="T34" s="774" t="s">
        <v>17</v>
      </c>
      <c r="U34" s="775" t="e">
        <f t="shared" si="11"/>
        <v>#N/A</v>
      </c>
      <c r="V34" s="774" t="s">
        <v>17</v>
      </c>
      <c r="W34" s="775" t="e">
        <f t="shared" si="12"/>
        <v>#N/A</v>
      </c>
      <c r="X34" s="1813"/>
      <c r="Y34" s="3229"/>
      <c r="Z34" s="1814" t="str">
        <f t="shared" si="13"/>
        <v>宗地面积</v>
      </c>
      <c r="AA34" s="1811" t="e">
        <f t="shared" si="3"/>
        <v>#N/A</v>
      </c>
      <c r="AB34" s="1811" t="e">
        <f t="shared" si="4"/>
        <v>#N/A</v>
      </c>
      <c r="AC34" s="1811"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9"/>
      <c r="Q35" s="1810" t="str">
        <f t="shared" ref="Q35:Q40" si="14">B35</f>
        <v>宗地形状</v>
      </c>
      <c r="R35" s="774" t="s">
        <v>17</v>
      </c>
      <c r="S35" s="775">
        <f t="shared" si="10"/>
        <v>100</v>
      </c>
      <c r="T35" s="774" t="s">
        <v>17</v>
      </c>
      <c r="U35" s="775">
        <f t="shared" si="11"/>
        <v>100</v>
      </c>
      <c r="V35" s="774" t="s">
        <v>17</v>
      </c>
      <c r="W35" s="775">
        <f t="shared" si="12"/>
        <v>100</v>
      </c>
      <c r="X35" s="1813"/>
      <c r="Y35" s="3229"/>
      <c r="Z35" s="1814" t="str">
        <f t="shared" si="13"/>
        <v>宗地形状</v>
      </c>
      <c r="AA35" s="1811">
        <f t="shared" si="3"/>
        <v>1</v>
      </c>
      <c r="AB35" s="1811">
        <f t="shared" si="4"/>
        <v>1</v>
      </c>
      <c r="AC35" s="1811">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29"/>
      <c r="Q36" s="1810"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9" t="s">
        <v>2560</v>
      </c>
      <c r="Q37" s="1810" t="str">
        <f t="shared" si="14"/>
        <v>工程地质条件</v>
      </c>
      <c r="R37" s="774" t="s">
        <v>17</v>
      </c>
      <c r="S37" s="775">
        <f t="shared" si="10"/>
        <v>100</v>
      </c>
      <c r="T37" s="774" t="s">
        <v>17</v>
      </c>
      <c r="U37" s="775">
        <f t="shared" si="11"/>
        <v>100</v>
      </c>
      <c r="V37" s="774" t="s">
        <v>17</v>
      </c>
      <c r="W37" s="775">
        <f t="shared" si="12"/>
        <v>100</v>
      </c>
      <c r="X37" s="1813"/>
      <c r="Y37" s="3229"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9"/>
      <c r="Q38" s="1810">
        <f t="shared" si="14"/>
        <v>111</v>
      </c>
      <c r="R38" s="774" t="s">
        <v>17</v>
      </c>
      <c r="S38" s="775">
        <f t="shared" si="10"/>
        <v>100</v>
      </c>
      <c r="T38" s="774" t="s">
        <v>17</v>
      </c>
      <c r="U38" s="775">
        <f t="shared" si="11"/>
        <v>100</v>
      </c>
      <c r="V38" s="774" t="s">
        <v>17</v>
      </c>
      <c r="W38" s="775">
        <f t="shared" si="12"/>
        <v>100</v>
      </c>
      <c r="X38" s="1813"/>
      <c r="Y38" s="322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9"/>
      <c r="Q39" s="1810">
        <f t="shared" si="14"/>
        <v>111</v>
      </c>
      <c r="R39" s="774" t="s">
        <v>17</v>
      </c>
      <c r="S39" s="775">
        <f t="shared" si="10"/>
        <v>100</v>
      </c>
      <c r="T39" s="774" t="s">
        <v>17</v>
      </c>
      <c r="U39" s="775">
        <f t="shared" si="11"/>
        <v>100</v>
      </c>
      <c r="V39" s="774" t="s">
        <v>17</v>
      </c>
      <c r="W39" s="775">
        <f t="shared" si="12"/>
        <v>100</v>
      </c>
      <c r="X39" s="1813"/>
      <c r="Y39" s="3229"/>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9"/>
      <c r="Q40" s="1810">
        <f t="shared" si="14"/>
        <v>111</v>
      </c>
      <c r="R40" s="777" t="s">
        <v>17</v>
      </c>
      <c r="S40" s="778">
        <f t="shared" si="10"/>
        <v>100</v>
      </c>
      <c r="T40" s="777" t="s">
        <v>17</v>
      </c>
      <c r="U40" s="778">
        <f t="shared" si="11"/>
        <v>100</v>
      </c>
      <c r="V40" s="777" t="s">
        <v>17</v>
      </c>
      <c r="W40" s="778">
        <f t="shared" si="12"/>
        <v>100</v>
      </c>
      <c r="X40" s="779"/>
      <c r="Y40" s="3229"/>
      <c r="Z40" s="780">
        <f t="shared" si="13"/>
        <v>111</v>
      </c>
      <c r="AA40" s="1811">
        <f t="shared" si="3"/>
        <v>1</v>
      </c>
      <c r="AB40" s="1811">
        <f t="shared" si="4"/>
        <v>1</v>
      </c>
      <c r="AC40" s="1811">
        <f t="shared" si="5"/>
        <v>1</v>
      </c>
    </row>
    <row r="41" spans="1:29" ht="15">
      <c r="A41" s="479" t="s">
        <v>2715</v>
      </c>
      <c r="B41" s="2706" t="s">
        <v>2795</v>
      </c>
      <c r="C41" s="682" t="s">
        <v>1</v>
      </c>
      <c r="D41" s="481"/>
      <c r="E41" s="482"/>
      <c r="F41" s="483"/>
      <c r="G41" s="484"/>
      <c r="H41" s="485"/>
      <c r="I41" s="482"/>
      <c r="J41" s="485"/>
      <c r="K41" s="783"/>
      <c r="L41" s="1143"/>
      <c r="M41" s="1131"/>
      <c r="N41" s="1131"/>
      <c r="O41" s="1144"/>
      <c r="P41" s="3222" t="str">
        <f>A41</f>
        <v>成交单价</v>
      </c>
      <c r="Q41" s="3222"/>
      <c r="R41" s="3253">
        <f>E41</f>
        <v>0</v>
      </c>
      <c r="S41" s="3253"/>
      <c r="T41" s="3253">
        <f>G41</f>
        <v>0</v>
      </c>
      <c r="U41" s="3253"/>
      <c r="V41" s="3253">
        <f>I41</f>
        <v>0</v>
      </c>
      <c r="W41" s="325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22" t="str">
        <f>A42</f>
        <v>比较价值（元/平方米）</v>
      </c>
      <c r="Q42" s="3222"/>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7" t="s">
        <v>2755</v>
      </c>
      <c r="D50" s="2708" t="s">
        <v>2756</v>
      </c>
      <c r="E50" s="686" t="s">
        <v>2757</v>
      </c>
      <c r="F50" s="687" t="s">
        <v>2758</v>
      </c>
      <c r="G50" s="3237" t="s">
        <v>2759</v>
      </c>
      <c r="H50" s="3283"/>
      <c r="I50" s="1814" t="s">
        <v>2796</v>
      </c>
      <c r="J50" s="1814">
        <f>项目基本情况!F35</f>
        <v>0</v>
      </c>
      <c r="K50" s="2710" t="s">
        <v>2761</v>
      </c>
      <c r="L50" s="1106"/>
      <c r="M50" s="1144"/>
      <c r="N50" s="1144"/>
      <c r="O50" s="1144"/>
    </row>
    <row r="51" spans="1:17" s="692" customFormat="1">
      <c r="A51" s="688" t="s">
        <v>2762</v>
      </c>
      <c r="B51" s="689" t="e">
        <f>C43</f>
        <v>#DIV/0!</v>
      </c>
      <c r="C51" s="690">
        <v>1</v>
      </c>
      <c r="D51" s="1163">
        <v>1</v>
      </c>
      <c r="E51" s="690">
        <f>'数据-汇总表'!E8+'数据-汇总表'!E9</f>
        <v>24865.040000000005</v>
      </c>
      <c r="F51" s="691" t="e">
        <f t="shared" ref="F51:F60" si="15">ROUND(B51*E51/10000,0)</f>
        <v>#DIV/0!</v>
      </c>
      <c r="G51" s="3233"/>
      <c r="H51" s="322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0.3</v>
      </c>
      <c r="D56" s="1164">
        <v>0.25</v>
      </c>
      <c r="E56" s="261">
        <f>'数据-汇总表'!E11</f>
        <v>2476.71</v>
      </c>
      <c r="F56" s="691" t="e">
        <f t="shared" si="15"/>
        <v>#DIV/0!</v>
      </c>
      <c r="G56" s="2711" t="s">
        <v>2769</v>
      </c>
      <c r="H56" s="1104" t="str">
        <f>项目基本情况!C37</f>
        <v>二级</v>
      </c>
      <c r="I56" s="942">
        <f>SUMIF(修正!A45:A56,H56,修正!F45:F56)</f>
        <v>0.3</v>
      </c>
      <c r="J56" s="943"/>
      <c r="K56" s="1144"/>
      <c r="L56" s="941"/>
      <c r="M56" s="941"/>
      <c r="N56" s="941"/>
      <c r="O56" s="941"/>
    </row>
    <row r="57" spans="1:17" s="692" customFormat="1">
      <c r="A57" s="693" t="s">
        <v>2770</v>
      </c>
      <c r="B57" s="262" t="e">
        <f t="shared" si="17"/>
        <v>#DIV/0!</v>
      </c>
      <c r="C57" s="200">
        <f t="shared" si="16"/>
        <v>0.3</v>
      </c>
      <c r="D57" s="1164">
        <v>0.25</v>
      </c>
      <c r="E57" s="261">
        <f>'数据-汇总表'!E12</f>
        <v>0</v>
      </c>
      <c r="F57" s="691" t="e">
        <f t="shared" si="15"/>
        <v>#DIV/0!</v>
      </c>
      <c r="G57" s="1109" t="s">
        <v>2771</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1"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0.25</v>
      </c>
      <c r="D60" s="1164">
        <v>0.25</v>
      </c>
      <c r="E60" s="261">
        <f>'数据-汇总表'!E15</f>
        <v>7023.41</v>
      </c>
      <c r="F60" s="691" t="e">
        <f t="shared" si="15"/>
        <v>#DIV/0!</v>
      </c>
      <c r="G60" s="2712" t="s">
        <v>2769</v>
      </c>
      <c r="H60" s="1114" t="str">
        <f>项目基本情况!C37</f>
        <v>二级</v>
      </c>
      <c r="I60" s="942">
        <f>SUMIF(修正!A45:A56,H60,修正!H45:H56)</f>
        <v>0.25</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2729.06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3"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0.83379999999999999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2996</v>
      </c>
    </row>
    <row r="2" spans="1:5" ht="15.75">
      <c r="A2" s="2904" t="s">
        <v>2988</v>
      </c>
      <c r="B2" s="2905">
        <f ca="1">SUMIF(B6:B13,"&lt;&gt;#ref!",B6:B13)</f>
        <v>66177</v>
      </c>
      <c r="C2" s="2904" t="s">
        <v>2989</v>
      </c>
      <c r="D2" s="2904" t="s">
        <v>2990</v>
      </c>
      <c r="E2" s="2905">
        <f ca="1">SUMIF(E6:E13,"&lt;&gt;#ref!",E6:E13)</f>
        <v>34365.160000000003</v>
      </c>
    </row>
    <row r="3" spans="1:5" ht="15.75">
      <c r="A3" s="2904" t="s">
        <v>2991</v>
      </c>
      <c r="B3" s="2905">
        <f ca="1">ROUND(B2*10000/E2,0)</f>
        <v>19257</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f ca="1">SUMIF(INDIRECT("'"&amp;A6&amp;"'"&amp;"!A:A"),"总价",INDIRECT("'"&amp;A6&amp;"'"&amp;"!B:B"))</f>
        <v>66177</v>
      </c>
      <c r="C6" s="2904" t="s">
        <v>2989</v>
      </c>
      <c r="D6" s="2906"/>
      <c r="E6" s="2577">
        <f ca="1">SUMIF(INDIRECT("'"&amp;A6&amp;"'"&amp;"!C:C"),"建筑面积",INDIRECT("'"&amp;A6&amp;"'"&amp;"!D:D"))</f>
        <v>34365.160000000003</v>
      </c>
    </row>
    <row r="7" spans="1:5" ht="15.75">
      <c r="A7" s="2909"/>
      <c r="B7" s="2905" t="e">
        <f ca="1">SUMIF(INDIRECT("'"&amp;A7&amp;"'"&amp;"!A:A"),"总价",INDIRECT("'"&amp;A7&amp;"'"&amp;"!B:B"))</f>
        <v>#REF!</v>
      </c>
      <c r="C7" s="2904" t="s">
        <v>2989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7" t="e">
        <f t="shared" ca="1" si="0"/>
        <v>#REF!</v>
      </c>
    </row>
    <row r="9" spans="1:5" ht="15.75">
      <c r="A9" s="2909"/>
      <c r="B9" s="2905" t="e">
        <f t="shared" ca="1" si="1"/>
        <v>#REF!</v>
      </c>
      <c r="C9" s="2904" t="s">
        <v>2989</v>
      </c>
      <c r="D9" s="2906"/>
      <c r="E9" s="2577" t="e">
        <f t="shared" ca="1" si="0"/>
        <v>#REF!</v>
      </c>
    </row>
    <row r="10" spans="1:5" ht="15.75">
      <c r="A10" s="2909"/>
      <c r="B10" s="2905" t="e">
        <f t="shared" ca="1" si="1"/>
        <v>#REF!</v>
      </c>
      <c r="C10" s="2904" t="s">
        <v>2989</v>
      </c>
      <c r="D10" s="2906"/>
      <c r="E10" s="2577" t="e">
        <f t="shared" ca="1" si="0"/>
        <v>#REF!</v>
      </c>
    </row>
    <row r="11" spans="1:5" ht="15.75">
      <c r="A11" s="2909"/>
      <c r="B11" s="2905" t="e">
        <f t="shared" ca="1" si="1"/>
        <v>#REF!</v>
      </c>
      <c r="C11" s="2904" t="s">
        <v>2989</v>
      </c>
      <c r="D11" s="2906"/>
      <c r="E11" s="2577" t="e">
        <f t="shared" ca="1" si="0"/>
        <v>#REF!</v>
      </c>
    </row>
    <row r="12" spans="1:5" ht="15.75">
      <c r="A12" s="2909"/>
      <c r="B12" s="2905" t="e">
        <f t="shared" ca="1" si="1"/>
        <v>#REF!</v>
      </c>
      <c r="C12" s="2904" t="s">
        <v>2989</v>
      </c>
      <c r="D12" s="2906"/>
      <c r="E12" s="2577" t="e">
        <f t="shared" ca="1" si="0"/>
        <v>#REF!</v>
      </c>
    </row>
    <row r="13" spans="1:5" ht="15.75">
      <c r="A13" s="2909"/>
      <c r="B13" s="2905" t="e">
        <f t="shared" ca="1" si="1"/>
        <v>#REF!</v>
      </c>
      <c r="C13" s="2904" t="s">
        <v>2989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4" t="s">
        <v>1147</v>
      </c>
      <c r="H1" s="3294"/>
      <c r="I1" s="3294"/>
      <c r="J1" s="3294"/>
      <c r="K1" s="3294"/>
      <c r="L1" s="3294"/>
      <c r="N1" s="3294" t="s">
        <v>1148</v>
      </c>
      <c r="O1" s="3294"/>
      <c r="P1" s="3294"/>
      <c r="Q1" s="3294"/>
      <c r="R1" s="1446"/>
      <c r="S1" s="3294" t="s">
        <v>1149</v>
      </c>
      <c r="T1" s="3294"/>
      <c r="U1" s="3294"/>
      <c r="V1" s="3294"/>
      <c r="X1" s="3293" t="s">
        <v>1150</v>
      </c>
      <c r="Y1" s="3294"/>
      <c r="Z1" s="3294"/>
      <c r="AA1" s="3294"/>
      <c r="AB1" s="3294"/>
      <c r="AD1" s="3293" t="s">
        <v>1151</v>
      </c>
      <c r="AE1" s="3294"/>
      <c r="AF1" s="3294"/>
      <c r="AG1" s="3294"/>
      <c r="AH1" s="329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3031</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1">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29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1"/>
      <c r="B4" s="2984" t="s">
        <v>1626</v>
      </c>
      <c r="C4" s="2984"/>
      <c r="D4" s="2984"/>
      <c r="E4" s="1961"/>
    </row>
    <row r="5" spans="1:5" ht="16.5" thickTop="1">
      <c r="A5" s="1959"/>
      <c r="B5" s="2982" t="s">
        <v>1618</v>
      </c>
      <c r="C5" s="1962" t="s">
        <v>1619</v>
      </c>
      <c r="D5" s="1040">
        <f ca="1">结果表!H101</f>
        <v>127774</v>
      </c>
      <c r="E5" s="1959"/>
    </row>
    <row r="6" spans="1:5" ht="15.75">
      <c r="A6" s="1959"/>
      <c r="B6" s="2982"/>
      <c r="C6" s="1962" t="s">
        <v>1620</v>
      </c>
      <c r="D6" s="1040" t="str">
        <f ca="1">NUMBERSTRING(INT(D5*10000),2)&amp;"元整"</f>
        <v>壹拾贰亿柒仟柒佰柒拾肆万元整</v>
      </c>
      <c r="E6" s="1959"/>
    </row>
    <row r="7" spans="1:5" ht="15.75">
      <c r="A7" s="1959"/>
      <c r="B7" s="2987"/>
      <c r="C7" s="1963" t="s">
        <v>1621</v>
      </c>
      <c r="D7" s="1041">
        <f ca="1">结果表!H102</f>
        <v>35770</v>
      </c>
      <c r="E7" s="1959"/>
    </row>
    <row r="8" spans="1:5" ht="15.75">
      <c r="A8" s="1959"/>
      <c r="B8" s="2988" t="str">
        <f>结果表!E103</f>
        <v>2.估价师知悉的法定优先受偿款</v>
      </c>
      <c r="C8" s="1964" t="s">
        <v>1622</v>
      </c>
      <c r="D8" s="1041">
        <f>结果表!H103</f>
        <v>0</v>
      </c>
      <c r="E8" s="1959"/>
    </row>
    <row r="9" spans="1:5" ht="15.75">
      <c r="A9" s="1959"/>
      <c r="B9" s="2990"/>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1" t="str">
        <f>结果表!E107</f>
        <v>3.房地产抵押价值</v>
      </c>
      <c r="C13" s="1967" t="s">
        <v>1619</v>
      </c>
      <c r="D13" s="1043">
        <f ca="1">结果表!H107</f>
        <v>127774</v>
      </c>
      <c r="E13" s="1959"/>
    </row>
    <row r="14" spans="1:5" ht="15.75">
      <c r="A14" s="1959"/>
      <c r="B14" s="2982"/>
      <c r="C14" s="1962" t="s">
        <v>1620</v>
      </c>
      <c r="D14" s="1040" t="str">
        <f ca="1">NUMBERSTRING(INT(D13*10000),2)&amp;"元整"</f>
        <v>壹拾贰亿柒仟柒佰柒拾肆万元整</v>
      </c>
      <c r="E14" s="1959"/>
    </row>
    <row r="15" spans="1:5" ht="15">
      <c r="A15" s="1959"/>
      <c r="B15" s="2987"/>
      <c r="C15" s="1963" t="s">
        <v>1630</v>
      </c>
      <c r="D15" s="1052">
        <f ca="1">结果表!H108</f>
        <v>35770</v>
      </c>
      <c r="E15" s="1959"/>
    </row>
    <row r="16" spans="1:5" ht="15">
      <c r="A16" s="1959"/>
      <c r="B16" s="2988" t="str">
        <f>结果表!E109</f>
        <v>——</v>
      </c>
      <c r="C16" s="1967" t="s">
        <v>1631</v>
      </c>
      <c r="D16" s="1968" t="str">
        <f>结果表!H109</f>
        <v>——</v>
      </c>
      <c r="E16" s="1959"/>
    </row>
    <row r="17" spans="1:5" ht="15.75">
      <c r="A17" s="1959"/>
      <c r="B17" s="2989"/>
      <c r="C17" s="1962" t="s">
        <v>1632</v>
      </c>
      <c r="D17" s="1040" t="e">
        <f>NUMBERSTRING(INT(D16*10000),2)&amp;"元整"</f>
        <v>#VALUE!</v>
      </c>
      <c r="E17" s="1959"/>
    </row>
    <row r="18" spans="1:5" ht="15">
      <c r="A18" s="1959"/>
      <c r="B18" s="2990"/>
      <c r="C18" s="1963" t="s">
        <v>1621</v>
      </c>
      <c r="D18" s="1052" t="str">
        <f>结果表!H110</f>
        <v>——</v>
      </c>
      <c r="E18" s="1959"/>
    </row>
    <row r="19" spans="1:5" ht="15.75">
      <c r="A19" s="1959"/>
      <c r="B19" s="2981" t="str">
        <f>结果表!E111</f>
        <v>——</v>
      </c>
      <c r="C19" s="1967" t="s">
        <v>1619</v>
      </c>
      <c r="D19" s="1041" t="str">
        <f>结果表!H111</f>
        <v>——</v>
      </c>
      <c r="E19" s="1959"/>
    </row>
    <row r="20" spans="1:5" ht="15.75">
      <c r="A20" s="1959"/>
      <c r="B20" s="2982"/>
      <c r="C20" s="1962" t="s">
        <v>1632</v>
      </c>
      <c r="D20" s="1040" t="e">
        <f>NUMBERSTRING(INT(D19*10000),2)&amp;"元整"</f>
        <v>#VALUE!</v>
      </c>
      <c r="E20" s="1959"/>
    </row>
    <row r="21" spans="1:5" ht="15.75" thickBot="1">
      <c r="A21" s="1959"/>
      <c r="B21" s="2983"/>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02" t="s">
        <v>2999</v>
      </c>
      <c r="D1" s="3303"/>
      <c r="E1" s="3303"/>
      <c r="F1" s="3303"/>
      <c r="G1" s="3303"/>
      <c r="H1" s="3303"/>
      <c r="I1" s="3303"/>
      <c r="J1" s="3303"/>
      <c r="K1" s="3303"/>
      <c r="L1" s="3303"/>
      <c r="M1" s="3303"/>
      <c r="N1" s="3303"/>
      <c r="O1" s="3303"/>
      <c r="P1" s="3303"/>
      <c r="Q1" s="3303"/>
      <c r="R1" s="3303"/>
      <c r="S1" s="3304"/>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3008</v>
      </c>
      <c r="B17" s="291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3" t="s">
        <v>3012</v>
      </c>
      <c r="E20" s="1793"/>
      <c r="F20" s="1204" t="e">
        <f ca="1">SUMIF(INDIRECT("'"&amp;H20&amp;"'"&amp;"!A:A"),"承租人权益价值",INDIRECT("'"&amp;H20&amp;"'"&amp;"!c:c"))</f>
        <v>#REF!</v>
      </c>
      <c r="G20" s="1204" t="s">
        <v>3013</v>
      </c>
      <c r="H20" s="2914"/>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1" t="s">
        <v>33</v>
      </c>
      <c r="D22" s="3162"/>
      <c r="E22" s="3162"/>
      <c r="F22" s="3162"/>
      <c r="G22" s="3162"/>
      <c r="H22" s="3162"/>
      <c r="I22" s="3162"/>
      <c r="J22" s="3162"/>
      <c r="K22" s="3162"/>
      <c r="L22" s="3162"/>
      <c r="M22" s="3162"/>
      <c r="N22" s="3162"/>
      <c r="O22" s="3162"/>
      <c r="P22" s="3162"/>
      <c r="Q22" s="330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46551</v>
      </c>
      <c r="C2" s="2" t="s">
        <v>133</v>
      </c>
      <c r="D2" s="243"/>
      <c r="E2" s="243"/>
      <c r="F2" s="243"/>
      <c r="G2" s="243"/>
    </row>
    <row r="3" spans="1:7" s="244" customFormat="1" ht="18" customHeight="1" thickBot="1">
      <c r="A3" s="247" t="s">
        <v>85</v>
      </c>
      <c r="B3" s="248">
        <f ca="1">ROUND(B2*10000/'数据-汇总表'!E3,0)</f>
        <v>13032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714</v>
      </c>
      <c r="D10" s="1032">
        <f>'数据-汇总表'!E6</f>
        <v>35720.530000000006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714</v>
      </c>
      <c r="D19" s="1036">
        <f>'数据-汇总表'!E3</f>
        <v>35720.530000000006</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3915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3915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14771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13451</v>
      </c>
      <c r="D34" s="261"/>
      <c r="E34" s="264"/>
      <c r="F34" s="301">
        <f>IF('数据-取费表'!B24=0,1,'数据-取费表'!N16)</f>
        <v>1</v>
      </c>
      <c r="G34" s="263" t="s">
        <v>116</v>
      </c>
    </row>
    <row r="35" spans="1:7" ht="13.5" customHeight="1">
      <c r="A35" s="951" t="s">
        <v>796</v>
      </c>
      <c r="B35" s="259" t="s">
        <v>60</v>
      </c>
      <c r="C35" s="264">
        <f>ROUND(C34*F35,0)</f>
        <v>404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714</v>
      </c>
      <c r="D37" s="261">
        <f>'数据-汇总表'!E3</f>
        <v>35720.530000000006</v>
      </c>
      <c r="E37" s="293">
        <f>'数据-取费表'!B35</f>
        <v>200</v>
      </c>
      <c r="F37" s="303"/>
      <c r="G37" s="305" t="s">
        <v>119</v>
      </c>
    </row>
    <row r="38" spans="1:7" ht="13.5" customHeight="1">
      <c r="A38" s="951" t="s">
        <v>799</v>
      </c>
      <c r="B38" s="259" t="s">
        <v>63</v>
      </c>
      <c r="C38" s="264">
        <f>ROUND(C34*F38,0)</f>
        <v>202</v>
      </c>
      <c r="D38" s="264"/>
      <c r="E38" s="264"/>
      <c r="F38" s="303">
        <f>'数据-取费表'!B36</f>
        <v>1.4999999999999999E-2</v>
      </c>
      <c r="G38" s="263" t="s">
        <v>117</v>
      </c>
    </row>
    <row r="39" spans="1:7" s="258" customFormat="1" ht="13.5" customHeight="1">
      <c r="A39" s="948" t="s">
        <v>783</v>
      </c>
      <c r="B39" s="254" t="s">
        <v>104</v>
      </c>
      <c r="C39" s="276">
        <f>ROUND(C33*F20,0)</f>
        <v>295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702</v>
      </c>
      <c r="D42" s="282"/>
      <c r="E42" s="282"/>
      <c r="F42" s="283"/>
      <c r="G42" s="3166" t="s">
        <v>121</v>
      </c>
    </row>
    <row r="43" spans="1:7" ht="13.5" customHeight="1">
      <c r="A43" s="951" t="s">
        <v>792</v>
      </c>
      <c r="B43" s="259" t="s">
        <v>1061</v>
      </c>
      <c r="C43" s="282">
        <f ca="1">ROUND(IF('数据-取费表'!B22&lt;=1,C39*F22*'数据-取费表'!B21/2,C39*(POWER((1+F22),'数据-取费表'!B21/2)-1)),0)</f>
        <v>14</v>
      </c>
      <c r="D43" s="282"/>
      <c r="E43" s="282"/>
      <c r="F43" s="283"/>
      <c r="G43" s="3167"/>
    </row>
    <row r="44" spans="1:7" ht="13.5" customHeight="1">
      <c r="A44" s="951" t="s">
        <v>793</v>
      </c>
      <c r="B44" s="259" t="s">
        <v>1063</v>
      </c>
      <c r="C44" s="282">
        <f ca="1">ROUND(IF('数据-取费表'!B22&lt;=1,C40*F22*'数据-取费表'!B21/2,C40*(POWER((1+F22),'数据-取费表'!B21/2)-1)),4)</f>
        <v>1E-3</v>
      </c>
      <c r="D44" s="282"/>
      <c r="E44" s="282"/>
      <c r="F44" s="283"/>
      <c r="G44" s="3168"/>
    </row>
    <row r="45" spans="1:7" s="258" customFormat="1" ht="13.5" customHeight="1">
      <c r="A45" s="948" t="s">
        <v>786</v>
      </c>
      <c r="B45" s="288" t="s">
        <v>112</v>
      </c>
      <c r="C45" s="289">
        <f>C46</f>
        <v>2712</v>
      </c>
      <c r="D45" s="279">
        <f>C47</f>
        <v>3.5999999999999999E-3</v>
      </c>
      <c r="E45" s="280" t="s">
        <v>129</v>
      </c>
      <c r="F45" s="290"/>
      <c r="G45" s="291" t="s">
        <v>1069</v>
      </c>
    </row>
    <row r="46" spans="1:7" s="258" customFormat="1" ht="13.5" customHeight="1">
      <c r="A46" s="951" t="s">
        <v>794</v>
      </c>
      <c r="B46" s="292" t="s">
        <v>1062</v>
      </c>
      <c r="C46" s="293">
        <f>ROUND((C33+C39)*F27,0)</f>
        <v>2712</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20057</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16447</v>
      </c>
      <c r="D51" s="276"/>
      <c r="E51" s="276"/>
      <c r="F51" s="308"/>
      <c r="G51" s="278" t="s">
        <v>64</v>
      </c>
    </row>
    <row r="52" spans="1:7" s="252" customFormat="1" ht="16.5" thickBot="1">
      <c r="A52" s="309" t="s">
        <v>65</v>
      </c>
      <c r="B52" s="310"/>
      <c r="C52" s="311">
        <f ca="1">C31+C51</f>
        <v>46551</v>
      </c>
      <c r="D52" s="310"/>
      <c r="E52" s="310"/>
      <c r="F52" s="310"/>
      <c r="G52" s="312"/>
    </row>
    <row r="55" spans="1:7" ht="15">
      <c r="B55" s="314" t="s">
        <v>66</v>
      </c>
      <c r="C55" s="315"/>
    </row>
    <row r="56" spans="1:7">
      <c r="B56" s="317" t="s">
        <v>67</v>
      </c>
      <c r="C56" s="318">
        <f ca="1">ROUND(C51/C52,3)</f>
        <v>0.35299999999999998</v>
      </c>
    </row>
    <row r="57" spans="1:7">
      <c r="B57" s="317" t="s">
        <v>68</v>
      </c>
      <c r="C57" s="319">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activeCell="N31" sqref="N31"/>
    </sheetView>
  </sheetViews>
  <sheetFormatPr defaultRowHeight="13.5"/>
  <cols>
    <col min="2" max="7" width="13.5" customWidth="1"/>
    <col min="8" max="8" width="16.125" bestFit="1" customWidth="1"/>
  </cols>
  <sheetData>
    <row r="1" spans="1:8" ht="22.5">
      <c r="A1" s="3309" t="s">
        <v>3120</v>
      </c>
      <c r="B1" s="3310"/>
      <c r="C1" s="3310"/>
      <c r="D1" s="3310"/>
      <c r="E1" s="3310"/>
      <c r="F1" s="3310"/>
      <c r="G1" s="3310"/>
    </row>
    <row r="2" spans="1:8" ht="36">
      <c r="A2" s="2964" t="s">
        <v>3121</v>
      </c>
      <c r="B2" s="2964" t="s">
        <v>3122</v>
      </c>
      <c r="C2" s="2964" t="s">
        <v>3123</v>
      </c>
      <c r="D2" s="2964" t="s">
        <v>3124</v>
      </c>
      <c r="E2" s="2964" t="s">
        <v>3125</v>
      </c>
      <c r="F2" s="2964" t="s">
        <v>3126</v>
      </c>
      <c r="G2" s="2964" t="s">
        <v>3127</v>
      </c>
    </row>
    <row r="3" spans="1:8" ht="22.5">
      <c r="A3" s="2965">
        <v>1</v>
      </c>
      <c r="B3" s="2967" t="s">
        <v>3128</v>
      </c>
      <c r="C3" s="2969" t="s">
        <v>3129</v>
      </c>
      <c r="D3" s="2972">
        <v>60</v>
      </c>
      <c r="E3" s="2974" t="s">
        <v>3130</v>
      </c>
      <c r="F3" s="2975">
        <v>18.079999999999998</v>
      </c>
      <c r="G3" s="2977">
        <v>45</v>
      </c>
      <c r="H3" s="2979">
        <f>D3*F3*365*5/10000</f>
        <v>197.976</v>
      </c>
    </row>
    <row r="4" spans="1:8" ht="22.5">
      <c r="A4" s="2965">
        <v>2</v>
      </c>
      <c r="B4" s="2967" t="s">
        <v>3131</v>
      </c>
      <c r="C4" s="2969" t="s">
        <v>3129</v>
      </c>
      <c r="D4" s="2972">
        <v>439</v>
      </c>
      <c r="E4" s="2974" t="s">
        <v>3132</v>
      </c>
      <c r="F4" s="2975">
        <v>17</v>
      </c>
      <c r="G4" s="2978">
        <v>45</v>
      </c>
      <c r="H4" s="2979">
        <f t="shared" ref="H4:H33" si="0">D4*F4*365*5/10000</f>
        <v>1361.9974999999999</v>
      </c>
    </row>
    <row r="5" spans="1:8" ht="22.5">
      <c r="A5" s="2965">
        <v>3</v>
      </c>
      <c r="B5" s="2967" t="s">
        <v>3133</v>
      </c>
      <c r="C5" s="2969" t="s">
        <v>3129</v>
      </c>
      <c r="D5" s="2972">
        <v>492.44</v>
      </c>
      <c r="E5" s="2974" t="s">
        <v>3134</v>
      </c>
      <c r="F5" s="2975">
        <v>16.600000000000001</v>
      </c>
      <c r="G5" s="2978">
        <v>45</v>
      </c>
      <c r="H5" s="2979">
        <f t="shared" si="0"/>
        <v>1491.8469800000003</v>
      </c>
    </row>
    <row r="6" spans="1:8" ht="22.5">
      <c r="A6" s="2965">
        <v>4</v>
      </c>
      <c r="B6" s="2967" t="s">
        <v>3135</v>
      </c>
      <c r="C6" s="2969" t="s">
        <v>3136</v>
      </c>
      <c r="D6" s="2972">
        <v>950.88</v>
      </c>
      <c r="E6" s="2974" t="s">
        <v>3137</v>
      </c>
      <c r="F6" s="2975">
        <v>13</v>
      </c>
      <c r="G6" s="2978">
        <v>37</v>
      </c>
      <c r="H6" s="2979">
        <f t="shared" si="0"/>
        <v>2255.9628000000002</v>
      </c>
    </row>
    <row r="7" spans="1:8" ht="22.5">
      <c r="A7" s="2965">
        <v>5</v>
      </c>
      <c r="B7" s="2967" t="s">
        <v>3138</v>
      </c>
      <c r="C7" s="2970" t="s">
        <v>3139</v>
      </c>
      <c r="D7" s="2972">
        <v>734</v>
      </c>
      <c r="E7" s="2974" t="s">
        <v>3140</v>
      </c>
      <c r="F7" s="2975">
        <v>9.1999999999999993</v>
      </c>
      <c r="G7" s="2977">
        <v>35</v>
      </c>
      <c r="H7" s="2979">
        <f t="shared" si="0"/>
        <v>1232.3859999999997</v>
      </c>
    </row>
    <row r="8" spans="1:8" ht="22.5">
      <c r="A8" s="2965">
        <v>6</v>
      </c>
      <c r="B8" s="2967" t="s">
        <v>3135</v>
      </c>
      <c r="C8" s="2970" t="s">
        <v>3139</v>
      </c>
      <c r="D8" s="2972">
        <v>450</v>
      </c>
      <c r="E8" s="2974" t="s">
        <v>3141</v>
      </c>
      <c r="F8" s="2975">
        <v>9.6999999999999993</v>
      </c>
      <c r="G8" s="2978">
        <v>37</v>
      </c>
      <c r="H8" s="2979">
        <f t="shared" si="0"/>
        <v>796.61249999999995</v>
      </c>
    </row>
    <row r="9" spans="1:8" ht="22.5">
      <c r="A9" s="2965">
        <v>7</v>
      </c>
      <c r="B9" s="2967" t="s">
        <v>3135</v>
      </c>
      <c r="C9" s="2970" t="s">
        <v>3142</v>
      </c>
      <c r="D9" s="2972">
        <v>1455</v>
      </c>
      <c r="E9" s="2974" t="s">
        <v>3143</v>
      </c>
      <c r="F9" s="2975">
        <v>8.19</v>
      </c>
      <c r="G9" s="2978">
        <v>37</v>
      </c>
      <c r="H9" s="2979">
        <f t="shared" si="0"/>
        <v>2174.752125</v>
      </c>
    </row>
    <row r="10" spans="1:8" ht="22.5">
      <c r="A10" s="2965">
        <v>8</v>
      </c>
      <c r="B10" s="2967" t="s">
        <v>3135</v>
      </c>
      <c r="C10" s="2970" t="s">
        <v>3144</v>
      </c>
      <c r="D10" s="2972">
        <v>1455</v>
      </c>
      <c r="E10" s="2974" t="s">
        <v>3143</v>
      </c>
      <c r="F10" s="2975">
        <v>8.19</v>
      </c>
      <c r="G10" s="2978">
        <v>37</v>
      </c>
      <c r="H10" s="2979">
        <f t="shared" si="0"/>
        <v>2174.752125</v>
      </c>
    </row>
    <row r="11" spans="1:8" ht="22.5">
      <c r="A11" s="2965">
        <v>9</v>
      </c>
      <c r="B11" s="2967" t="s">
        <v>3145</v>
      </c>
      <c r="C11" s="2970" t="s">
        <v>3146</v>
      </c>
      <c r="D11" s="2972">
        <v>1455</v>
      </c>
      <c r="E11" s="2974" t="s">
        <v>3147</v>
      </c>
      <c r="F11" s="2975">
        <v>10</v>
      </c>
      <c r="G11" s="2977">
        <v>35</v>
      </c>
      <c r="H11" s="2979">
        <f t="shared" si="0"/>
        <v>2655.375</v>
      </c>
    </row>
    <row r="12" spans="1:8" ht="22.5">
      <c r="A12" s="2965">
        <v>10</v>
      </c>
      <c r="B12" s="2967" t="s">
        <v>3135</v>
      </c>
      <c r="C12" s="2970" t="s">
        <v>3148</v>
      </c>
      <c r="D12" s="2972">
        <v>511</v>
      </c>
      <c r="E12" s="2974" t="s">
        <v>3149</v>
      </c>
      <c r="F12" s="2975">
        <v>11</v>
      </c>
      <c r="G12" s="2977">
        <v>37</v>
      </c>
      <c r="H12" s="2979">
        <f t="shared" si="0"/>
        <v>1025.8325</v>
      </c>
    </row>
    <row r="13" spans="1:8" ht="22.5">
      <c r="A13" s="2965">
        <v>11</v>
      </c>
      <c r="B13" s="2967" t="s">
        <v>3150</v>
      </c>
      <c r="C13" s="2970" t="s">
        <v>3148</v>
      </c>
      <c r="D13" s="2972">
        <v>995.52</v>
      </c>
      <c r="E13" s="2974" t="s">
        <v>3151</v>
      </c>
      <c r="F13" s="2975">
        <v>11</v>
      </c>
      <c r="G13" s="2977">
        <v>35</v>
      </c>
      <c r="H13" s="2979">
        <f t="shared" si="0"/>
        <v>1998.5064</v>
      </c>
    </row>
    <row r="14" spans="1:8" ht="22.5">
      <c r="A14" s="2965">
        <v>12</v>
      </c>
      <c r="B14" s="2967" t="s">
        <v>3152</v>
      </c>
      <c r="C14" s="2970" t="s">
        <v>3153</v>
      </c>
      <c r="D14" s="2972">
        <v>346</v>
      </c>
      <c r="E14" s="2974" t="s">
        <v>3154</v>
      </c>
      <c r="F14" s="2975">
        <v>12</v>
      </c>
      <c r="G14" s="2977">
        <v>35</v>
      </c>
      <c r="H14" s="2979">
        <f t="shared" si="0"/>
        <v>757.74</v>
      </c>
    </row>
    <row r="15" spans="1:8" ht="22.5">
      <c r="A15" s="2965">
        <v>13</v>
      </c>
      <c r="B15" s="2967" t="s">
        <v>3155</v>
      </c>
      <c r="C15" s="2970" t="s">
        <v>3153</v>
      </c>
      <c r="D15" s="2972">
        <v>1109</v>
      </c>
      <c r="E15" s="2974" t="s">
        <v>3156</v>
      </c>
      <c r="F15" s="2975">
        <v>10.6</v>
      </c>
      <c r="G15" s="2977">
        <v>35</v>
      </c>
      <c r="H15" s="2979">
        <f t="shared" si="0"/>
        <v>2145.3604999999998</v>
      </c>
    </row>
    <row r="16" spans="1:8" ht="22.5">
      <c r="A16" s="2965">
        <v>14</v>
      </c>
      <c r="B16" s="2967" t="s">
        <v>3150</v>
      </c>
      <c r="C16" s="2970" t="s">
        <v>3117</v>
      </c>
      <c r="D16" s="2972">
        <v>1319</v>
      </c>
      <c r="E16" s="2974" t="s">
        <v>3157</v>
      </c>
      <c r="F16" s="2975">
        <v>12</v>
      </c>
      <c r="G16" s="2977">
        <v>35</v>
      </c>
      <c r="H16" s="2979">
        <f t="shared" si="0"/>
        <v>2888.61</v>
      </c>
    </row>
    <row r="17" spans="1:8" ht="22.5">
      <c r="A17" s="2965">
        <v>15</v>
      </c>
      <c r="B17" s="2967" t="s">
        <v>3158</v>
      </c>
      <c r="C17" s="2970" t="s">
        <v>3117</v>
      </c>
      <c r="D17" s="2972">
        <v>136</v>
      </c>
      <c r="E17" s="2974" t="s">
        <v>3159</v>
      </c>
      <c r="F17" s="2975">
        <v>12</v>
      </c>
      <c r="G17" s="2977">
        <v>35</v>
      </c>
      <c r="H17" s="2979">
        <f t="shared" si="0"/>
        <v>297.83999999999997</v>
      </c>
    </row>
    <row r="18" spans="1:8" ht="22.5">
      <c r="A18" s="2965">
        <v>16</v>
      </c>
      <c r="B18" s="2967" t="s">
        <v>3135</v>
      </c>
      <c r="C18" s="2970" t="s">
        <v>3117</v>
      </c>
      <c r="D18" s="2972">
        <v>51</v>
      </c>
      <c r="E18" s="2974" t="s">
        <v>3160</v>
      </c>
      <c r="F18" s="2975">
        <v>11</v>
      </c>
      <c r="G18" s="2977">
        <v>35</v>
      </c>
      <c r="H18" s="2979">
        <f t="shared" si="0"/>
        <v>102.38249999999999</v>
      </c>
    </row>
    <row r="19" spans="1:8" ht="22.5">
      <c r="A19" s="2965">
        <v>17</v>
      </c>
      <c r="B19" s="2967" t="s">
        <v>3161</v>
      </c>
      <c r="C19" s="2969" t="s">
        <v>3162</v>
      </c>
      <c r="D19" s="2972">
        <v>1455</v>
      </c>
      <c r="E19" s="2974" t="s">
        <v>3163</v>
      </c>
      <c r="F19" s="2975">
        <v>14.04</v>
      </c>
      <c r="G19" s="2977">
        <v>35</v>
      </c>
      <c r="H19" s="2979">
        <f t="shared" si="0"/>
        <v>3728.1464999999994</v>
      </c>
    </row>
    <row r="20" spans="1:8" ht="22.5">
      <c r="A20" s="2965">
        <v>18</v>
      </c>
      <c r="B20" s="2967" t="s">
        <v>3164</v>
      </c>
      <c r="C20" s="2970" t="s">
        <v>3165</v>
      </c>
      <c r="D20" s="2972">
        <v>1455</v>
      </c>
      <c r="E20" s="2974" t="s">
        <v>3166</v>
      </c>
      <c r="F20" s="2975">
        <v>13.83</v>
      </c>
      <c r="G20" s="2977">
        <v>35</v>
      </c>
      <c r="H20" s="2979">
        <f t="shared" si="0"/>
        <v>3672.3836250000008</v>
      </c>
    </row>
    <row r="21" spans="1:8" ht="22.5">
      <c r="A21" s="2965">
        <v>19</v>
      </c>
      <c r="B21" s="2967" t="s">
        <v>3167</v>
      </c>
      <c r="C21" s="2970" t="s">
        <v>3168</v>
      </c>
      <c r="D21" s="2972">
        <v>790</v>
      </c>
      <c r="E21" s="2974" t="s">
        <v>3169</v>
      </c>
      <c r="F21" s="2975">
        <v>11</v>
      </c>
      <c r="G21" s="2977">
        <v>35</v>
      </c>
      <c r="H21" s="2979">
        <f t="shared" si="0"/>
        <v>1585.925</v>
      </c>
    </row>
    <row r="22" spans="1:8" ht="22.5">
      <c r="A22" s="2965">
        <v>20</v>
      </c>
      <c r="B22" s="2967" t="s">
        <v>3170</v>
      </c>
      <c r="C22" s="2970" t="s">
        <v>3168</v>
      </c>
      <c r="D22" s="2972">
        <v>665</v>
      </c>
      <c r="E22" s="2974" t="s">
        <v>3171</v>
      </c>
      <c r="F22" s="2975">
        <v>11</v>
      </c>
      <c r="G22" s="2977">
        <v>35</v>
      </c>
      <c r="H22" s="2979">
        <f t="shared" si="0"/>
        <v>1334.9875</v>
      </c>
    </row>
    <row r="23" spans="1:8" ht="22.5">
      <c r="A23" s="2965">
        <v>21</v>
      </c>
      <c r="B23" s="2967" t="s">
        <v>3172</v>
      </c>
      <c r="C23" s="2970" t="s">
        <v>3173</v>
      </c>
      <c r="D23" s="2972">
        <v>321</v>
      </c>
      <c r="E23" s="2974" t="s">
        <v>3157</v>
      </c>
      <c r="F23" s="2975">
        <v>13</v>
      </c>
      <c r="G23" s="2977">
        <v>35</v>
      </c>
      <c r="H23" s="2979">
        <f t="shared" si="0"/>
        <v>761.57249999999999</v>
      </c>
    </row>
    <row r="24" spans="1:8" ht="22.5">
      <c r="A24" s="2965">
        <v>22</v>
      </c>
      <c r="B24" s="2967" t="s">
        <v>3161</v>
      </c>
      <c r="C24" s="2970" t="s">
        <v>3118</v>
      </c>
      <c r="D24" s="2972">
        <v>419.57</v>
      </c>
      <c r="E24" s="2974" t="s">
        <v>3174</v>
      </c>
      <c r="F24" s="2975">
        <v>14</v>
      </c>
      <c r="G24" s="2977">
        <v>35</v>
      </c>
      <c r="H24" s="2979">
        <f t="shared" si="0"/>
        <v>1072.0013499999998</v>
      </c>
    </row>
    <row r="25" spans="1:8" ht="22.5">
      <c r="A25" s="2965">
        <v>23</v>
      </c>
      <c r="B25" s="2967" t="s">
        <v>3175</v>
      </c>
      <c r="C25" s="2970" t="s">
        <v>3173</v>
      </c>
      <c r="D25" s="2972">
        <v>765.95</v>
      </c>
      <c r="E25" s="2974" t="s">
        <v>3176</v>
      </c>
      <c r="F25" s="2975">
        <v>9</v>
      </c>
      <c r="G25" s="2977">
        <v>35</v>
      </c>
      <c r="H25" s="2979">
        <f t="shared" si="0"/>
        <v>1258.0728750000001</v>
      </c>
    </row>
    <row r="26" spans="1:8" ht="22.5">
      <c r="A26" s="2965">
        <v>24</v>
      </c>
      <c r="B26" s="2967" t="s">
        <v>3177</v>
      </c>
      <c r="C26" s="2970" t="s">
        <v>3178</v>
      </c>
      <c r="D26" s="2972">
        <v>1015</v>
      </c>
      <c r="E26" s="2974" t="s">
        <v>3179</v>
      </c>
      <c r="F26" s="2975">
        <v>9.1999999999999993</v>
      </c>
      <c r="G26" s="2977">
        <v>35</v>
      </c>
      <c r="H26" s="2979">
        <f t="shared" si="0"/>
        <v>1704.1849999999999</v>
      </c>
    </row>
    <row r="27" spans="1:8" ht="22.5">
      <c r="A27" s="2965">
        <v>25</v>
      </c>
      <c r="B27" s="2967" t="s">
        <v>3180</v>
      </c>
      <c r="C27" s="2970" t="s">
        <v>3178</v>
      </c>
      <c r="D27" s="2972">
        <v>455.58</v>
      </c>
      <c r="E27" s="2974" t="s">
        <v>3181</v>
      </c>
      <c r="F27" s="2975">
        <v>13</v>
      </c>
      <c r="G27" s="2977">
        <v>35</v>
      </c>
      <c r="H27" s="2979">
        <f t="shared" si="0"/>
        <v>1080.86355</v>
      </c>
    </row>
    <row r="28" spans="1:8" ht="22.5">
      <c r="A28" s="2965">
        <v>26</v>
      </c>
      <c r="B28" s="2967" t="s">
        <v>3135</v>
      </c>
      <c r="C28" s="2970" t="s">
        <v>3182</v>
      </c>
      <c r="D28" s="2972">
        <v>1455</v>
      </c>
      <c r="E28" s="2974" t="s">
        <v>3143</v>
      </c>
      <c r="F28" s="2975">
        <v>8.19</v>
      </c>
      <c r="G28" s="2977">
        <v>35</v>
      </c>
      <c r="H28" s="2979">
        <f t="shared" si="0"/>
        <v>2174.752125</v>
      </c>
    </row>
    <row r="29" spans="1:8" ht="22.5">
      <c r="A29" s="2965">
        <v>27</v>
      </c>
      <c r="B29" s="2967" t="s">
        <v>3183</v>
      </c>
      <c r="C29" s="2970" t="s">
        <v>3184</v>
      </c>
      <c r="D29" s="2972">
        <v>940</v>
      </c>
      <c r="E29" s="2974" t="s">
        <v>3185</v>
      </c>
      <c r="F29" s="2975">
        <v>10</v>
      </c>
      <c r="G29" s="2977">
        <v>35</v>
      </c>
      <c r="H29" s="2979">
        <f t="shared" si="0"/>
        <v>1715.5</v>
      </c>
    </row>
    <row r="30" spans="1:8" ht="22.5">
      <c r="A30" s="2965">
        <v>28</v>
      </c>
      <c r="B30" s="2967" t="s">
        <v>3186</v>
      </c>
      <c r="C30" s="2970" t="s">
        <v>3184</v>
      </c>
      <c r="D30" s="2972">
        <v>318</v>
      </c>
      <c r="E30" s="2974" t="s">
        <v>3187</v>
      </c>
      <c r="F30" s="2975">
        <v>13.8</v>
      </c>
      <c r="G30" s="2977">
        <v>35</v>
      </c>
      <c r="H30" s="2979">
        <f t="shared" si="0"/>
        <v>800.88300000000004</v>
      </c>
    </row>
    <row r="31" spans="1:8" ht="22.5">
      <c r="A31" s="2965">
        <v>29</v>
      </c>
      <c r="B31" s="2967" t="s">
        <v>3188</v>
      </c>
      <c r="C31" s="2970" t="s">
        <v>3184</v>
      </c>
      <c r="D31" s="2972">
        <v>197</v>
      </c>
      <c r="E31" s="2974" t="s">
        <v>3185</v>
      </c>
      <c r="F31" s="2975">
        <v>12</v>
      </c>
      <c r="G31" s="2977">
        <v>35</v>
      </c>
      <c r="H31" s="2979">
        <f t="shared" si="0"/>
        <v>431.43</v>
      </c>
    </row>
    <row r="32" spans="1:8" ht="22.5">
      <c r="A32" s="2965">
        <v>30</v>
      </c>
      <c r="B32" s="2967" t="s">
        <v>3189</v>
      </c>
      <c r="C32" s="2970" t="s">
        <v>3119</v>
      </c>
      <c r="D32" s="2972">
        <v>1360</v>
      </c>
      <c r="E32" s="2974" t="s">
        <v>3185</v>
      </c>
      <c r="F32" s="2975">
        <v>12</v>
      </c>
      <c r="G32" s="2977">
        <v>35</v>
      </c>
      <c r="H32" s="2979">
        <f t="shared" si="0"/>
        <v>2978.4</v>
      </c>
    </row>
    <row r="33" spans="1:8" ht="22.5">
      <c r="A33" s="2965">
        <v>31</v>
      </c>
      <c r="B33" s="2967" t="s">
        <v>3135</v>
      </c>
      <c r="C33" s="2970" t="s">
        <v>3190</v>
      </c>
      <c r="D33" s="2972">
        <v>1360</v>
      </c>
      <c r="E33" s="2974" t="s">
        <v>3191</v>
      </c>
      <c r="F33" s="2975">
        <v>13</v>
      </c>
      <c r="G33" s="2977">
        <v>37</v>
      </c>
      <c r="H33" s="2979">
        <f t="shared" si="0"/>
        <v>3226.6</v>
      </c>
    </row>
    <row r="34" spans="1:8">
      <c r="A34" s="2966"/>
      <c r="B34" s="2968"/>
      <c r="C34" s="2971"/>
      <c r="D34" s="2973">
        <f>SUM(D3:D33)</f>
        <v>24930.940000000002</v>
      </c>
      <c r="E34" s="2971"/>
      <c r="F34" s="2976">
        <f>AVERAGE(F3:F33)</f>
        <v>11.826451612903226</v>
      </c>
      <c r="G34" s="2973"/>
    </row>
    <row r="35" spans="1:8">
      <c r="D35" s="2979">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1637</v>
      </c>
      <c r="B2" s="3001" t="s">
        <v>1638</v>
      </c>
      <c r="C2" s="3001" t="s">
        <v>1639</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2995"/>
      <c r="B3" s="2995"/>
      <c r="C3" s="2995"/>
      <c r="D3" s="1044" t="s">
        <v>1634</v>
      </c>
      <c r="E3" s="1044" t="s">
        <v>1640</v>
      </c>
      <c r="F3" s="1044" t="s">
        <v>1634</v>
      </c>
      <c r="G3" s="1044" t="s">
        <v>1635</v>
      </c>
      <c r="H3" s="1044" t="s">
        <v>1634</v>
      </c>
      <c r="I3" s="1044" t="s">
        <v>1635</v>
      </c>
    </row>
    <row r="4" spans="1:9" ht="45">
      <c r="A4" s="1973" t="str">
        <f>项目基本情况!S2</f>
        <v>北京市海淀区海淀东三街2号-4层-401号等29套商贸综合用房房地产房地产</v>
      </c>
      <c r="B4" s="1044">
        <f>项目基本情况!C17</f>
        <v>35720.530000000006</v>
      </c>
      <c r="C4" s="1044">
        <f>项目基本情况!C18</f>
        <v>2729.06</v>
      </c>
      <c r="D4" s="1044">
        <f ca="1">结果表!D118</f>
        <v>109247</v>
      </c>
      <c r="E4" s="1044">
        <f ca="1">结果表!E118</f>
        <v>30583</v>
      </c>
      <c r="F4" s="1044">
        <f ca="1">结果表!F118</f>
        <v>18527</v>
      </c>
      <c r="G4" s="1044">
        <f ca="1">结果表!G118</f>
        <v>5187</v>
      </c>
      <c r="H4" s="1044">
        <f ca="1">结果表!H118</f>
        <v>127774</v>
      </c>
      <c r="I4" s="1044">
        <f ca="1">结果表!I118</f>
        <v>35770</v>
      </c>
    </row>
    <row r="5" spans="1:9" ht="30" customHeight="1">
      <c r="A5" s="2995" t="s">
        <v>1636</v>
      </c>
      <c r="B5" s="2995"/>
      <c r="C5" s="2995"/>
      <c r="D5" s="2996" t="str">
        <f ca="1">结果表!D119</f>
        <v>壹拾亿玖仟贰佰肆拾柒万元整</v>
      </c>
      <c r="E5" s="2996"/>
      <c r="F5" s="2996" t="str">
        <f ca="1">结果表!F119</f>
        <v>壹亿捌仟伍佰贰拾柒万元整</v>
      </c>
      <c r="G5" s="2996"/>
      <c r="H5" s="2996" t="str">
        <f ca="1">结果表!H119</f>
        <v>壹拾贰亿柒仟柒佰柒拾肆万元整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1636</v>
      </c>
      <c r="B7" s="2995"/>
      <c r="C7" s="2995"/>
      <c r="D7" s="2997" t="str">
        <f>结果表!D121</f>
        <v>零元整</v>
      </c>
      <c r="E7" s="2998"/>
      <c r="F7" s="2998"/>
      <c r="G7" s="2998"/>
      <c r="H7" s="2998"/>
      <c r="I7" s="2999"/>
    </row>
    <row r="8" spans="1:9" ht="15.75">
      <c r="A8" s="2994" t="str">
        <f>结果表!A122</f>
        <v>房地产抵押价值</v>
      </c>
      <c r="B8" s="2994"/>
      <c r="C8" s="2994"/>
      <c r="D8" s="2994">
        <f ca="1">结果表!D122</f>
        <v>127774</v>
      </c>
      <c r="E8" s="2994"/>
      <c r="F8" s="2994"/>
      <c r="G8" s="2994"/>
      <c r="H8" s="2994"/>
      <c r="I8" s="2994"/>
    </row>
    <row r="9" spans="1:9" ht="15">
      <c r="A9" s="2995" t="s">
        <v>1636</v>
      </c>
      <c r="B9" s="2995"/>
      <c r="C9" s="2995"/>
      <c r="D9" s="2996" t="str">
        <f ca="1">结果表!D123</f>
        <v>壹拾贰亿柒仟柒佰柒拾肆万元整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1636</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8" t="s">
        <v>1658</v>
      </c>
      <c r="B1" s="3008"/>
      <c r="C1" s="3008"/>
      <c r="D1" s="3008"/>
    </row>
    <row r="2" spans="1:4" ht="18">
      <c r="A2" s="3009" t="s">
        <v>1642</v>
      </c>
      <c r="B2" s="3009"/>
      <c r="C2" s="3009"/>
      <c r="D2" s="3009"/>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3009" t="s">
        <v>1648</v>
      </c>
      <c r="B6" s="3009"/>
      <c r="C6" s="3009"/>
      <c r="D6" s="300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10" t="s">
        <v>1651</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（1）根据估价对象《房屋所有权证》原件、《国有土地使用权》原件，截至价值时点，估价对象抵押权未见登记。</v>
      </c>
      <c r="B15" s="3002"/>
      <c r="C15" s="3002"/>
      <c r="D15" s="3002"/>
    </row>
    <row r="16" spans="1:4" ht="30" customHeight="1">
      <c r="A16" s="3004" t="s">
        <v>1652</v>
      </c>
      <c r="B16" s="3004"/>
      <c r="C16" s="3004"/>
      <c r="D16" s="3004"/>
    </row>
    <row r="17" spans="1:4" ht="144" customHeight="1">
      <c r="A17" s="3004" t="s">
        <v>1653</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1654</v>
      </c>
      <c r="B22" s="3006"/>
      <c r="C22" s="3006"/>
      <c r="D22" s="300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6" t="s">
        <v>1665</v>
      </c>
      <c r="B15" s="3011" t="s">
        <v>136</v>
      </c>
      <c r="C15" s="3012"/>
    </row>
    <row r="16" spans="1:7" ht="13.5">
      <c r="A16" s="3017"/>
      <c r="B16" s="3011" t="s">
        <v>69</v>
      </c>
      <c r="C16" s="3012"/>
    </row>
    <row r="17" spans="1:3" ht="13.5">
      <c r="A17" s="3017"/>
      <c r="B17" s="3014" t="s">
        <v>1666</v>
      </c>
      <c r="C17" s="2000" t="s">
        <v>1665</v>
      </c>
    </row>
    <row r="18" spans="1:3" ht="13.5">
      <c r="A18" s="3017"/>
      <c r="B18" s="3014"/>
      <c r="C18" s="2000" t="s">
        <v>1667</v>
      </c>
    </row>
    <row r="19" spans="1:3" ht="13.5">
      <c r="A19" s="3017"/>
      <c r="B19" s="3014"/>
      <c r="C19" s="2000" t="s">
        <v>1668</v>
      </c>
    </row>
    <row r="20" spans="1:3" ht="13.5">
      <c r="A20" s="3018"/>
      <c r="B20" s="3013" t="s">
        <v>1669</v>
      </c>
      <c r="C20" s="3012"/>
    </row>
    <row r="21" spans="1:3" ht="13.5">
      <c r="A21" s="2001" t="s">
        <v>1670</v>
      </c>
      <c r="B21" s="2002"/>
      <c r="C21" s="2003"/>
    </row>
    <row r="22" spans="1:3" ht="13.5">
      <c r="A22" s="3015" t="s">
        <v>1671</v>
      </c>
      <c r="B22" s="3013" t="s">
        <v>1672</v>
      </c>
      <c r="C22" s="3012"/>
    </row>
    <row r="23" spans="1:3" ht="13.5">
      <c r="A23" s="3015"/>
      <c r="B23" s="3013" t="s">
        <v>1673</v>
      </c>
      <c r="C23" s="3012"/>
    </row>
    <row r="24" spans="1:3" ht="13.5">
      <c r="A24" s="3015"/>
      <c r="B24" s="3013" t="s">
        <v>1674</v>
      </c>
      <c r="C24" s="3012"/>
    </row>
    <row r="25" spans="1:3" ht="13.5">
      <c r="A25" s="3015"/>
      <c r="B25" s="3014" t="s">
        <v>1675</v>
      </c>
      <c r="C25" s="2000" t="s">
        <v>1676</v>
      </c>
    </row>
    <row r="26" spans="1:3" ht="13.5">
      <c r="A26" s="3015"/>
      <c r="B26" s="3014"/>
      <c r="C26" s="2000" t="s">
        <v>1677</v>
      </c>
    </row>
    <row r="27" spans="1:3" ht="13.5">
      <c r="A27" s="3015"/>
      <c r="B27" s="3014"/>
      <c r="C27" s="2000" t="s">
        <v>1678</v>
      </c>
    </row>
    <row r="28" spans="1:3" ht="13.5">
      <c r="A28" s="3015"/>
      <c r="B28" s="3014"/>
      <c r="C28" s="2000" t="s">
        <v>1679</v>
      </c>
    </row>
    <row r="29" spans="1:3" ht="13.5">
      <c r="A29" s="3015"/>
      <c r="B29" s="3014"/>
      <c r="C29" s="2000" t="s">
        <v>1680</v>
      </c>
    </row>
    <row r="30" spans="1:3" ht="13.5">
      <c r="A30" s="3015"/>
      <c r="B30" s="3014"/>
      <c r="C30" s="2000" t="s">
        <v>1681</v>
      </c>
    </row>
    <row r="31" spans="1:3" ht="13.5">
      <c r="A31" s="3015"/>
      <c r="B31" s="3014"/>
      <c r="C31" s="2000" t="s">
        <v>1682</v>
      </c>
    </row>
    <row r="32" spans="1:3" ht="13.5">
      <c r="A32" s="3015"/>
      <c r="B32" s="3014"/>
      <c r="C32" s="2000" t="s">
        <v>1683</v>
      </c>
    </row>
    <row r="33" spans="1:3" ht="13.5">
      <c r="A33" s="3015"/>
      <c r="B33" s="3014"/>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3039</v>
      </c>
      <c r="B14" s="1022">
        <f ca="1">IF(C14&lt;B2,"已过期",1120040230)</f>
        <v>1120040230</v>
      </c>
      <c r="C14" s="2347">
        <v>43835</v>
      </c>
      <c r="D14" s="2350" t="s">
        <v>3039</v>
      </c>
      <c r="E14" s="1022">
        <f ca="1">IF(F14&lt;B2,"已过期",98030020)</f>
        <v>98030020</v>
      </c>
      <c r="F14" s="1030">
        <v>47118</v>
      </c>
    </row>
    <row r="15" spans="1:6" ht="24" customHeight="1">
      <c r="A15" s="1703" t="s">
        <v>3040</v>
      </c>
      <c r="B15" s="1022">
        <f ca="1">IF(C15&lt;B2,"已过期",1120070085)</f>
        <v>1120070085</v>
      </c>
      <c r="C15" s="2347">
        <v>43814</v>
      </c>
      <c r="D15" s="2351" t="s">
        <v>3040</v>
      </c>
      <c r="E15" s="1022">
        <f ca="1">IF(F15&lt;B2,"已过期",2004110128)</f>
        <v>2004110128</v>
      </c>
      <c r="F15" s="1023">
        <v>47118</v>
      </c>
    </row>
    <row r="16" spans="1:6" ht="24" customHeight="1">
      <c r="A16" s="1702" t="s">
        <v>3041</v>
      </c>
      <c r="B16" s="1022">
        <f ca="1">IF(C16&lt;B2,"已过期",1120140022)</f>
        <v>1120140022</v>
      </c>
      <c r="C16" s="2930">
        <v>44029</v>
      </c>
      <c r="D16" s="2350" t="s">
        <v>3041</v>
      </c>
      <c r="E16" s="1022">
        <f ca="1">IF(F16&lt;B2,"已过期",2008110059)</f>
        <v>2008110059</v>
      </c>
      <c r="F16" s="1030">
        <v>47177</v>
      </c>
    </row>
    <row r="17" spans="1:7" ht="24" customHeight="1">
      <c r="A17" s="1702"/>
      <c r="B17" s="1022"/>
      <c r="C17" s="2347"/>
      <c r="D17" s="2350" t="s">
        <v>3042</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19" t="s">
        <v>843</v>
      </c>
      <c r="B25" s="3019"/>
      <c r="C25" s="3019"/>
      <c r="D25" s="3019"/>
      <c r="E25" s="3019"/>
      <c r="F25" s="3019"/>
      <c r="G25" s="3019"/>
    </row>
    <row r="26" spans="1:7" s="1025" customFormat="1" ht="24" customHeight="1">
      <c r="A26" s="3020" t="s">
        <v>844</v>
      </c>
      <c r="B26" s="3020"/>
      <c r="C26" s="3021"/>
      <c r="D26" s="3022" t="s">
        <v>845</v>
      </c>
      <c r="E26" s="3020"/>
      <c r="F26" s="3020"/>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2019-05-14T07:40:49Z</dcterms:modified>
</cp:coreProperties>
</file>