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56" i="9" l="1"/>
  <c r="C37" i="9"/>
  <c r="M56" i="9"/>
  <c r="L8" i="1" l="1"/>
  <c r="L7" i="1"/>
  <c r="C40" i="39" l="1"/>
  <c r="B16" i="66" l="1"/>
  <c r="C16" i="66"/>
  <c r="C15" i="66"/>
  <c r="B15" i="66"/>
  <c r="D15" i="66" l="1"/>
  <c r="G15" i="66" l="1"/>
  <c r="I7" i="39" l="1"/>
  <c r="C38" i="9"/>
  <c r="I48" i="39" l="1"/>
  <c r="E48" i="39"/>
  <c r="I40" i="39"/>
  <c r="E40" i="39"/>
  <c r="D119" i="39"/>
  <c r="E119" i="39" s="1"/>
  <c r="F119" i="39" s="1"/>
  <c r="G119" i="39" s="1"/>
  <c r="H119" i="39" s="1"/>
  <c r="I13" i="39"/>
  <c r="D73" i="39"/>
  <c r="I9" i="39"/>
  <c r="E9" i="39"/>
  <c r="E7" i="39"/>
  <c r="C7" i="39"/>
  <c r="L14" i="1"/>
  <c r="C11" i="4"/>
  <c r="AH5" i="59" l="1"/>
  <c r="AG5" i="59"/>
  <c r="AE5" i="59"/>
  <c r="AF5" i="59" s="1"/>
  <c r="AD5" i="59"/>
  <c r="Q5" i="59"/>
  <c r="P5" i="59"/>
  <c r="O5" i="59"/>
  <c r="N5" i="59"/>
  <c r="L3" i="59" l="1"/>
  <c r="AH3" i="59" s="1"/>
  <c r="K3" i="59"/>
  <c r="AG3" i="59" s="1"/>
  <c r="J3" i="59"/>
  <c r="AE3" i="59" s="1"/>
  <c r="AF3" i="59" s="1"/>
  <c r="I3" i="59"/>
  <c r="AD3" i="59" s="1"/>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c r="AG9" i="59"/>
  <c r="AH9" i="59"/>
  <c r="AD9" i="59"/>
  <c r="Q9" i="59"/>
  <c r="P9" i="59"/>
  <c r="E9" i="59" s="1"/>
  <c r="E8" i="59" s="1"/>
  <c r="E7" i="59" s="1"/>
  <c r="E6" i="59" s="1"/>
  <c r="E5" i="59" s="1"/>
  <c r="O9" i="59"/>
  <c r="N9" i="59"/>
  <c r="N10" i="59"/>
  <c r="Q10" i="59"/>
  <c r="P10" i="59"/>
  <c r="O10" i="59"/>
  <c r="K59" i="15"/>
  <c r="P75" i="15" s="1"/>
  <c r="P62" i="15"/>
  <c r="Q74" i="44"/>
  <c r="Q61" i="44"/>
  <c r="Q60" i="44"/>
  <c r="Q53" i="44"/>
  <c r="J51" i="44"/>
  <c r="J52" i="44" s="1"/>
  <c r="M48" i="44"/>
  <c r="A16" i="55"/>
  <c r="A15" i="55"/>
  <c r="A10" i="55"/>
  <c r="A9" i="55"/>
  <c r="B60" i="63" s="1"/>
  <c r="A8" i="55"/>
  <c r="B59" i="63" s="1"/>
  <c r="A6" i="54"/>
  <c r="B49" i="63" s="1"/>
  <c r="A8" i="54"/>
  <c r="B53" i="63" s="1"/>
  <c r="A7" i="54"/>
  <c r="B51" i="63" s="1"/>
  <c r="A28" i="51"/>
  <c r="B21" i="63" s="1"/>
  <c r="A27" i="51"/>
  <c r="B20" i="63" s="1"/>
  <c r="Q11" i="59"/>
  <c r="O11" i="59"/>
  <c r="N12" i="59"/>
  <c r="O12" i="59"/>
  <c r="P12" i="59"/>
  <c r="Q12" i="59"/>
  <c r="N11" i="59"/>
  <c r="P11" i="59"/>
  <c r="K75" i="9"/>
  <c r="K6" i="4"/>
  <c r="O76" i="9" s="1"/>
  <c r="B22" i="31"/>
  <c r="E15" i="66"/>
  <c r="F15" i="66"/>
  <c r="E17" i="66"/>
  <c r="F17" i="66"/>
  <c r="E18" i="66"/>
  <c r="F18" i="66"/>
  <c r="E19" i="66"/>
  <c r="F19" i="66"/>
  <c r="E20" i="66"/>
  <c r="F20" i="66"/>
  <c r="E21" i="66"/>
  <c r="F21" i="66"/>
  <c r="E22" i="66"/>
  <c r="F22" i="66"/>
  <c r="E23" i="66"/>
  <c r="F23" i="66"/>
  <c r="B3" i="66"/>
  <c r="B9" i="59"/>
  <c r="F9" i="59"/>
  <c r="S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B41" i="63" s="1"/>
  <c r="A23" i="51"/>
  <c r="B17" i="63" s="1"/>
  <c r="Y12" i="46"/>
  <c r="AA9" i="46"/>
  <c r="AB9" i="46"/>
  <c r="AC9" i="46"/>
  <c r="AC10" i="46" s="1"/>
  <c r="AD9" i="46"/>
  <c r="AE9" i="46"/>
  <c r="AF9" i="46"/>
  <c r="AG9" i="46"/>
  <c r="AH9" i="46"/>
  <c r="AI9" i="46"/>
  <c r="AJ9" i="46"/>
  <c r="Z9" i="46"/>
  <c r="Z10" i="46" s="1"/>
  <c r="AH10" i="46"/>
  <c r="AD10" i="46"/>
  <c r="Y10" i="46"/>
  <c r="AH12" i="46"/>
  <c r="AD12" i="46"/>
  <c r="Z12" i="46"/>
  <c r="AC12" i="46"/>
  <c r="B73" i="63"/>
  <c r="A21" i="64"/>
  <c r="B75" i="63" s="1"/>
  <c r="A28" i="64"/>
  <c r="A27" i="64"/>
  <c r="A15" i="64"/>
  <c r="A14" i="64"/>
  <c r="A11" i="64"/>
  <c r="A3" i="64"/>
  <c r="A45" i="9"/>
  <c r="A44" i="9"/>
  <c r="K39" i="9" s="1"/>
  <c r="C57" i="10"/>
  <c r="C56" i="10"/>
  <c r="C55" i="10"/>
  <c r="C54" i="10"/>
  <c r="A26" i="64" s="1"/>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61" i="63"/>
  <c r="B51" i="10"/>
  <c r="A15" i="51"/>
  <c r="B12" i="63" s="1"/>
  <c r="A14" i="51"/>
  <c r="B11" i="63" s="1"/>
  <c r="B66" i="63"/>
  <c r="A4" i="55"/>
  <c r="B57" i="63" s="1"/>
  <c r="G5" i="54"/>
  <c r="B34" i="63" s="1"/>
  <c r="E5" i="54"/>
  <c r="B32" i="63" s="1"/>
  <c r="R2" i="54"/>
  <c r="B24" i="63" s="1"/>
  <c r="B49" i="50"/>
  <c r="B5" i="63" s="1"/>
  <c r="B40" i="50"/>
  <c r="B3" i="63"/>
  <c r="N4" i="63"/>
  <c r="B67" i="63"/>
  <c r="I19" i="46"/>
  <c r="Q13" i="59"/>
  <c r="P13" i="59"/>
  <c r="E13" i="59" s="1"/>
  <c r="U13" i="59" s="1"/>
  <c r="O13" i="59"/>
  <c r="N13" i="59"/>
  <c r="B13" i="59" s="1"/>
  <c r="D74" i="59"/>
  <c r="F73" i="59"/>
  <c r="F72" i="59" s="1"/>
  <c r="E73" i="59"/>
  <c r="E72" i="59" s="1"/>
  <c r="E71" i="59" s="1"/>
  <c r="C73" i="59"/>
  <c r="B73" i="59"/>
  <c r="B72" i="59" s="1"/>
  <c r="F71" i="59"/>
  <c r="B71" i="59"/>
  <c r="D70" i="59"/>
  <c r="F69" i="59"/>
  <c r="E69" i="59"/>
  <c r="E68" i="59" s="1"/>
  <c r="E67" i="59" s="1"/>
  <c r="C69" i="59"/>
  <c r="D69" i="59" s="1"/>
  <c r="B69" i="59"/>
  <c r="B68" i="59" s="1"/>
  <c r="B67" i="59" s="1"/>
  <c r="F68" i="59"/>
  <c r="F67" i="59" s="1"/>
  <c r="D66" i="59"/>
  <c r="Q65" i="59"/>
  <c r="P65" i="59"/>
  <c r="O65" i="59"/>
  <c r="N65" i="59"/>
  <c r="F65" i="59"/>
  <c r="V65" i="59" s="1"/>
  <c r="E65" i="59"/>
  <c r="U65" i="59" s="1"/>
  <c r="C65" i="59"/>
  <c r="B65" i="59"/>
  <c r="Q64" i="59"/>
  <c r="P64" i="59"/>
  <c r="O64" i="59"/>
  <c r="N64" i="59"/>
  <c r="F64" i="59"/>
  <c r="F63" i="59" s="1"/>
  <c r="Q63" i="59"/>
  <c r="P63" i="59"/>
  <c r="O63" i="59"/>
  <c r="N63" i="59"/>
  <c r="Q62" i="59"/>
  <c r="P62" i="59"/>
  <c r="O62" i="59"/>
  <c r="N62" i="59"/>
  <c r="D62" i="59"/>
  <c r="Q61" i="59"/>
  <c r="P61" i="59"/>
  <c r="O61" i="59"/>
  <c r="N61" i="59"/>
  <c r="F61" i="59"/>
  <c r="E61" i="59"/>
  <c r="U61" i="59" s="1"/>
  <c r="C61" i="59"/>
  <c r="B61" i="59"/>
  <c r="Q60" i="59"/>
  <c r="P60" i="59"/>
  <c r="O60" i="59"/>
  <c r="N60" i="59"/>
  <c r="Q59" i="59"/>
  <c r="P59" i="59"/>
  <c r="O59" i="59"/>
  <c r="N59" i="59"/>
  <c r="Q58" i="59"/>
  <c r="P58" i="59"/>
  <c r="O58" i="59"/>
  <c r="N58" i="59"/>
  <c r="D58" i="59"/>
  <c r="Q57" i="59"/>
  <c r="P57" i="59"/>
  <c r="O57" i="59"/>
  <c r="N57" i="59"/>
  <c r="F57" i="59"/>
  <c r="V57" i="59" s="1"/>
  <c r="E57" i="59"/>
  <c r="U57" i="59" s="1"/>
  <c r="C57" i="59"/>
  <c r="B57" i="59"/>
  <c r="Q56" i="59"/>
  <c r="P56" i="59"/>
  <c r="O56" i="59"/>
  <c r="N56" i="59"/>
  <c r="F56" i="59"/>
  <c r="F55" i="59" s="1"/>
  <c r="Q55" i="59"/>
  <c r="P55" i="59"/>
  <c r="O55" i="59"/>
  <c r="N55" i="59"/>
  <c r="Q54" i="59"/>
  <c r="P54" i="59"/>
  <c r="O54" i="59"/>
  <c r="N54" i="59"/>
  <c r="D54" i="59"/>
  <c r="F53" i="59"/>
  <c r="E53" i="59"/>
  <c r="C53" i="59"/>
  <c r="D53" i="59" s="1"/>
  <c r="B53" i="59"/>
  <c r="N53" i="59"/>
  <c r="B52" i="59"/>
  <c r="D50" i="59"/>
  <c r="Q49" i="59"/>
  <c r="P49" i="59"/>
  <c r="O49" i="59"/>
  <c r="N49" i="59"/>
  <c r="Q48" i="59"/>
  <c r="P48" i="59"/>
  <c r="O48" i="59"/>
  <c r="N48" i="59"/>
  <c r="Q47" i="59"/>
  <c r="P47" i="59"/>
  <c r="O47" i="59"/>
  <c r="N47" i="59"/>
  <c r="Q46" i="59"/>
  <c r="F47" i="59"/>
  <c r="F48" i="59" s="1"/>
  <c r="F49" i="59" s="1"/>
  <c r="V49" i="59" s="1"/>
  <c r="P46" i="59"/>
  <c r="E47" i="59"/>
  <c r="O46" i="59"/>
  <c r="C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P38" i="59"/>
  <c r="E39" i="59"/>
  <c r="E40" i="59" s="1"/>
  <c r="E41" i="59"/>
  <c r="U41" i="59" s="1"/>
  <c r="O38" i="59"/>
  <c r="C39" i="59" s="1"/>
  <c r="N38" i="59"/>
  <c r="B39" i="59" s="1"/>
  <c r="D38" i="59"/>
  <c r="Q37" i="59"/>
  <c r="P37" i="59"/>
  <c r="O37" i="59"/>
  <c r="N37" i="59"/>
  <c r="Q36" i="59"/>
  <c r="P36" i="59"/>
  <c r="O36" i="59"/>
  <c r="N36" i="59"/>
  <c r="Q35" i="59"/>
  <c r="P35" i="59"/>
  <c r="O35" i="59"/>
  <c r="N35" i="59"/>
  <c r="B36" i="59" s="1"/>
  <c r="B37" i="59" s="1"/>
  <c r="S37" i="59" s="1"/>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C32" i="59" s="1"/>
  <c r="D32" i="59" s="1"/>
  <c r="N31" i="59"/>
  <c r="Q30" i="59"/>
  <c r="F31" i="59" s="1"/>
  <c r="F32" i="59" s="1"/>
  <c r="F33" i="59" s="1"/>
  <c r="V33" i="59" s="1"/>
  <c r="P30" i="59"/>
  <c r="E31" i="59" s="1"/>
  <c r="E32" i="59"/>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P26" i="59"/>
  <c r="E27" i="59"/>
  <c r="O26" i="59"/>
  <c r="C27" i="59" s="1"/>
  <c r="C28" i="59" s="1"/>
  <c r="N26" i="59"/>
  <c r="B27" i="59" s="1"/>
  <c r="D26" i="59"/>
  <c r="Q25" i="59"/>
  <c r="P25" i="59"/>
  <c r="O25" i="59"/>
  <c r="N25" i="59"/>
  <c r="Q24" i="59"/>
  <c r="AB24" i="59" s="1"/>
  <c r="P24" i="59"/>
  <c r="AA24" i="59" s="1"/>
  <c r="O24" i="59"/>
  <c r="Y24" i="59"/>
  <c r="Z24" i="59" s="1"/>
  <c r="N24" i="59"/>
  <c r="X24" i="59" s="1"/>
  <c r="Q23" i="59"/>
  <c r="P23" i="59"/>
  <c r="O23" i="59"/>
  <c r="Y23" i="59" s="1"/>
  <c r="Z23" i="59" s="1"/>
  <c r="N23" i="59"/>
  <c r="Q22" i="59"/>
  <c r="P22" i="59"/>
  <c r="O22" i="59"/>
  <c r="N22" i="59"/>
  <c r="B23" i="59" s="1"/>
  <c r="B24" i="59" s="1"/>
  <c r="B25" i="59" s="1"/>
  <c r="S25" i="59" s="1"/>
  <c r="D22" i="59"/>
  <c r="Q21" i="59"/>
  <c r="P21" i="59"/>
  <c r="O21" i="59"/>
  <c r="N21" i="59"/>
  <c r="Q20" i="59"/>
  <c r="P20" i="59"/>
  <c r="O20" i="59"/>
  <c r="N20" i="59"/>
  <c r="Q19" i="59"/>
  <c r="P19" i="59"/>
  <c r="O19" i="59"/>
  <c r="N19" i="59"/>
  <c r="Q18" i="59"/>
  <c r="F19" i="59" s="1"/>
  <c r="F20" i="59" s="1"/>
  <c r="F21" i="59" s="1"/>
  <c r="V21" i="59" s="1"/>
  <c r="P18" i="59"/>
  <c r="E19" i="59"/>
  <c r="E20" i="59" s="1"/>
  <c r="E21" i="59" s="1"/>
  <c r="U21" i="59" s="1"/>
  <c r="O18" i="59"/>
  <c r="N18" i="59"/>
  <c r="B19" i="59"/>
  <c r="B20" i="59" s="1"/>
  <c r="B21" i="59" s="1"/>
  <c r="S21" i="59" s="1"/>
  <c r="D18" i="59"/>
  <c r="Q17" i="59"/>
  <c r="P17" i="59"/>
  <c r="O17" i="59"/>
  <c r="Y17" i="59" s="1"/>
  <c r="Z17" i="59" s="1"/>
  <c r="N17" i="59"/>
  <c r="X17" i="59" s="1"/>
  <c r="Q16" i="59"/>
  <c r="P16" i="59"/>
  <c r="O16" i="59"/>
  <c r="Y16" i="59" s="1"/>
  <c r="Z16" i="59" s="1"/>
  <c r="N16" i="59"/>
  <c r="X16" i="59" s="1"/>
  <c r="Q15" i="59"/>
  <c r="P15" i="59"/>
  <c r="O15" i="59"/>
  <c r="Y15" i="59" s="1"/>
  <c r="Z15" i="59" s="1"/>
  <c r="N15" i="59"/>
  <c r="X15" i="59" s="1"/>
  <c r="Q14" i="59"/>
  <c r="F15" i="59" s="1"/>
  <c r="P14" i="59"/>
  <c r="O14" i="59"/>
  <c r="C15" i="59" s="1"/>
  <c r="N14" i="59"/>
  <c r="X14" i="59" s="1"/>
  <c r="D14" i="59"/>
  <c r="X10" i="59"/>
  <c r="X12" i="59"/>
  <c r="Y13" i="59"/>
  <c r="Z13" i="59" s="1"/>
  <c r="E36" i="59"/>
  <c r="E37" i="59" s="1"/>
  <c r="U37" i="59" s="1"/>
  <c r="S53" i="59"/>
  <c r="F16" i="59"/>
  <c r="F17" i="59" s="1"/>
  <c r="V17" i="59" s="1"/>
  <c r="F28" i="59"/>
  <c r="F29" i="59" s="1"/>
  <c r="V29" i="59" s="1"/>
  <c r="F40" i="59"/>
  <c r="F41" i="59" s="1"/>
  <c r="V41" i="59" s="1"/>
  <c r="F44" i="59"/>
  <c r="F45" i="59" s="1"/>
  <c r="V45" i="59" s="1"/>
  <c r="D27" i="59"/>
  <c r="D31" i="59"/>
  <c r="C40" i="59"/>
  <c r="C41" i="59" s="1"/>
  <c r="T41" i="59" s="1"/>
  <c r="D39" i="59"/>
  <c r="N52" i="59"/>
  <c r="B51" i="59"/>
  <c r="T53" i="59"/>
  <c r="O53" i="59"/>
  <c r="U53" i="59"/>
  <c r="E56" i="59"/>
  <c r="E55" i="59" s="1"/>
  <c r="C60" i="59"/>
  <c r="C59" i="59" s="1"/>
  <c r="E60" i="59"/>
  <c r="E59" i="59" s="1"/>
  <c r="C64" i="59"/>
  <c r="E64" i="59"/>
  <c r="E63" i="59"/>
  <c r="C68" i="59"/>
  <c r="U16" i="4"/>
  <c r="S16" i="4"/>
  <c r="Q16" i="4"/>
  <c r="O16" i="4"/>
  <c r="M16" i="4"/>
  <c r="K16" i="4"/>
  <c r="D64" i="59"/>
  <c r="C63" i="59"/>
  <c r="D63" i="59" s="1"/>
  <c r="D60" i="59"/>
  <c r="D59" i="59"/>
  <c r="N50" i="59"/>
  <c r="N51" i="59"/>
  <c r="D40" i="59"/>
  <c r="C29" i="59"/>
  <c r="D28" i="59"/>
  <c r="D41"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C21" i="37"/>
  <c r="D77" i="37"/>
  <c r="E77" i="37" s="1"/>
  <c r="F77" i="37" s="1"/>
  <c r="G77" i="37" s="1"/>
  <c r="Z21" i="34"/>
  <c r="Q21" i="34"/>
  <c r="C21" i="34"/>
  <c r="D84" i="34"/>
  <c r="E84" i="34" s="1"/>
  <c r="F84" i="34" s="1"/>
  <c r="G84" i="34" s="1"/>
  <c r="F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B85" i="46"/>
  <c r="C22" i="20"/>
  <c r="B65" i="46"/>
  <c r="S18" i="36"/>
  <c r="S18" i="35"/>
  <c r="S21" i="21"/>
  <c r="S27" i="40"/>
  <c r="C31" i="39"/>
  <c r="B54" i="46"/>
  <c r="B74"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5" i="57" s="1"/>
  <c r="I12" i="57"/>
  <c r="I9" i="57"/>
  <c r="I8" i="57"/>
  <c r="I7" i="57"/>
  <c r="I6" i="57"/>
  <c r="I5" i="57"/>
  <c r="I4" i="57"/>
  <c r="I10" i="57" s="1"/>
  <c r="I21" i="57" s="1"/>
  <c r="I3" i="57"/>
  <c r="C30" i="57"/>
  <c r="C112" i="9"/>
  <c r="C7" i="11"/>
  <c r="F80" i="46"/>
  <c r="H81" i="46" s="1"/>
  <c r="D1" i="46"/>
  <c r="F113" i="46"/>
  <c r="D99" i="46"/>
  <c r="D100" i="46" s="1"/>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L100" i="46"/>
  <c r="K58" i="46"/>
  <c r="J58" i="46" s="1"/>
  <c r="D58" i="46"/>
  <c r="K50" i="46"/>
  <c r="D83" i="46"/>
  <c r="D77" i="46"/>
  <c r="B83" i="46"/>
  <c r="B82" i="46"/>
  <c r="B71" i="46"/>
  <c r="B60" i="46"/>
  <c r="B49" i="46"/>
  <c r="M87" i="46"/>
  <c r="N87" i="46"/>
  <c r="K87" i="46"/>
  <c r="J87" i="46" s="1"/>
  <c r="D87" i="46"/>
  <c r="M86" i="46"/>
  <c r="D86" i="46"/>
  <c r="K86" i="46"/>
  <c r="J86" i="46" s="1"/>
  <c r="M85" i="46"/>
  <c r="N85" i="46" s="1"/>
  <c r="D85" i="46"/>
  <c r="K85" i="46"/>
  <c r="J85" i="46" s="1"/>
  <c r="M84" i="46"/>
  <c r="N84" i="46"/>
  <c r="K84" i="46"/>
  <c r="J84" i="46" s="1"/>
  <c r="M83" i="46"/>
  <c r="N83" i="46"/>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c r="D74" i="46"/>
  <c r="M73" i="46"/>
  <c r="D73" i="46"/>
  <c r="K73" i="46"/>
  <c r="J73" i="46" s="1"/>
  <c r="M72" i="46"/>
  <c r="N72" i="46" s="1"/>
  <c r="K72" i="46"/>
  <c r="J72" i="46" s="1"/>
  <c r="D72" i="46"/>
  <c r="M71" i="46"/>
  <c r="N71" i="46" s="1"/>
  <c r="K71" i="46"/>
  <c r="J71" i="46"/>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M50" i="46"/>
  <c r="N50" i="46"/>
  <c r="M49" i="46"/>
  <c r="N49" i="46" s="1"/>
  <c r="K49" i="46"/>
  <c r="J49" i="46"/>
  <c r="D49" i="46"/>
  <c r="M48" i="46"/>
  <c r="N48" i="46" s="1"/>
  <c r="K48" i="46"/>
  <c r="J48" i="46" s="1"/>
  <c r="D48" i="46"/>
  <c r="M47" i="46"/>
  <c r="N47" i="46"/>
  <c r="K47" i="46"/>
  <c r="J47" i="46"/>
  <c r="D47" i="46"/>
  <c r="J51" i="46"/>
  <c r="D51" i="46"/>
  <c r="D55" i="46"/>
  <c r="N86"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A155" i="3" s="1"/>
  <c r="AZ155" i="3" s="1"/>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A269" i="3" s="1"/>
  <c r="AZ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I59" i="40" s="1"/>
  <c r="C59" i="40" s="1"/>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09" i="9"/>
  <c r="C145" i="21"/>
  <c r="K139" i="21" s="1"/>
  <c r="J142" i="21"/>
  <c r="J140" i="21"/>
  <c r="K145" i="21" s="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c r="R43" i="31"/>
  <c r="S43" i="31" s="1"/>
  <c r="R44" i="31"/>
  <c r="S44" i="31" s="1"/>
  <c r="R45" i="31"/>
  <c r="R46" i="31"/>
  <c r="S46" i="31"/>
  <c r="R47" i="31"/>
  <c r="R48" i="31"/>
  <c r="S48" i="31" s="1"/>
  <c r="R49" i="31"/>
  <c r="R50" i="31"/>
  <c r="S50" i="31" s="1"/>
  <c r="R51" i="31"/>
  <c r="R52" i="31"/>
  <c r="S52" i="31" s="1"/>
  <c r="R53" i="31"/>
  <c r="R54" i="31"/>
  <c r="S54" i="31"/>
  <c r="R55" i="31"/>
  <c r="R56" i="31"/>
  <c r="S56" i="31" s="1"/>
  <c r="R57" i="31"/>
  <c r="R58" i="31"/>
  <c r="S58" i="31"/>
  <c r="R59" i="31"/>
  <c r="R60" i="31"/>
  <c r="S60" i="31" s="1"/>
  <c r="R61" i="31"/>
  <c r="R62" i="31"/>
  <c r="S62" i="31"/>
  <c r="R63" i="31"/>
  <c r="R64" i="31"/>
  <c r="S64" i="31" s="1"/>
  <c r="R65" i="31"/>
  <c r="R66" i="31"/>
  <c r="S66" i="31" s="1"/>
  <c r="R67" i="31"/>
  <c r="R68" i="31"/>
  <c r="S68" i="31" s="1"/>
  <c r="R69" i="31"/>
  <c r="S69" i="31" s="1"/>
  <c r="R70" i="31"/>
  <c r="S70" i="31"/>
  <c r="R71" i="31"/>
  <c r="R72" i="31"/>
  <c r="S72" i="31" s="1"/>
  <c r="R73" i="31"/>
  <c r="R74" i="31"/>
  <c r="S74" i="31"/>
  <c r="R75" i="31"/>
  <c r="S75" i="31" s="1"/>
  <c r="R76" i="31"/>
  <c r="S76" i="31" s="1"/>
  <c r="R77" i="31"/>
  <c r="R78" i="31"/>
  <c r="S78" i="31"/>
  <c r="R79" i="31"/>
  <c r="R80" i="31"/>
  <c r="S80" i="31" s="1"/>
  <c r="R81" i="31"/>
  <c r="R82" i="31"/>
  <c r="S82" i="31" s="1"/>
  <c r="R83" i="31"/>
  <c r="R84" i="31"/>
  <c r="S84" i="31" s="1"/>
  <c r="R85" i="31"/>
  <c r="R86" i="31"/>
  <c r="S86" i="31"/>
  <c r="R87" i="31"/>
  <c r="R88" i="31"/>
  <c r="S88" i="31" s="1"/>
  <c r="R89" i="31"/>
  <c r="R90" i="31"/>
  <c r="S90" i="31"/>
  <c r="R91" i="31"/>
  <c r="R92" i="31"/>
  <c r="S92" i="31" s="1"/>
  <c r="R93" i="31"/>
  <c r="R94" i="31"/>
  <c r="S94" i="31"/>
  <c r="R95" i="31"/>
  <c r="R96" i="31"/>
  <c r="S96" i="31" s="1"/>
  <c r="R97" i="31"/>
  <c r="R98" i="31"/>
  <c r="S98" i="31" s="1"/>
  <c r="R99" i="31"/>
  <c r="R100" i="31"/>
  <c r="S100" i="31" s="1"/>
  <c r="R101" i="31"/>
  <c r="S101" i="31" s="1"/>
  <c r="R102" i="31"/>
  <c r="S102" i="3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c r="R209" i="31"/>
  <c r="S209" i="31" s="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c r="R451" i="31"/>
  <c r="S451" i="31" s="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S497" i="31" s="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c r="R513" i="31"/>
  <c r="S513" i="31" s="1"/>
  <c r="R514" i="31"/>
  <c r="S514" i="31" s="1"/>
  <c r="R515" i="31"/>
  <c r="R516" i="31"/>
  <c r="S516" i="31"/>
  <c r="R517" i="31"/>
  <c r="R518" i="31"/>
  <c r="S518" i="31" s="1"/>
  <c r="R519" i="31"/>
  <c r="R520" i="31"/>
  <c r="S520" i="31" s="1"/>
  <c r="R521" i="31"/>
  <c r="R522" i="31"/>
  <c r="S522" i="31" s="1"/>
  <c r="R523" i="31"/>
  <c r="S523" i="31" s="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7" i="1" s="1"/>
  <c r="AP7" i="1" s="1"/>
  <c r="G19" i="4"/>
  <c r="F8" i="1" s="1"/>
  <c r="AP8" i="1" s="1"/>
  <c r="F9" i="1"/>
  <c r="AP9" i="1" s="1"/>
  <c r="F19" i="4"/>
  <c r="E19" i="4"/>
  <c r="B2" i="52"/>
  <c r="B15" i="52" s="1"/>
  <c r="I2" i="46"/>
  <c r="N12" i="46" s="1"/>
  <c r="A7" i="46"/>
  <c r="F41" i="4"/>
  <c r="J52" i="40"/>
  <c r="H61" i="49"/>
  <c r="H39" i="46"/>
  <c r="H38" i="46"/>
  <c r="H37" i="46"/>
  <c r="H36" i="46"/>
  <c r="H35" i="46"/>
  <c r="H34" i="46"/>
  <c r="H33" i="46"/>
  <c r="G20" i="46"/>
  <c r="E41" i="46" s="1"/>
  <c r="C41" i="46" s="1"/>
  <c r="J20" i="46"/>
  <c r="C18" i="46"/>
  <c r="F15" i="46"/>
  <c r="E15" i="46"/>
  <c r="D15" i="46"/>
  <c r="C15" i="46"/>
  <c r="C10" i="46"/>
  <c r="C11" i="46"/>
  <c r="C9" i="46"/>
  <c r="E22" i="6"/>
  <c r="E23" i="6"/>
  <c r="E24" i="6"/>
  <c r="E25" i="6"/>
  <c r="E26" i="6"/>
  <c r="D38" i="4"/>
  <c r="C39" i="4" s="1"/>
  <c r="C35" i="4"/>
  <c r="E16" i="12"/>
  <c r="F14" i="12"/>
  <c r="F15" i="12"/>
  <c r="F17" i="12"/>
  <c r="E19" i="12"/>
  <c r="E21" i="12"/>
  <c r="E22" i="12"/>
  <c r="F23" i="12"/>
  <c r="F24" i="12"/>
  <c r="F25" i="12"/>
  <c r="I73" i="9"/>
  <c r="F73" i="9"/>
  <c r="P73" i="9" s="1"/>
  <c r="D107" i="9"/>
  <c r="C107" i="9" s="1"/>
  <c r="C105" i="9" s="1"/>
  <c r="C17" i="9"/>
  <c r="D17" i="9"/>
  <c r="C18" i="9" s="1"/>
  <c r="D18" i="9" s="1"/>
  <c r="M44" i="9" s="1"/>
  <c r="F17" i="44"/>
  <c r="F19" i="44"/>
  <c r="F22" i="44"/>
  <c r="F25" i="44"/>
  <c r="D25" i="44" s="1"/>
  <c r="F23" i="44"/>
  <c r="E16" i="43"/>
  <c r="F14" i="43"/>
  <c r="F15" i="43"/>
  <c r="F17" i="43"/>
  <c r="F19" i="43"/>
  <c r="F20" i="43"/>
  <c r="F10" i="40"/>
  <c r="AA10" i="40"/>
  <c r="F11" i="40"/>
  <c r="AA11" i="40" s="1"/>
  <c r="C21" i="40"/>
  <c r="C32" i="40"/>
  <c r="F36" i="40"/>
  <c r="AA36" i="40" s="1"/>
  <c r="H10" i="40"/>
  <c r="AB10" i="40"/>
  <c r="H11" i="40"/>
  <c r="H36" i="40"/>
  <c r="AB36" i="40" s="1"/>
  <c r="J10" i="40"/>
  <c r="AC10" i="40" s="1"/>
  <c r="J11" i="40"/>
  <c r="AC11" i="40" s="1"/>
  <c r="J36" i="40"/>
  <c r="AC36" i="40" s="1"/>
  <c r="F10" i="39"/>
  <c r="AA10" i="39" s="1"/>
  <c r="F11" i="39"/>
  <c r="AA11" i="39" s="1"/>
  <c r="C25" i="39"/>
  <c r="F36" i="39"/>
  <c r="F40" i="39"/>
  <c r="AA40" i="39" s="1"/>
  <c r="H10" i="39"/>
  <c r="AB10" i="39" s="1"/>
  <c r="H11" i="39"/>
  <c r="AB11" i="39" s="1"/>
  <c r="H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53" i="31"/>
  <c r="S51" i="31"/>
  <c r="S49" i="31"/>
  <c r="S47" i="31"/>
  <c r="S45" i="31"/>
  <c r="S41" i="31"/>
  <c r="S39" i="31"/>
  <c r="S37" i="31"/>
  <c r="S35" i="31"/>
  <c r="S33" i="31"/>
  <c r="S77" i="31"/>
  <c r="S73" i="31"/>
  <c r="S71" i="31"/>
  <c r="S67" i="31"/>
  <c r="S65" i="31"/>
  <c r="S63" i="31"/>
  <c r="S61" i="31"/>
  <c r="S59" i="31"/>
  <c r="S57" i="31"/>
  <c r="S55" i="31"/>
  <c r="S24" i="31"/>
  <c r="S97" i="31"/>
  <c r="S95" i="31"/>
  <c r="S93" i="31"/>
  <c r="S91" i="31"/>
  <c r="S89" i="31"/>
  <c r="S87" i="31"/>
  <c r="S85" i="31"/>
  <c r="S83" i="31"/>
  <c r="S81" i="31"/>
  <c r="S79" i="31"/>
  <c r="S31" i="31"/>
  <c r="S29" i="31"/>
  <c r="S99" i="31"/>
  <c r="S103" i="31"/>
  <c r="S105" i="31"/>
  <c r="S107" i="31"/>
  <c r="S109" i="31"/>
  <c r="S111" i="31"/>
  <c r="S445" i="31"/>
  <c r="S447" i="31"/>
  <c r="S449" i="31"/>
  <c r="S507" i="31"/>
  <c r="S509"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A493" i="3" s="1"/>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N5" i="3" s="1"/>
  <c r="G29" i="6" s="1"/>
  <c r="BO495" i="3"/>
  <c r="BP495" i="3"/>
  <c r="BQ495" i="3"/>
  <c r="BR495" i="3"/>
  <c r="BR5" i="3" s="1"/>
  <c r="BS495" i="3"/>
  <c r="BT495" i="3"/>
  <c r="H496" i="3"/>
  <c r="AC496" i="3"/>
  <c r="BB496" i="3"/>
  <c r="BC496" i="3"/>
  <c r="BD496" i="3"/>
  <c r="BE496" i="3"/>
  <c r="BA496" i="3" s="1"/>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O5" i="3" s="1"/>
  <c r="BP499" i="3"/>
  <c r="BQ499" i="3"/>
  <c r="BR499" i="3"/>
  <c r="BS499" i="3"/>
  <c r="BT499" i="3"/>
  <c r="H500" i="3"/>
  <c r="AC500" i="3"/>
  <c r="BB500" i="3"/>
  <c r="BC500" i="3"/>
  <c r="BD500" i="3"/>
  <c r="BE500" i="3"/>
  <c r="BF500" i="3"/>
  <c r="BG500" i="3"/>
  <c r="BH500" i="3"/>
  <c r="BI500" i="3"/>
  <c r="BJ500" i="3"/>
  <c r="BK500" i="3"/>
  <c r="BM500" i="3"/>
  <c r="BN500" i="3"/>
  <c r="BO500" i="3"/>
  <c r="BL500" i="3" s="1"/>
  <c r="BP500" i="3"/>
  <c r="BR500" i="3"/>
  <c r="BS500" i="3"/>
  <c r="BT500" i="3"/>
  <c r="H501" i="3"/>
  <c r="AC501" i="3"/>
  <c r="BB501" i="3"/>
  <c r="BC501" i="3"/>
  <c r="BC5"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L504" i="3" s="1"/>
  <c r="BP504" i="3"/>
  <c r="BR504" i="3"/>
  <c r="BS504" i="3"/>
  <c r="BT504" i="3"/>
  <c r="H505" i="3"/>
  <c r="G505" i="3" s="1"/>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A508" i="3" s="1"/>
  <c r="BF508" i="3"/>
  <c r="BG508" i="3"/>
  <c r="BH508" i="3"/>
  <c r="BI508" i="3"/>
  <c r="BJ508" i="3"/>
  <c r="BK508" i="3"/>
  <c r="BM508" i="3"/>
  <c r="BN508" i="3"/>
  <c r="BL508" i="3" s="1"/>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L513" i="3" s="1"/>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A518" i="3" s="1"/>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A541" i="3" s="1"/>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A554" i="3" s="1"/>
  <c r="BD554" i="3"/>
  <c r="BE554" i="3"/>
  <c r="BF554" i="3"/>
  <c r="BG554" i="3"/>
  <c r="BH554" i="3"/>
  <c r="BI554" i="3"/>
  <c r="BJ554" i="3"/>
  <c r="BK554" i="3"/>
  <c r="BM554" i="3"/>
  <c r="BN554" i="3"/>
  <c r="BO554" i="3"/>
  <c r="BP554" i="3"/>
  <c r="BL554" i="3" s="1"/>
  <c r="AZ554" i="3" s="1"/>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L558" i="3" s="1"/>
  <c r="BO558" i="3"/>
  <c r="BP558" i="3"/>
  <c r="BR558" i="3"/>
  <c r="BS558" i="3"/>
  <c r="BT558" i="3"/>
  <c r="H559" i="3"/>
  <c r="AC559" i="3"/>
  <c r="G559" i="3"/>
  <c r="BB559" i="3"/>
  <c r="BC559" i="3"/>
  <c r="BD559" i="3"/>
  <c r="BE559" i="3"/>
  <c r="BA559" i="3" s="1"/>
  <c r="AZ559" i="3" s="1"/>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L560" i="3" s="1"/>
  <c r="BO560" i="3"/>
  <c r="BP560" i="3"/>
  <c r="BR560" i="3"/>
  <c r="BS560" i="3"/>
  <c r="BT560" i="3"/>
  <c r="H561" i="3"/>
  <c r="AC561" i="3"/>
  <c r="BB561" i="3"/>
  <c r="BC561" i="3"/>
  <c r="BD561" i="3"/>
  <c r="BE561" i="3"/>
  <c r="BF561" i="3"/>
  <c r="BG561" i="3"/>
  <c r="BH561" i="3"/>
  <c r="BI561" i="3"/>
  <c r="BJ561" i="3"/>
  <c r="BK561" i="3"/>
  <c r="BM561" i="3"/>
  <c r="BN561" i="3"/>
  <c r="BO561" i="3"/>
  <c r="BL561" i="3" s="1"/>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A566" i="3" s="1"/>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c r="H26" i="35" s="1"/>
  <c r="AB26"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U42" i="34" s="1"/>
  <c r="J42" i="34"/>
  <c r="F42" i="34"/>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H35" i="40" s="1"/>
  <c r="AB35" i="40" s="1"/>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E92" i="40" s="1"/>
  <c r="F92" i="40" s="1"/>
  <c r="G92" i="40" s="1"/>
  <c r="D90" i="40"/>
  <c r="H21" i="40"/>
  <c r="AB21" i="40" s="1"/>
  <c r="D88" i="40"/>
  <c r="E88" i="40" s="1"/>
  <c r="D86" i="40"/>
  <c r="E86" i="40" s="1"/>
  <c r="F86" i="40" s="1"/>
  <c r="G86" i="40" s="1"/>
  <c r="J17" i="40"/>
  <c r="B83" i="40"/>
  <c r="F16" i="40"/>
  <c r="AA16" i="40" s="1"/>
  <c r="B81" i="40"/>
  <c r="H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D103" i="39"/>
  <c r="D101" i="39"/>
  <c r="E101" i="39" s="1"/>
  <c r="F101" i="39" s="1"/>
  <c r="G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D124" i="39"/>
  <c r="H42" i="39" s="1"/>
  <c r="B106" i="39"/>
  <c r="H33" i="39" s="1"/>
  <c r="U33" i="39" s="1"/>
  <c r="D99" i="39"/>
  <c r="E99" i="39" s="1"/>
  <c r="D97" i="39"/>
  <c r="D95" i="39"/>
  <c r="E95" i="39" s="1"/>
  <c r="F95" i="39" s="1"/>
  <c r="G95" i="39" s="1"/>
  <c r="D93" i="39"/>
  <c r="E93" i="39" s="1"/>
  <c r="F93" i="39" s="1"/>
  <c r="D91" i="39"/>
  <c r="E91" i="39" s="1"/>
  <c r="B88" i="39"/>
  <c r="B86" i="39"/>
  <c r="B84" i="39"/>
  <c r="F14" i="39" s="1"/>
  <c r="AA14" i="39" s="1"/>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c r="Q23" i="39"/>
  <c r="Z23" i="39" s="1"/>
  <c r="Q21" i="39"/>
  <c r="Z21" i="39" s="1"/>
  <c r="Q19" i="39"/>
  <c r="Z19" i="39" s="1"/>
  <c r="Q17" i="39"/>
  <c r="Z17" i="39" s="1"/>
  <c r="Q16" i="39"/>
  <c r="Z16" i="39" s="1"/>
  <c r="Q15" i="39"/>
  <c r="Z15" i="39"/>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J38" i="37" s="1"/>
  <c r="C23" i="37"/>
  <c r="C19" i="37"/>
  <c r="C17" i="37"/>
  <c r="C15" i="37"/>
  <c r="B112" i="37"/>
  <c r="D107" i="37"/>
  <c r="E107" i="37" s="1"/>
  <c r="D105" i="37"/>
  <c r="E105" i="37" s="1"/>
  <c r="H36" i="37"/>
  <c r="U36" i="37" s="1"/>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c r="F73" i="37" s="1"/>
  <c r="G73" i="37" s="1"/>
  <c r="D71" i="37"/>
  <c r="E71" i="37"/>
  <c r="F71" i="37" s="1"/>
  <c r="G71" i="37" s="1"/>
  <c r="F15" i="37"/>
  <c r="AA15" i="37"/>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c r="Q17" i="37"/>
  <c r="Z17" i="37" s="1"/>
  <c r="Q15" i="37"/>
  <c r="Z15" i="37"/>
  <c r="Q14" i="37"/>
  <c r="Z14" i="37" s="1"/>
  <c r="Q13" i="37"/>
  <c r="Z13" i="37" s="1"/>
  <c r="Q12" i="37"/>
  <c r="Z12" i="37" s="1"/>
  <c r="Q11" i="37"/>
  <c r="Z11" i="37" s="1"/>
  <c r="Q10" i="37"/>
  <c r="Z10" i="37" s="1"/>
  <c r="F10" i="37"/>
  <c r="AA10" i="37"/>
  <c r="Q9" i="37"/>
  <c r="Z9" i="37" s="1"/>
  <c r="J8" i="37"/>
  <c r="W8" i="37"/>
  <c r="H8" i="37"/>
  <c r="AB8" i="37" s="1"/>
  <c r="F8" i="37"/>
  <c r="C7" i="37"/>
  <c r="J31" i="36"/>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c r="B71" i="36"/>
  <c r="D70" i="36"/>
  <c r="H22" i="36"/>
  <c r="AB22" i="36" s="1"/>
  <c r="D68" i="36"/>
  <c r="E68" i="36" s="1"/>
  <c r="D64" i="36"/>
  <c r="E64" i="36" s="1"/>
  <c r="F64" i="36" s="1"/>
  <c r="G64" i="36" s="1"/>
  <c r="J16" i="36"/>
  <c r="D62" i="36"/>
  <c r="E62" i="36"/>
  <c r="B59" i="36"/>
  <c r="B57" i="36"/>
  <c r="J12" i="36" s="1"/>
  <c r="B55" i="36"/>
  <c r="J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F27" i="35"/>
  <c r="AA27" i="35"/>
  <c r="J22" i="35"/>
  <c r="AC22" i="35" s="1"/>
  <c r="B101" i="35"/>
  <c r="H36" i="35"/>
  <c r="B99" i="35"/>
  <c r="B97" i="35"/>
  <c r="J34" i="35" s="1"/>
  <c r="AC34" i="35" s="1"/>
  <c r="B77" i="35"/>
  <c r="B75" i="35"/>
  <c r="J24" i="35" s="1"/>
  <c r="B73" i="35"/>
  <c r="B57" i="35"/>
  <c r="B61" i="35"/>
  <c r="B59" i="35"/>
  <c r="B131" i="34"/>
  <c r="H47" i="34" s="1"/>
  <c r="U47" i="34" s="1"/>
  <c r="B129" i="34"/>
  <c r="B127" i="34"/>
  <c r="H45" i="34" s="1"/>
  <c r="B99" i="34"/>
  <c r="B97" i="34"/>
  <c r="J31" i="34" s="1"/>
  <c r="AC31" i="34" s="1"/>
  <c r="B95" i="34"/>
  <c r="B93" i="34"/>
  <c r="J29" i="34" s="1"/>
  <c r="B75" i="34"/>
  <c r="B73" i="34"/>
  <c r="H13" i="34" s="1"/>
  <c r="U13" i="34" s="1"/>
  <c r="B71" i="34"/>
  <c r="B130" i="33"/>
  <c r="J46" i="33" s="1"/>
  <c r="B128" i="33"/>
  <c r="J45" i="33" s="1"/>
  <c r="W45" i="33" s="1"/>
  <c r="H45" i="33"/>
  <c r="U45" i="33" s="1"/>
  <c r="B126" i="33"/>
  <c r="H44" i="33" s="1"/>
  <c r="AB44" i="33" s="1"/>
  <c r="B98" i="33"/>
  <c r="F31" i="33"/>
  <c r="AA31" i="33" s="1"/>
  <c r="B96" i="33"/>
  <c r="B94" i="33"/>
  <c r="B74" i="33"/>
  <c r="B72" i="33"/>
  <c r="F13" i="33" s="1"/>
  <c r="AA13" i="33" s="1"/>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W36" i="35" s="1"/>
  <c r="AC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H9" i="34"/>
  <c r="AB9" i="34"/>
  <c r="F9" i="34"/>
  <c r="AA9" i="34" s="1"/>
  <c r="J8" i="34"/>
  <c r="AC8" i="34"/>
  <c r="H8" i="34"/>
  <c r="F8" i="34"/>
  <c r="AA8" i="34"/>
  <c r="C7" i="34"/>
  <c r="C59" i="34" s="1"/>
  <c r="D59" i="34" s="1"/>
  <c r="E59"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Q11" i="33"/>
  <c r="Z11" i="33" s="1"/>
  <c r="Q10" i="33"/>
  <c r="Z10" i="33" s="1"/>
  <c r="Q9" i="33"/>
  <c r="Z9" i="33" s="1"/>
  <c r="J9" i="33"/>
  <c r="AC9" i="33" s="1"/>
  <c r="F9" i="33"/>
  <c r="AA9" i="33" s="1"/>
  <c r="J8" i="33"/>
  <c r="W8" i="33" s="1"/>
  <c r="H8" i="33"/>
  <c r="F8" i="33"/>
  <c r="C7" i="33"/>
  <c r="C58" i="33" s="1"/>
  <c r="D58" i="33" s="1"/>
  <c r="M102" i="21"/>
  <c r="D102" i="21"/>
  <c r="E102" i="21"/>
  <c r="F102" i="21"/>
  <c r="G102" i="21"/>
  <c r="H102" i="21"/>
  <c r="I102" i="21"/>
  <c r="J102" i="21"/>
  <c r="K102" i="21"/>
  <c r="L102" i="21"/>
  <c r="C102" i="21"/>
  <c r="C63" i="21"/>
  <c r="J9" i="21" s="1"/>
  <c r="AC9" i="21" s="1"/>
  <c r="G18" i="20"/>
  <c r="B87" i="46" s="1"/>
  <c r="C25" i="40"/>
  <c r="G16" i="20"/>
  <c r="B81" i="46" s="1"/>
  <c r="G15" i="20"/>
  <c r="B80" i="46" s="1"/>
  <c r="C24" i="20"/>
  <c r="B72" i="46" s="1"/>
  <c r="C21" i="20"/>
  <c r="B73" i="46" s="1"/>
  <c r="C20" i="20"/>
  <c r="B76" i="46" s="1"/>
  <c r="C18" i="20"/>
  <c r="B70" i="46" s="1"/>
  <c r="C17" i="20"/>
  <c r="B58" i="46"/>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AC28" i="21" s="1"/>
  <c r="B90" i="21"/>
  <c r="B74" i="21"/>
  <c r="B72" i="21"/>
  <c r="B70" i="21"/>
  <c r="F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s="1"/>
  <c r="AA8" i="21"/>
  <c r="E13" i="11"/>
  <c r="E12" i="11"/>
  <c r="BB12" i="3"/>
  <c r="F9" i="12"/>
  <c r="G9" i="12"/>
  <c r="K5" i="3"/>
  <c r="G20" i="6" s="1"/>
  <c r="B37" i="9" s="1"/>
  <c r="E37"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B38" i="9" s="1"/>
  <c r="E38" i="9" s="1"/>
  <c r="N5" i="3"/>
  <c r="O5" i="3"/>
  <c r="P5" i="3"/>
  <c r="Q5" i="3"/>
  <c r="R5" i="3"/>
  <c r="S5" i="3"/>
  <c r="T5" i="3"/>
  <c r="U5" i="3"/>
  <c r="V5" i="3"/>
  <c r="W5" i="3"/>
  <c r="X5" i="3"/>
  <c r="Y5" i="3"/>
  <c r="Z5" i="3"/>
  <c r="AA5" i="3"/>
  <c r="AB5" i="3"/>
  <c r="H570" i="3"/>
  <c r="G570" i="3"/>
  <c r="H571" i="3"/>
  <c r="G571" i="3" s="1"/>
  <c r="H572" i="3"/>
  <c r="F5" i="3"/>
  <c r="G27" i="6"/>
  <c r="F34" i="21"/>
  <c r="H34" i="21"/>
  <c r="U34" i="21" s="1"/>
  <c r="F43" i="21"/>
  <c r="S43" i="21" s="1"/>
  <c r="H38" i="21"/>
  <c r="AB38" i="21" s="1"/>
  <c r="H43" i="21"/>
  <c r="AB43" i="21" s="1"/>
  <c r="F32" i="21"/>
  <c r="F38" i="21"/>
  <c r="F36" i="21"/>
  <c r="F39" i="21"/>
  <c r="AA39" i="21" s="1"/>
  <c r="J40" i="21"/>
  <c r="H35" i="21"/>
  <c r="AB35" i="21" s="1"/>
  <c r="J8" i="21"/>
  <c r="H8" i="21"/>
  <c r="H9" i="21"/>
  <c r="AB9" i="21"/>
  <c r="H10" i="21"/>
  <c r="U10" i="21"/>
  <c r="H39" i="21"/>
  <c r="AB39" i="21"/>
  <c r="J34" i="21"/>
  <c r="W34" i="21"/>
  <c r="H36" i="21"/>
  <c r="AB36" i="21" s="1"/>
  <c r="U36" i="21"/>
  <c r="F35" i="21"/>
  <c r="AA35" i="21"/>
  <c r="J33" i="21"/>
  <c r="W33" i="21"/>
  <c r="H33" i="21"/>
  <c r="U33" i="21"/>
  <c r="F33" i="21"/>
  <c r="J10" i="21"/>
  <c r="AC10" i="21" s="1"/>
  <c r="H26" i="21"/>
  <c r="F19" i="21"/>
  <c r="AA19" i="21"/>
  <c r="H19" i="21"/>
  <c r="J19" i="21"/>
  <c r="W19" i="21" s="1"/>
  <c r="H12" i="21"/>
  <c r="U12" i="21" s="1"/>
  <c r="J26" i="21"/>
  <c r="W26" i="21" s="1"/>
  <c r="F26" i="21"/>
  <c r="AA26" i="21" s="1"/>
  <c r="AB41" i="21"/>
  <c r="S41" i="21"/>
  <c r="S10" i="39"/>
  <c r="U30" i="37"/>
  <c r="F39" i="37"/>
  <c r="S39" i="37" s="1"/>
  <c r="W39" i="37"/>
  <c r="F29" i="36"/>
  <c r="AA29" i="36" s="1"/>
  <c r="F16" i="36"/>
  <c r="AA16" i="36"/>
  <c r="U26" i="36"/>
  <c r="J33" i="36"/>
  <c r="W33" i="36" s="1"/>
  <c r="AC27" i="35"/>
  <c r="U31" i="35"/>
  <c r="S31" i="35"/>
  <c r="W31" i="35"/>
  <c r="F36" i="34"/>
  <c r="S36" i="34" s="1"/>
  <c r="W39" i="34"/>
  <c r="H39" i="33"/>
  <c r="AB39" i="33" s="1"/>
  <c r="U33" i="33"/>
  <c r="W33" i="33"/>
  <c r="H39" i="37"/>
  <c r="S10" i="40"/>
  <c r="W10" i="40"/>
  <c r="S11" i="40"/>
  <c r="S36" i="40"/>
  <c r="U36" i="40"/>
  <c r="S40" i="39"/>
  <c r="F11" i="21"/>
  <c r="S11" i="21" s="1"/>
  <c r="AC35" i="21"/>
  <c r="C29" i="39"/>
  <c r="H32" i="33"/>
  <c r="H11" i="21"/>
  <c r="U11" i="21" s="1"/>
  <c r="J11" i="21"/>
  <c r="W11" i="21" s="1"/>
  <c r="U9" i="21"/>
  <c r="J27" i="36"/>
  <c r="W27" i="36" s="1"/>
  <c r="J30" i="35"/>
  <c r="W30" i="35" s="1"/>
  <c r="F22" i="35"/>
  <c r="H10" i="35"/>
  <c r="U10" i="35" s="1"/>
  <c r="U24" i="36"/>
  <c r="F85" i="36"/>
  <c r="G85" i="36" s="1"/>
  <c r="H85" i="36" s="1"/>
  <c r="I85" i="36" s="1"/>
  <c r="J85" i="36" s="1"/>
  <c r="K85" i="36" s="1"/>
  <c r="L85" i="36" s="1"/>
  <c r="M85" i="36" s="1"/>
  <c r="J29" i="36"/>
  <c r="AC29" i="36" s="1"/>
  <c r="F12" i="36"/>
  <c r="S12" i="36" s="1"/>
  <c r="F24" i="36"/>
  <c r="AA24" i="36" s="1"/>
  <c r="H16" i="35"/>
  <c r="U16" i="35" s="1"/>
  <c r="H33" i="35"/>
  <c r="AB33" i="35" s="1"/>
  <c r="F35" i="37"/>
  <c r="E101" i="37"/>
  <c r="F101" i="37"/>
  <c r="G101" i="37" s="1"/>
  <c r="H101" i="37" s="1"/>
  <c r="I101" i="37" s="1"/>
  <c r="J101" i="37" s="1"/>
  <c r="K101" i="37" s="1"/>
  <c r="L101" i="37" s="1"/>
  <c r="M101" i="37" s="1"/>
  <c r="J34" i="37"/>
  <c r="W34" i="37" s="1"/>
  <c r="AA39" i="37"/>
  <c r="H43" i="34"/>
  <c r="E114" i="34"/>
  <c r="F114" i="34" s="1"/>
  <c r="G114" i="34" s="1"/>
  <c r="H114" i="34" s="1"/>
  <c r="I114" i="34" s="1"/>
  <c r="J114" i="34" s="1"/>
  <c r="K114" i="34" s="1"/>
  <c r="L114" i="34" s="1"/>
  <c r="M114" i="34" s="1"/>
  <c r="H36" i="34"/>
  <c r="U36" i="34" s="1"/>
  <c r="F37" i="34"/>
  <c r="AA37" i="34" s="1"/>
  <c r="F33" i="34"/>
  <c r="S33" i="34" s="1"/>
  <c r="AA28" i="34"/>
  <c r="F19" i="34"/>
  <c r="AA19" i="34" s="1"/>
  <c r="J10" i="34"/>
  <c r="AC10" i="34"/>
  <c r="U9" i="34"/>
  <c r="W8" i="34"/>
  <c r="J28" i="34"/>
  <c r="W28" i="34"/>
  <c r="E113" i="33"/>
  <c r="F113" i="33" s="1"/>
  <c r="G113" i="33" s="1"/>
  <c r="H113" i="33" s="1"/>
  <c r="I113" i="33" s="1"/>
  <c r="J113" i="33" s="1"/>
  <c r="K113" i="33" s="1"/>
  <c r="L113" i="33" s="1"/>
  <c r="M113" i="33" s="1"/>
  <c r="F36" i="33"/>
  <c r="S36" i="33" s="1"/>
  <c r="F19" i="33"/>
  <c r="S19" i="33"/>
  <c r="J19" i="33"/>
  <c r="W19" i="33" s="1"/>
  <c r="H29" i="35"/>
  <c r="U29" i="35" s="1"/>
  <c r="S34" i="37"/>
  <c r="AB42" i="34"/>
  <c r="AB40" i="34"/>
  <c r="J19" i="34"/>
  <c r="AC19" i="34" s="1"/>
  <c r="H37" i="33"/>
  <c r="AB37" i="33" s="1"/>
  <c r="S37" i="33"/>
  <c r="AC42" i="34"/>
  <c r="W42" i="34"/>
  <c r="AA42" i="34"/>
  <c r="S42" i="34"/>
  <c r="AA38" i="34"/>
  <c r="S38" i="34"/>
  <c r="J37" i="33"/>
  <c r="W37" i="33" s="1"/>
  <c r="J42" i="21"/>
  <c r="J44" i="34"/>
  <c r="AC44" i="34" s="1"/>
  <c r="F44" i="34"/>
  <c r="S44" i="34" s="1"/>
  <c r="J10" i="35"/>
  <c r="W10" i="35" s="1"/>
  <c r="AL5" i="3"/>
  <c r="BQ13" i="3"/>
  <c r="J14" i="21"/>
  <c r="W14" i="21" s="1"/>
  <c r="H30" i="21"/>
  <c r="F30" i="21"/>
  <c r="S30" i="21" s="1"/>
  <c r="J30" i="21"/>
  <c r="AC30" i="21" s="1"/>
  <c r="H28" i="33"/>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J13" i="21"/>
  <c r="AC13" i="21" s="1"/>
  <c r="H27" i="21"/>
  <c r="AB27" i="21" s="1"/>
  <c r="H29" i="21"/>
  <c r="U29" i="21"/>
  <c r="F45" i="21"/>
  <c r="S13" i="33"/>
  <c r="J29" i="33"/>
  <c r="W29" i="33" s="1"/>
  <c r="J31" i="33"/>
  <c r="AC31" i="33"/>
  <c r="H31" i="33"/>
  <c r="F45" i="33"/>
  <c r="S45" i="33" s="1"/>
  <c r="F11" i="35"/>
  <c r="S11" i="35" s="1"/>
  <c r="H28" i="36"/>
  <c r="U28" i="36" s="1"/>
  <c r="J32" i="36"/>
  <c r="AC32" i="36" s="1"/>
  <c r="W11" i="36"/>
  <c r="H13" i="36"/>
  <c r="AB13" i="36" s="1"/>
  <c r="J13" i="36"/>
  <c r="W13" i="36"/>
  <c r="F13" i="36"/>
  <c r="S13" i="36" s="1"/>
  <c r="E89" i="37"/>
  <c r="F89" i="37" s="1"/>
  <c r="G89" i="37" s="1"/>
  <c r="H89" i="37" s="1"/>
  <c r="I89" i="37" s="1"/>
  <c r="J89" i="37" s="1"/>
  <c r="K89" i="37" s="1"/>
  <c r="L89" i="37" s="1"/>
  <c r="M89" i="37" s="1"/>
  <c r="J29" i="37"/>
  <c r="W29" i="37" s="1"/>
  <c r="F29" i="37"/>
  <c r="AA29" i="37" s="1"/>
  <c r="F105" i="37"/>
  <c r="G105" i="37" s="1"/>
  <c r="AB36" i="37"/>
  <c r="F107" i="37"/>
  <c r="J37" i="37"/>
  <c r="H37" i="37"/>
  <c r="U37" i="37" s="1"/>
  <c r="H14" i="33"/>
  <c r="U14" i="33" s="1"/>
  <c r="F14" i="33"/>
  <c r="AA14" i="33" s="1"/>
  <c r="J14" i="33"/>
  <c r="AC14" i="33" s="1"/>
  <c r="J30" i="33"/>
  <c r="AC30" i="33" s="1"/>
  <c r="U44" i="33"/>
  <c r="AC46" i="33"/>
  <c r="AC29" i="34"/>
  <c r="U45" i="34"/>
  <c r="F13" i="35"/>
  <c r="S13" i="35" s="1"/>
  <c r="J13" i="35"/>
  <c r="AC13" i="35"/>
  <c r="H13" i="35"/>
  <c r="J25" i="35"/>
  <c r="AC25" i="35"/>
  <c r="F25" i="35"/>
  <c r="AA25" i="35" s="1"/>
  <c r="H25" i="35"/>
  <c r="AB25" i="35"/>
  <c r="J35" i="35"/>
  <c r="AC35" i="35" s="1"/>
  <c r="J25" i="36"/>
  <c r="W25" i="36"/>
  <c r="F25" i="36"/>
  <c r="AA25" i="36"/>
  <c r="H25" i="36"/>
  <c r="AB25" i="36"/>
  <c r="H13" i="37"/>
  <c r="AB13" i="37"/>
  <c r="F13" i="37"/>
  <c r="S13" i="37"/>
  <c r="J13" i="37"/>
  <c r="AC13" i="37"/>
  <c r="J28" i="37"/>
  <c r="AC28" i="37" s="1"/>
  <c r="H38" i="37"/>
  <c r="AB38" i="37"/>
  <c r="AC38" i="37"/>
  <c r="F38" i="37"/>
  <c r="F27" i="37"/>
  <c r="AA27" i="37"/>
  <c r="J27" i="37"/>
  <c r="W35" i="35"/>
  <c r="W46" i="33"/>
  <c r="J36" i="37"/>
  <c r="AC36" i="37"/>
  <c r="AB28" i="36"/>
  <c r="W30" i="21"/>
  <c r="W31" i="34"/>
  <c r="AC13" i="36"/>
  <c r="AB45" i="33"/>
  <c r="S19" i="21"/>
  <c r="G521" i="3"/>
  <c r="G513" i="3"/>
  <c r="G499" i="3"/>
  <c r="G485" i="3"/>
  <c r="G17" i="3"/>
  <c r="G561" i="3"/>
  <c r="G545" i="3"/>
  <c r="BL545" i="3"/>
  <c r="BL527" i="3"/>
  <c r="BL501" i="3"/>
  <c r="G16" i="3"/>
  <c r="BL559" i="3"/>
  <c r="BL551" i="3"/>
  <c r="BL525" i="3"/>
  <c r="G514" i="3"/>
  <c r="G18" i="3"/>
  <c r="BA565" i="3"/>
  <c r="BA555" i="3"/>
  <c r="BA543" i="3"/>
  <c r="BA521" i="3"/>
  <c r="BA560" i="3"/>
  <c r="AZ560" i="3" s="1"/>
  <c r="BA546" i="3"/>
  <c r="BA540" i="3"/>
  <c r="BA532" i="3"/>
  <c r="AZ532" i="3" s="1"/>
  <c r="BA524" i="3"/>
  <c r="BA516" i="3"/>
  <c r="BA498" i="3"/>
  <c r="BA484" i="3"/>
  <c r="BA20" i="3"/>
  <c r="G566" i="3"/>
  <c r="G562" i="3"/>
  <c r="G560" i="3"/>
  <c r="G554" i="3"/>
  <c r="G550" i="3"/>
  <c r="BL543" i="3"/>
  <c r="AZ543" i="3" s="1"/>
  <c r="AC542" i="3"/>
  <c r="G542" i="3" s="1"/>
  <c r="BQ542" i="3"/>
  <c r="BQ568" i="3"/>
  <c r="BQ566" i="3"/>
  <c r="BQ564" i="3"/>
  <c r="BQ562" i="3"/>
  <c r="BQ560" i="3"/>
  <c r="BQ558" i="3"/>
  <c r="BQ556" i="3"/>
  <c r="BQ554" i="3"/>
  <c r="BQ552" i="3"/>
  <c r="BQ550" i="3"/>
  <c r="BQ548" i="3"/>
  <c r="BQ546" i="3"/>
  <c r="BQ544" i="3"/>
  <c r="BL544" i="3" s="1"/>
  <c r="G544" i="3"/>
  <c r="G538" i="3"/>
  <c r="G534" i="3"/>
  <c r="G530" i="3"/>
  <c r="G526" i="3"/>
  <c r="G522" i="3"/>
  <c r="BQ540" i="3"/>
  <c r="BL540" i="3"/>
  <c r="BQ538" i="3"/>
  <c r="BL538" i="3"/>
  <c r="BQ536" i="3"/>
  <c r="BQ534" i="3"/>
  <c r="BL534" i="3" s="1"/>
  <c r="BQ532" i="3"/>
  <c r="BL532" i="3" s="1"/>
  <c r="BQ530" i="3"/>
  <c r="BQ528" i="3"/>
  <c r="BQ526" i="3"/>
  <c r="BL526" i="3" s="1"/>
  <c r="BQ524" i="3"/>
  <c r="BQ522" i="3"/>
  <c r="BQ520" i="3"/>
  <c r="BL520" i="3"/>
  <c r="BQ518" i="3"/>
  <c r="BQ516" i="3"/>
  <c r="BQ514" i="3"/>
  <c r="BQ512" i="3"/>
  <c r="BQ510" i="3"/>
  <c r="BQ508" i="3"/>
  <c r="AC506" i="3"/>
  <c r="G506" i="3"/>
  <c r="BQ506" i="3"/>
  <c r="G502" i="3"/>
  <c r="BQ504" i="3"/>
  <c r="BQ502" i="3"/>
  <c r="BL502" i="3"/>
  <c r="BQ500" i="3"/>
  <c r="BQ498" i="3"/>
  <c r="BQ496" i="3"/>
  <c r="AC494" i="3"/>
  <c r="BQ494" i="3"/>
  <c r="G492" i="3"/>
  <c r="G484" i="3"/>
  <c r="G20" i="3"/>
  <c r="BQ492" i="3"/>
  <c r="BL492" i="3" s="1"/>
  <c r="BQ490" i="3"/>
  <c r="BQ488" i="3"/>
  <c r="BQ5" i="3" s="1"/>
  <c r="F28" i="6" s="1"/>
  <c r="BQ486" i="3"/>
  <c r="BQ484" i="3"/>
  <c r="BQ482" i="3"/>
  <c r="BL482" i="3" s="1"/>
  <c r="BQ20" i="3"/>
  <c r="BL20" i="3" s="1"/>
  <c r="AZ20" i="3" s="1"/>
  <c r="BQ18" i="3"/>
  <c r="S505" i="31"/>
  <c r="S503" i="31"/>
  <c r="S501" i="31"/>
  <c r="S499" i="31"/>
  <c r="O27" i="31"/>
  <c r="O28" i="31"/>
  <c r="O26" i="31"/>
  <c r="M27" i="31"/>
  <c r="M28" i="31"/>
  <c r="M26" i="31"/>
  <c r="I26" i="31"/>
  <c r="I25" i="31"/>
  <c r="S25" i="31"/>
  <c r="S22" i="31" s="1"/>
  <c r="Q26" i="31"/>
  <c r="K26" i="31"/>
  <c r="I27" i="31"/>
  <c r="Q27" i="31"/>
  <c r="K27" i="31"/>
  <c r="I28" i="31"/>
  <c r="Q28" i="31"/>
  <c r="K28" i="31"/>
  <c r="AC28" i="34"/>
  <c r="H25" i="21"/>
  <c r="U25" i="21" s="1"/>
  <c r="F25" i="21"/>
  <c r="S25" i="21" s="1"/>
  <c r="J25" i="21"/>
  <c r="AC25" i="21" s="1"/>
  <c r="E125" i="33"/>
  <c r="F125" i="33" s="1"/>
  <c r="G125" i="33" s="1"/>
  <c r="H43" i="33"/>
  <c r="H17" i="37"/>
  <c r="U17" i="37" s="1"/>
  <c r="F23" i="37"/>
  <c r="F79" i="37"/>
  <c r="G79" i="37" s="1"/>
  <c r="F39" i="33"/>
  <c r="F42" i="33"/>
  <c r="AA42" i="33" s="1"/>
  <c r="H28" i="34"/>
  <c r="AB28" i="34" s="1"/>
  <c r="F22" i="36"/>
  <c r="S22" i="36" s="1"/>
  <c r="H35" i="34"/>
  <c r="U35" i="34" s="1"/>
  <c r="F41" i="34"/>
  <c r="S41" i="34" s="1"/>
  <c r="H41" i="34"/>
  <c r="U41" i="34" s="1"/>
  <c r="J41" i="34"/>
  <c r="F10" i="35"/>
  <c r="AA10" i="35" s="1"/>
  <c r="H23" i="37"/>
  <c r="AB23" i="37" s="1"/>
  <c r="J32" i="37"/>
  <c r="AC32" i="37" s="1"/>
  <c r="F36" i="37"/>
  <c r="F37" i="37"/>
  <c r="AA37" i="37" s="1"/>
  <c r="U23" i="37"/>
  <c r="G123" i="33"/>
  <c r="H123" i="33" s="1"/>
  <c r="I123" i="33" s="1"/>
  <c r="J123" i="33" s="1"/>
  <c r="K123" i="33" s="1"/>
  <c r="L123" i="33" s="1"/>
  <c r="M123" i="33" s="1"/>
  <c r="H42" i="33"/>
  <c r="U42" i="33"/>
  <c r="J43" i="33"/>
  <c r="AC43" i="33"/>
  <c r="J23" i="37"/>
  <c r="F17" i="37"/>
  <c r="D3" i="21"/>
  <c r="AC33" i="36"/>
  <c r="S27" i="37"/>
  <c r="AC8" i="37"/>
  <c r="AC36" i="34"/>
  <c r="AC37" i="33"/>
  <c r="AC45" i="33"/>
  <c r="AC33" i="21"/>
  <c r="F43" i="33"/>
  <c r="AA43" i="33" s="1"/>
  <c r="G107" i="37"/>
  <c r="H107" i="37" s="1"/>
  <c r="I107" i="37" s="1"/>
  <c r="J107" i="37" s="1"/>
  <c r="K107" i="37" s="1"/>
  <c r="L107" i="37" s="1"/>
  <c r="M107" i="37" s="1"/>
  <c r="F37" i="21"/>
  <c r="S37" i="21" s="1"/>
  <c r="J37" i="21"/>
  <c r="W37" i="21" s="1"/>
  <c r="H19" i="34"/>
  <c r="AB19" i="34" s="1"/>
  <c r="J10" i="37"/>
  <c r="W10" i="37"/>
  <c r="F36" i="35"/>
  <c r="S36" i="35"/>
  <c r="J9" i="37"/>
  <c r="W9" i="37"/>
  <c r="H9" i="37"/>
  <c r="U9" i="37"/>
  <c r="F9" i="37"/>
  <c r="S9" i="37"/>
  <c r="F11" i="37"/>
  <c r="S11" i="37"/>
  <c r="J12" i="37"/>
  <c r="AC12" i="37"/>
  <c r="H12" i="37"/>
  <c r="AB12" i="37"/>
  <c r="F12" i="37"/>
  <c r="AA12" i="37"/>
  <c r="H15" i="37"/>
  <c r="AB15" i="37" s="1"/>
  <c r="U15" i="37"/>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G90" i="40" s="1"/>
  <c r="J21" i="40"/>
  <c r="AC21" i="40"/>
  <c r="S27" i="31"/>
  <c r="G515" i="3"/>
  <c r="G501" i="3"/>
  <c r="BA15" i="3"/>
  <c r="BL17" i="3"/>
  <c r="BL15" i="3"/>
  <c r="BA14" i="3"/>
  <c r="AZ14" i="3" s="1"/>
  <c r="J57" i="39"/>
  <c r="H13" i="40"/>
  <c r="U13" i="40" s="1"/>
  <c r="H12" i="48"/>
  <c r="I4" i="4"/>
  <c r="K141" i="21"/>
  <c r="K143" i="21"/>
  <c r="K144" i="21"/>
  <c r="I60" i="40"/>
  <c r="C60" i="40" s="1"/>
  <c r="W9" i="33"/>
  <c r="G297" i="3"/>
  <c r="BL298" i="3"/>
  <c r="G299" i="3"/>
  <c r="BL300" i="3"/>
  <c r="AZ300" i="3" s="1"/>
  <c r="BA302" i="3"/>
  <c r="AZ302" i="3"/>
  <c r="BA303" i="3"/>
  <c r="BL303" i="3"/>
  <c r="AZ303" i="3" s="1"/>
  <c r="G304" i="3"/>
  <c r="BA305" i="3"/>
  <c r="AZ305" i="3" s="1"/>
  <c r="G321" i="3"/>
  <c r="BL322" i="3"/>
  <c r="G323" i="3"/>
  <c r="BL324" i="3"/>
  <c r="AZ324" i="3" s="1"/>
  <c r="BA326" i="3"/>
  <c r="AZ326" i="3" s="1"/>
  <c r="BA327" i="3"/>
  <c r="AZ327" i="3" s="1"/>
  <c r="BL327" i="3"/>
  <c r="G328" i="3"/>
  <c r="BA329" i="3"/>
  <c r="AZ329" i="3" s="1"/>
  <c r="G337" i="3"/>
  <c r="BL338" i="3"/>
  <c r="G339" i="3"/>
  <c r="BL340" i="3"/>
  <c r="AZ340" i="3" s="1"/>
  <c r="BA342" i="3"/>
  <c r="AZ342" i="3" s="1"/>
  <c r="BA343" i="3"/>
  <c r="BL343" i="3"/>
  <c r="AZ343" i="3"/>
  <c r="G344" i="3"/>
  <c r="BA345" i="3"/>
  <c r="AZ345" i="3" s="1"/>
  <c r="G353" i="3"/>
  <c r="BL354" i="3"/>
  <c r="G355" i="3"/>
  <c r="BL356" i="3"/>
  <c r="AZ356" i="3" s="1"/>
  <c r="G357" i="3"/>
  <c r="BL358" i="3"/>
  <c r="G359" i="3"/>
  <c r="BA360" i="3"/>
  <c r="BA361" i="3"/>
  <c r="AZ361" i="3" s="1"/>
  <c r="BL361" i="3"/>
  <c r="G362" i="3"/>
  <c r="BA363" i="3"/>
  <c r="G371" i="3"/>
  <c r="BL372" i="3"/>
  <c r="G373" i="3"/>
  <c r="BL374" i="3"/>
  <c r="BA376" i="3"/>
  <c r="BA377" i="3"/>
  <c r="BL377" i="3"/>
  <c r="G378" i="3"/>
  <c r="BA379" i="3"/>
  <c r="BA114" i="3"/>
  <c r="AZ114" i="3"/>
  <c r="BL115" i="3"/>
  <c r="AZ115" i="3"/>
  <c r="G116" i="3"/>
  <c r="BA118" i="3"/>
  <c r="BL119" i="3"/>
  <c r="AZ119" i="3" s="1"/>
  <c r="G120" i="3"/>
  <c r="BA122" i="3"/>
  <c r="AZ122" i="3"/>
  <c r="BL123" i="3"/>
  <c r="G124" i="3"/>
  <c r="BA126" i="3"/>
  <c r="AZ126" i="3" s="1"/>
  <c r="BL127" i="3"/>
  <c r="AZ127" i="3" s="1"/>
  <c r="G128" i="3"/>
  <c r="BA130" i="3"/>
  <c r="BL131" i="3"/>
  <c r="AZ131" i="3" s="1"/>
  <c r="G132" i="3"/>
  <c r="BA134" i="3"/>
  <c r="AZ134" i="3" s="1"/>
  <c r="BL135" i="3"/>
  <c r="G136" i="3"/>
  <c r="BA138" i="3"/>
  <c r="AZ138" i="3" s="1"/>
  <c r="BL139" i="3"/>
  <c r="AZ139" i="3" s="1"/>
  <c r="G140" i="3"/>
  <c r="BA142" i="3"/>
  <c r="AZ142" i="3" s="1"/>
  <c r="BL143" i="3"/>
  <c r="AZ143" i="3" s="1"/>
  <c r="G144" i="3"/>
  <c r="BA146" i="3"/>
  <c r="BL147" i="3"/>
  <c r="AZ147" i="3" s="1"/>
  <c r="G148" i="3"/>
  <c r="BA150" i="3"/>
  <c r="AZ150" i="3" s="1"/>
  <c r="BL151" i="3"/>
  <c r="BA153" i="3"/>
  <c r="AZ153" i="3" s="1"/>
  <c r="BL154" i="3"/>
  <c r="G155" i="3"/>
  <c r="BA157" i="3"/>
  <c r="AZ157" i="3" s="1"/>
  <c r="BL158" i="3"/>
  <c r="G159" i="3"/>
  <c r="BA161" i="3"/>
  <c r="AZ161" i="3" s="1"/>
  <c r="BL162" i="3"/>
  <c r="G163" i="3"/>
  <c r="BA165" i="3"/>
  <c r="AZ165" i="3" s="1"/>
  <c r="BL166" i="3"/>
  <c r="G167" i="3"/>
  <c r="BA169" i="3"/>
  <c r="AZ169" i="3" s="1"/>
  <c r="BL170" i="3"/>
  <c r="G171" i="3"/>
  <c r="BA173" i="3"/>
  <c r="BL174" i="3"/>
  <c r="AZ174" i="3" s="1"/>
  <c r="G175" i="3"/>
  <c r="BA178" i="3"/>
  <c r="AZ178" i="3" s="1"/>
  <c r="BL179" i="3"/>
  <c r="G180" i="3"/>
  <c r="AZ39" i="3"/>
  <c r="G537" i="3"/>
  <c r="BL181" i="3"/>
  <c r="AZ181" i="3"/>
  <c r="G182" i="3"/>
  <c r="BA184" i="3"/>
  <c r="AZ184" i="3" s="1"/>
  <c r="BL185" i="3"/>
  <c r="AZ185" i="3" s="1"/>
  <c r="G186" i="3"/>
  <c r="BA188" i="3"/>
  <c r="AZ188" i="3" s="1"/>
  <c r="BL189" i="3"/>
  <c r="G190" i="3"/>
  <c r="BA192" i="3"/>
  <c r="AZ192" i="3" s="1"/>
  <c r="BL193" i="3"/>
  <c r="G194" i="3"/>
  <c r="BA196" i="3"/>
  <c r="BL197" i="3"/>
  <c r="G198" i="3"/>
  <c r="BA200" i="3"/>
  <c r="AZ200" i="3" s="1"/>
  <c r="BL201" i="3"/>
  <c r="AZ66" i="3"/>
  <c r="G491" i="3"/>
  <c r="BA298" i="3"/>
  <c r="BA299" i="3"/>
  <c r="BL299" i="3"/>
  <c r="G300" i="3"/>
  <c r="G303" i="3"/>
  <c r="BL304" i="3"/>
  <c r="BA306" i="3"/>
  <c r="AZ306" i="3" s="1"/>
  <c r="BA307" i="3"/>
  <c r="BL307" i="3"/>
  <c r="AZ307" i="3" s="1"/>
  <c r="G308" i="3"/>
  <c r="G319" i="3"/>
  <c r="BL320" i="3"/>
  <c r="AZ320" i="3" s="1"/>
  <c r="BA322" i="3"/>
  <c r="BA323" i="3"/>
  <c r="AZ323" i="3" s="1"/>
  <c r="BL323" i="3"/>
  <c r="G324" i="3"/>
  <c r="G327" i="3"/>
  <c r="BL328" i="3"/>
  <c r="BA330" i="3"/>
  <c r="BA331" i="3"/>
  <c r="BL331" i="3"/>
  <c r="G332" i="3"/>
  <c r="G335" i="3"/>
  <c r="BL336" i="3"/>
  <c r="AZ336" i="3" s="1"/>
  <c r="BA338" i="3"/>
  <c r="BA339" i="3"/>
  <c r="AZ339" i="3" s="1"/>
  <c r="BL339" i="3"/>
  <c r="G340" i="3"/>
  <c r="G343" i="3"/>
  <c r="BL344" i="3"/>
  <c r="AZ344" i="3" s="1"/>
  <c r="BA346" i="3"/>
  <c r="AZ346" i="3"/>
  <c r="BA347" i="3"/>
  <c r="BL347" i="3"/>
  <c r="AZ347" i="3" s="1"/>
  <c r="G348" i="3"/>
  <c r="G351" i="3"/>
  <c r="BL352" i="3"/>
  <c r="BA354" i="3"/>
  <c r="BA355" i="3"/>
  <c r="AZ355" i="3"/>
  <c r="BL355" i="3"/>
  <c r="G356" i="3"/>
  <c r="BA358" i="3"/>
  <c r="BA359" i="3"/>
  <c r="BL359" i="3"/>
  <c r="AZ359" i="3" s="1"/>
  <c r="G360" i="3"/>
  <c r="G361" i="3"/>
  <c r="BL362" i="3"/>
  <c r="AZ362" i="3" s="1"/>
  <c r="BA364" i="3"/>
  <c r="BA365" i="3"/>
  <c r="AZ365" i="3" s="1"/>
  <c r="BL365" i="3"/>
  <c r="G366" i="3"/>
  <c r="G369" i="3"/>
  <c r="BL370" i="3"/>
  <c r="BA372" i="3"/>
  <c r="AZ372" i="3"/>
  <c r="BA373" i="3"/>
  <c r="BL373" i="3"/>
  <c r="AZ373" i="3" s="1"/>
  <c r="G374" i="3"/>
  <c r="G377" i="3"/>
  <c r="BL378" i="3"/>
  <c r="BA380" i="3"/>
  <c r="BA381" i="3"/>
  <c r="BL381" i="3"/>
  <c r="G382" i="3"/>
  <c r="G385" i="3"/>
  <c r="G523" i="3"/>
  <c r="BL297" i="3"/>
  <c r="AZ297" i="3" s="1"/>
  <c r="G298" i="3"/>
  <c r="BA300" i="3"/>
  <c r="BL301" i="3"/>
  <c r="AZ301" i="3" s="1"/>
  <c r="G302" i="3"/>
  <c r="BA304" i="3"/>
  <c r="AZ304" i="3"/>
  <c r="BL305" i="3"/>
  <c r="G306" i="3"/>
  <c r="BA308" i="3"/>
  <c r="BL309" i="3"/>
  <c r="G310" i="3"/>
  <c r="BA310" i="3"/>
  <c r="BL311" i="3"/>
  <c r="G312" i="3"/>
  <c r="BA312" i="3"/>
  <c r="AZ312" i="3"/>
  <c r="BL313" i="3"/>
  <c r="G314" i="3"/>
  <c r="BA314" i="3"/>
  <c r="BL315" i="3"/>
  <c r="G316" i="3"/>
  <c r="BA316" i="3"/>
  <c r="AZ316" i="3"/>
  <c r="BL317" i="3"/>
  <c r="G318" i="3"/>
  <c r="BA320" i="3"/>
  <c r="BL321" i="3"/>
  <c r="G322" i="3"/>
  <c r="BA324" i="3"/>
  <c r="BL325" i="3"/>
  <c r="G326" i="3"/>
  <c r="BA328" i="3"/>
  <c r="AZ328" i="3"/>
  <c r="BL329" i="3"/>
  <c r="G330" i="3"/>
  <c r="BA332" i="3"/>
  <c r="AZ332" i="3"/>
  <c r="BL333" i="3"/>
  <c r="G334" i="3"/>
  <c r="BA336" i="3"/>
  <c r="BL337" i="3"/>
  <c r="G338" i="3"/>
  <c r="BA340" i="3"/>
  <c r="BL341" i="3"/>
  <c r="G342" i="3"/>
  <c r="BA344" i="3"/>
  <c r="BL345" i="3"/>
  <c r="G346" i="3"/>
  <c r="BA348" i="3"/>
  <c r="AZ348" i="3"/>
  <c r="BL349" i="3"/>
  <c r="G350" i="3"/>
  <c r="BA352" i="3"/>
  <c r="AZ352" i="3"/>
  <c r="BL353" i="3"/>
  <c r="G354" i="3"/>
  <c r="BA356" i="3"/>
  <c r="BL357" i="3"/>
  <c r="G358" i="3"/>
  <c r="BA362" i="3"/>
  <c r="BL363" i="3"/>
  <c r="G364" i="3"/>
  <c r="BA366" i="3"/>
  <c r="AZ366" i="3"/>
  <c r="BL367" i="3"/>
  <c r="AZ217" i="3"/>
  <c r="AZ237" i="3"/>
  <c r="AZ309" i="3"/>
  <c r="AZ321" i="3"/>
  <c r="AZ325" i="3"/>
  <c r="AZ337" i="3"/>
  <c r="AZ341" i="3"/>
  <c r="AZ349" i="3"/>
  <c r="AZ353" i="3"/>
  <c r="AZ363" i="3"/>
  <c r="AZ367" i="3"/>
  <c r="G368" i="3"/>
  <c r="BA370" i="3"/>
  <c r="AZ370" i="3" s="1"/>
  <c r="BL371" i="3"/>
  <c r="AZ371" i="3"/>
  <c r="G372" i="3"/>
  <c r="BA374" i="3"/>
  <c r="AZ374" i="3" s="1"/>
  <c r="BL375" i="3"/>
  <c r="AZ375" i="3" s="1"/>
  <c r="G376" i="3"/>
  <c r="BA378" i="3"/>
  <c r="BL379" i="3"/>
  <c r="G380" i="3"/>
  <c r="BA382" i="3"/>
  <c r="BL383" i="3"/>
  <c r="G384" i="3"/>
  <c r="AZ274" i="3"/>
  <c r="AZ295" i="3"/>
  <c r="AZ311" i="3"/>
  <c r="AZ313" i="3"/>
  <c r="AZ315" i="3"/>
  <c r="AZ331" i="3"/>
  <c r="AZ430" i="3"/>
  <c r="AZ446" i="3"/>
  <c r="AZ467" i="3"/>
  <c r="AZ475" i="3"/>
  <c r="H7" i="48"/>
  <c r="H17" i="46"/>
  <c r="F35" i="46"/>
  <c r="H16" i="48"/>
  <c r="H9" i="48"/>
  <c r="H8" i="48"/>
  <c r="C12" i="46"/>
  <c r="AA43" i="21"/>
  <c r="U43" i="21"/>
  <c r="AA13" i="40"/>
  <c r="E78" i="40"/>
  <c r="F78" i="40"/>
  <c r="G78" i="40" s="1"/>
  <c r="H78" i="40" s="1"/>
  <c r="I78" i="40" s="1"/>
  <c r="J78" i="40" s="1"/>
  <c r="K78" i="40" s="1"/>
  <c r="L78" i="40" s="1"/>
  <c r="M78" i="40" s="1"/>
  <c r="R16" i="4"/>
  <c r="P16" i="4"/>
  <c r="D3" i="35"/>
  <c r="G4" i="4"/>
  <c r="S37" i="34"/>
  <c r="J16" i="35"/>
  <c r="W16" i="35" s="1"/>
  <c r="U42" i="21"/>
  <c r="AC26" i="36"/>
  <c r="W25" i="35"/>
  <c r="AA36" i="35"/>
  <c r="H11" i="37"/>
  <c r="AB11" i="37"/>
  <c r="S42" i="33"/>
  <c r="AB17" i="37"/>
  <c r="AA45" i="33"/>
  <c r="AC11" i="36"/>
  <c r="AC10" i="36"/>
  <c r="AB45" i="34"/>
  <c r="S25" i="35"/>
  <c r="W30" i="33"/>
  <c r="AC29" i="37"/>
  <c r="U28" i="33"/>
  <c r="AB28" i="33"/>
  <c r="J33" i="34"/>
  <c r="AC33" i="34" s="1"/>
  <c r="AB36" i="34"/>
  <c r="J40" i="34"/>
  <c r="W40" i="34" s="1"/>
  <c r="F16" i="35"/>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J15" i="33"/>
  <c r="W15" i="33" s="1"/>
  <c r="H19" i="33"/>
  <c r="AB19" i="33" s="1"/>
  <c r="F32" i="33"/>
  <c r="AA32" i="33" s="1"/>
  <c r="J32" i="33"/>
  <c r="AC32" i="33" s="1"/>
  <c r="F35" i="33"/>
  <c r="AA35" i="33" s="1"/>
  <c r="AB39" i="34"/>
  <c r="F11" i="34"/>
  <c r="S11" i="34" s="1"/>
  <c r="H17" i="34"/>
  <c r="AB17" i="34" s="1"/>
  <c r="AB28" i="35"/>
  <c r="U28" i="35"/>
  <c r="J13" i="33"/>
  <c r="W13" i="33"/>
  <c r="H13" i="33"/>
  <c r="U13" i="33"/>
  <c r="H29" i="33"/>
  <c r="AB29" i="33"/>
  <c r="F29" i="33"/>
  <c r="AA29" i="33"/>
  <c r="J12" i="34"/>
  <c r="AC12" i="34"/>
  <c r="H12" i="34"/>
  <c r="U12" i="34" s="1"/>
  <c r="AB12" i="34"/>
  <c r="F12" i="34"/>
  <c r="S12" i="34"/>
  <c r="J14" i="34"/>
  <c r="W14" i="34"/>
  <c r="F14" i="34"/>
  <c r="S14" i="34"/>
  <c r="H14" i="34"/>
  <c r="AB14" i="34"/>
  <c r="H30" i="34"/>
  <c r="AB30" i="34"/>
  <c r="F30" i="34"/>
  <c r="S30" i="34"/>
  <c r="J30" i="34"/>
  <c r="W30" i="34"/>
  <c r="H32" i="34"/>
  <c r="AB32" i="34"/>
  <c r="F32" i="34"/>
  <c r="AA32" i="34"/>
  <c r="J32" i="34"/>
  <c r="W32" i="34"/>
  <c r="H46" i="34"/>
  <c r="AB46" i="34"/>
  <c r="F46" i="34"/>
  <c r="S46" i="34" s="1"/>
  <c r="AA46" i="34"/>
  <c r="J46" i="34"/>
  <c r="AC46" i="34"/>
  <c r="H11" i="35"/>
  <c r="J11" i="35"/>
  <c r="AC11" i="35" s="1"/>
  <c r="F96" i="37"/>
  <c r="H32" i="37"/>
  <c r="AB32" i="37" s="1"/>
  <c r="U25" i="35"/>
  <c r="S28" i="33"/>
  <c r="AA44" i="34"/>
  <c r="AB29" i="35"/>
  <c r="U43" i="34"/>
  <c r="AB43" i="34"/>
  <c r="AC34" i="37"/>
  <c r="S35" i="37"/>
  <c r="AA35" i="37"/>
  <c r="AB10" i="35"/>
  <c r="AA32" i="21"/>
  <c r="S32" i="21"/>
  <c r="U38" i="21"/>
  <c r="AB34" i="21"/>
  <c r="BL571" i="3"/>
  <c r="BL570" i="3"/>
  <c r="F42" i="21"/>
  <c r="AA42" i="21" s="1"/>
  <c r="AB40" i="33"/>
  <c r="U40" i="33"/>
  <c r="E90" i="34"/>
  <c r="F90" i="34" s="1"/>
  <c r="G90" i="34" s="1"/>
  <c r="H90" i="34" s="1"/>
  <c r="I90" i="34" s="1"/>
  <c r="J90" i="34" s="1"/>
  <c r="K90" i="34" s="1"/>
  <c r="L90" i="34" s="1"/>
  <c r="M90" i="34" s="1"/>
  <c r="AB8" i="35"/>
  <c r="U8" i="35"/>
  <c r="S9" i="35"/>
  <c r="J14" i="35"/>
  <c r="AC14" i="35"/>
  <c r="F14" i="35"/>
  <c r="H14" i="35"/>
  <c r="U14" i="35" s="1"/>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F21" i="39"/>
  <c r="S21" i="39" s="1"/>
  <c r="H21" i="39"/>
  <c r="AB21" i="39" s="1"/>
  <c r="J21" i="39"/>
  <c r="W21" i="39" s="1"/>
  <c r="F44" i="39"/>
  <c r="S44" i="39" s="1"/>
  <c r="H44" i="39"/>
  <c r="U44" i="39" s="1"/>
  <c r="J44" i="39"/>
  <c r="W44" i="39" s="1"/>
  <c r="E128" i="39"/>
  <c r="F128" i="39" s="1"/>
  <c r="G128" i="39" s="1"/>
  <c r="H128" i="39" s="1"/>
  <c r="I128" i="39" s="1"/>
  <c r="J128" i="39" s="1"/>
  <c r="K128" i="39" s="1"/>
  <c r="L128" i="39" s="1"/>
  <c r="M128" i="39" s="1"/>
  <c r="J46" i="39"/>
  <c r="W46" i="39" s="1"/>
  <c r="E103" i="39"/>
  <c r="F103" i="39"/>
  <c r="G103" i="39" s="1"/>
  <c r="F39" i="39"/>
  <c r="H39" i="39"/>
  <c r="AB39" i="39" s="1"/>
  <c r="J39" i="39"/>
  <c r="J29" i="35"/>
  <c r="AC29" i="35" s="1"/>
  <c r="F29" i="35"/>
  <c r="W30" i="36"/>
  <c r="AC30" i="36"/>
  <c r="F37" i="39"/>
  <c r="S37" i="39" s="1"/>
  <c r="H37" i="39"/>
  <c r="U37" i="39" s="1"/>
  <c r="J37" i="39"/>
  <c r="W37" i="39" s="1"/>
  <c r="BA568" i="3"/>
  <c r="BL567" i="3"/>
  <c r="BA564" i="3"/>
  <c r="BA552" i="3"/>
  <c r="BA549" i="3"/>
  <c r="BA548" i="3"/>
  <c r="BA547" i="3"/>
  <c r="BA539" i="3"/>
  <c r="BA538" i="3"/>
  <c r="AZ538" i="3" s="1"/>
  <c r="BL537" i="3"/>
  <c r="BL536" i="3"/>
  <c r="BA535" i="3"/>
  <c r="BA534" i="3"/>
  <c r="AZ534" i="3" s="1"/>
  <c r="BA533" i="3"/>
  <c r="BL531" i="3"/>
  <c r="BL530" i="3"/>
  <c r="BL529" i="3"/>
  <c r="BL528" i="3"/>
  <c r="BA527" i="3"/>
  <c r="AZ527" i="3" s="1"/>
  <c r="BA526" i="3"/>
  <c r="AZ526" i="3" s="1"/>
  <c r="BA525" i="3"/>
  <c r="BL523" i="3"/>
  <c r="BL522" i="3"/>
  <c r="BA517" i="3"/>
  <c r="BA514" i="3"/>
  <c r="BL512" i="3"/>
  <c r="BL507" i="3"/>
  <c r="BA506" i="3"/>
  <c r="BA503" i="3"/>
  <c r="BA497" i="3"/>
  <c r="BL494" i="3"/>
  <c r="BA491" i="3"/>
  <c r="BA490" i="3"/>
  <c r="BL489" i="3"/>
  <c r="BL487" i="3"/>
  <c r="BA486" i="3"/>
  <c r="BA483" i="3"/>
  <c r="BL481" i="3"/>
  <c r="BA481" i="3"/>
  <c r="BL19" i="3"/>
  <c r="BA18" i="3"/>
  <c r="F36" i="44"/>
  <c r="H38" i="34"/>
  <c r="H30" i="40"/>
  <c r="AB30" i="40" s="1"/>
  <c r="J30" i="40"/>
  <c r="AC30" i="40" s="1"/>
  <c r="F38" i="40"/>
  <c r="AA38" i="40"/>
  <c r="AA36" i="34"/>
  <c r="AB33" i="21"/>
  <c r="S35" i="21"/>
  <c r="AB10" i="21"/>
  <c r="U8" i="21"/>
  <c r="AB8" i="21"/>
  <c r="AC36" i="21"/>
  <c r="AB8" i="33"/>
  <c r="U8" i="33"/>
  <c r="H34" i="33"/>
  <c r="U34" i="33" s="1"/>
  <c r="F34" i="33"/>
  <c r="S34" i="33" s="1"/>
  <c r="E121" i="33"/>
  <c r="F41" i="33"/>
  <c r="S41" i="33"/>
  <c r="AC34" i="34"/>
  <c r="W34" i="34"/>
  <c r="AA39" i="34"/>
  <c r="S39" i="34"/>
  <c r="S43" i="34"/>
  <c r="E78" i="34"/>
  <c r="F15" i="34"/>
  <c r="AC28" i="35"/>
  <c r="W28" i="35"/>
  <c r="J20" i="35"/>
  <c r="AC20" i="35" s="1"/>
  <c r="E72" i="35"/>
  <c r="F72" i="35" s="1"/>
  <c r="G72" i="35" s="1"/>
  <c r="H22" i="35"/>
  <c r="U22" i="35" s="1"/>
  <c r="AB22" i="35"/>
  <c r="H23" i="35"/>
  <c r="AB36" i="35"/>
  <c r="U36" i="35"/>
  <c r="W12" i="36"/>
  <c r="AC12" i="36"/>
  <c r="U31" i="36"/>
  <c r="S8" i="37"/>
  <c r="AA8" i="37"/>
  <c r="F16" i="39"/>
  <c r="AA16" i="39" s="1"/>
  <c r="H16" i="39"/>
  <c r="U16" i="39" s="1"/>
  <c r="J16" i="39"/>
  <c r="AC16" i="39" s="1"/>
  <c r="E97" i="39"/>
  <c r="F27" i="39"/>
  <c r="AA27" i="39" s="1"/>
  <c r="H27" i="39"/>
  <c r="AB27" i="39" s="1"/>
  <c r="J27" i="39"/>
  <c r="AC27" i="39" s="1"/>
  <c r="AB15" i="40"/>
  <c r="H23" i="40"/>
  <c r="U23" i="40"/>
  <c r="H41" i="40"/>
  <c r="AB41" i="40"/>
  <c r="F41" i="40"/>
  <c r="AA41" i="40"/>
  <c r="J41" i="40"/>
  <c r="H36" i="33"/>
  <c r="AB36" i="33" s="1"/>
  <c r="H37" i="34"/>
  <c r="U37" i="34" s="1"/>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J35" i="40"/>
  <c r="AC35" i="40" s="1"/>
  <c r="J38" i="39"/>
  <c r="W38" i="39" s="1"/>
  <c r="H38" i="39"/>
  <c r="U38" i="39" s="1"/>
  <c r="J16" i="40"/>
  <c r="J14" i="40"/>
  <c r="W14" i="40" s="1"/>
  <c r="H42" i="40"/>
  <c r="H40" i="40"/>
  <c r="U40" i="40"/>
  <c r="H34" i="40"/>
  <c r="U34" i="40" s="1"/>
  <c r="AZ391" i="3"/>
  <c r="AZ407" i="3"/>
  <c r="AZ423" i="3"/>
  <c r="B41" i="1"/>
  <c r="J42" i="40"/>
  <c r="AC42" i="40" s="1"/>
  <c r="J40" i="40"/>
  <c r="AC40" i="40"/>
  <c r="J34" i="40"/>
  <c r="W34" i="40" s="1"/>
  <c r="H16" i="40"/>
  <c r="AB16" i="40"/>
  <c r="H14" i="40"/>
  <c r="U14" i="40" s="1"/>
  <c r="F32" i="40"/>
  <c r="AA32" i="40"/>
  <c r="AZ428" i="3"/>
  <c r="AZ444" i="3"/>
  <c r="M1" i="46"/>
  <c r="M6" i="46"/>
  <c r="M10" i="46"/>
  <c r="N2" i="46"/>
  <c r="N5" i="46"/>
  <c r="F58" i="46"/>
  <c r="H58" i="46" s="1"/>
  <c r="F47" i="46"/>
  <c r="H49" i="46" s="1"/>
  <c r="N7" i="46"/>
  <c r="AZ466" i="3"/>
  <c r="AZ469" i="3"/>
  <c r="AZ477" i="3"/>
  <c r="AZ215" i="3"/>
  <c r="AZ152" i="3"/>
  <c r="M7" i="46"/>
  <c r="M11" i="46"/>
  <c r="N3" i="46"/>
  <c r="N6" i="46"/>
  <c r="N10" i="46"/>
  <c r="AZ177" i="3"/>
  <c r="AZ40" i="3"/>
  <c r="AZ63" i="3"/>
  <c r="J13" i="40"/>
  <c r="W13" i="40" s="1"/>
  <c r="W40" i="40"/>
  <c r="S33" i="40"/>
  <c r="AB37" i="34"/>
  <c r="AC41" i="40"/>
  <c r="W41" i="40"/>
  <c r="U41" i="40"/>
  <c r="J23" i="40"/>
  <c r="AC23" i="40" s="1"/>
  <c r="F23" i="40"/>
  <c r="S23" i="40" s="1"/>
  <c r="U23" i="35"/>
  <c r="AB23" i="35"/>
  <c r="H20" i="35"/>
  <c r="AB20" i="35" s="1"/>
  <c r="F20" i="35"/>
  <c r="S20" i="35" s="1"/>
  <c r="H15" i="34"/>
  <c r="AB15" i="34" s="1"/>
  <c r="F78" i="34"/>
  <c r="G78" i="34" s="1"/>
  <c r="J15" i="34"/>
  <c r="H41" i="33"/>
  <c r="U41" i="33"/>
  <c r="F121" i="33"/>
  <c r="G121" i="33"/>
  <c r="H121" i="33" s="1"/>
  <c r="I121" i="33" s="1"/>
  <c r="J121" i="33" s="1"/>
  <c r="K121" i="33" s="1"/>
  <c r="L121" i="33" s="1"/>
  <c r="M121" i="33" s="1"/>
  <c r="F30" i="40"/>
  <c r="AA30" i="40"/>
  <c r="AB37" i="39"/>
  <c r="U39" i="39"/>
  <c r="AB33" i="36"/>
  <c r="AA14" i="35"/>
  <c r="S14" i="35"/>
  <c r="F33" i="37"/>
  <c r="U46" i="34"/>
  <c r="AC30" i="34"/>
  <c r="AA14" i="34"/>
  <c r="W12" i="34"/>
  <c r="U29" i="33"/>
  <c r="AC13" i="33"/>
  <c r="U17" i="34"/>
  <c r="AA11" i="34"/>
  <c r="W32" i="33"/>
  <c r="H15" i="33"/>
  <c r="AB15" i="33" s="1"/>
  <c r="AA40" i="21"/>
  <c r="U16" i="40"/>
  <c r="AB42" i="40"/>
  <c r="U42" i="40"/>
  <c r="W32" i="40"/>
  <c r="H25" i="40"/>
  <c r="AB25" i="40"/>
  <c r="J37" i="34"/>
  <c r="W37" i="34" s="1"/>
  <c r="J36" i="33"/>
  <c r="W36" i="33"/>
  <c r="S41" i="40"/>
  <c r="AB23" i="40"/>
  <c r="J23" i="39"/>
  <c r="AC23" i="39" s="1"/>
  <c r="S16" i="39"/>
  <c r="S15" i="34"/>
  <c r="AA15" i="34"/>
  <c r="AA41" i="33"/>
  <c r="AA34" i="33"/>
  <c r="G106" i="33"/>
  <c r="H106" i="33" s="1"/>
  <c r="I106" i="33" s="1"/>
  <c r="J106" i="33" s="1"/>
  <c r="K106" i="33" s="1"/>
  <c r="L106" i="33" s="1"/>
  <c r="M106" i="33" s="1"/>
  <c r="J34" i="33"/>
  <c r="AC34" i="33" s="1"/>
  <c r="U30" i="40"/>
  <c r="W29" i="35"/>
  <c r="AC39" i="39"/>
  <c r="W39" i="39"/>
  <c r="AA39" i="39"/>
  <c r="S39" i="39"/>
  <c r="U11" i="36"/>
  <c r="F80" i="35"/>
  <c r="G80" i="35" s="1"/>
  <c r="H80" i="35" s="1"/>
  <c r="I80" i="35" s="1"/>
  <c r="J80" i="35" s="1"/>
  <c r="K80" i="35" s="1"/>
  <c r="L80" i="35" s="1"/>
  <c r="M80" i="35" s="1"/>
  <c r="W14" i="35"/>
  <c r="F27" i="34"/>
  <c r="S27" i="34" s="1"/>
  <c r="G96" i="37"/>
  <c r="H96" i="37" s="1"/>
  <c r="I96" i="37" s="1"/>
  <c r="J96" i="37" s="1"/>
  <c r="K96" i="37" s="1"/>
  <c r="L96" i="37" s="1"/>
  <c r="M96" i="37" s="1"/>
  <c r="F32" i="37"/>
  <c r="S32" i="37" s="1"/>
  <c r="U11" i="35"/>
  <c r="AB11" i="35"/>
  <c r="U32" i="34"/>
  <c r="U14" i="34"/>
  <c r="AC14" i="34"/>
  <c r="AB13" i="33"/>
  <c r="F17" i="34"/>
  <c r="AA17" i="34" s="1"/>
  <c r="J17" i="34"/>
  <c r="AC17" i="34"/>
  <c r="H11" i="34"/>
  <c r="AB11" i="34" s="1"/>
  <c r="J35" i="33"/>
  <c r="W35" i="33"/>
  <c r="H11" i="33"/>
  <c r="U11" i="33"/>
  <c r="H10" i="33"/>
  <c r="U10" i="33" s="1"/>
  <c r="I66" i="33"/>
  <c r="J10" i="33"/>
  <c r="AC10" i="33" s="1"/>
  <c r="U40" i="21"/>
  <c r="U11" i="37"/>
  <c r="AC16" i="35"/>
  <c r="J11" i="34"/>
  <c r="W11" i="34" s="1"/>
  <c r="AC36" i="33"/>
  <c r="F25" i="40"/>
  <c r="AA25" i="40" s="1"/>
  <c r="J11" i="33"/>
  <c r="W11" i="33" s="1"/>
  <c r="H33" i="37"/>
  <c r="AB33" i="37" s="1"/>
  <c r="U20" i="35"/>
  <c r="W23" i="40"/>
  <c r="D73" i="9"/>
  <c r="N73" i="9" s="1"/>
  <c r="AP11" i="1"/>
  <c r="B11" i="1"/>
  <c r="E11" i="1" s="1"/>
  <c r="K11" i="1"/>
  <c r="M11" i="1" s="1"/>
  <c r="B9" i="1"/>
  <c r="E9" i="1"/>
  <c r="K9" i="1"/>
  <c r="M9" i="1" s="1"/>
  <c r="B7" i="1"/>
  <c r="E7" i="1" s="1"/>
  <c r="C20" i="43"/>
  <c r="F6" i="1"/>
  <c r="AP6" i="1" s="1"/>
  <c r="G11" i="1"/>
  <c r="M22" i="44"/>
  <c r="F29" i="12"/>
  <c r="F70" i="9"/>
  <c r="D86" i="9"/>
  <c r="F31" i="43"/>
  <c r="C31" i="43" s="1"/>
  <c r="F30" i="44"/>
  <c r="C30" i="44" s="1"/>
  <c r="C25" i="12"/>
  <c r="AC25" i="36"/>
  <c r="S23" i="36"/>
  <c r="S8" i="36"/>
  <c r="AA26" i="36"/>
  <c r="AA28" i="36"/>
  <c r="U25" i="36"/>
  <c r="H20" i="36"/>
  <c r="U20" i="36" s="1"/>
  <c r="F68" i="36"/>
  <c r="G68" i="36" s="1"/>
  <c r="J20" i="36"/>
  <c r="AC20" i="36" s="1"/>
  <c r="F20" i="36"/>
  <c r="S20" i="36" s="1"/>
  <c r="F62" i="36"/>
  <c r="G62" i="36" s="1"/>
  <c r="J14" i="36"/>
  <c r="W14" i="36" s="1"/>
  <c r="H14" i="36"/>
  <c r="F14" i="36"/>
  <c r="AA14" i="36" s="1"/>
  <c r="W20" i="36"/>
  <c r="U27" i="36"/>
  <c r="U9" i="36"/>
  <c r="AA27" i="36"/>
  <c r="S16" i="36"/>
  <c r="S29" i="36"/>
  <c r="AA13" i="35"/>
  <c r="S8" i="35"/>
  <c r="U33" i="35"/>
  <c r="AA20" i="35"/>
  <c r="W20" i="35"/>
  <c r="AB14" i="35"/>
  <c r="AC10" i="35"/>
  <c r="W13" i="35"/>
  <c r="AC18" i="35"/>
  <c r="W18" i="35"/>
  <c r="U18" i="35"/>
  <c r="AB18" i="35"/>
  <c r="S30" i="35"/>
  <c r="AB30" i="35"/>
  <c r="S27" i="35"/>
  <c r="S28" i="35"/>
  <c r="J26" i="35"/>
  <c r="AC26" i="35" s="1"/>
  <c r="AB9" i="37"/>
  <c r="W12" i="37"/>
  <c r="AA9" i="37"/>
  <c r="AA31" i="37"/>
  <c r="S33" i="37"/>
  <c r="AA33" i="37"/>
  <c r="AA32" i="37"/>
  <c r="J33" i="37"/>
  <c r="W33" i="37" s="1"/>
  <c r="S29" i="37"/>
  <c r="J19" i="37"/>
  <c r="AC19" i="37" s="1"/>
  <c r="G75" i="37"/>
  <c r="F19" i="37"/>
  <c r="AA19" i="37" s="1"/>
  <c r="H19" i="37"/>
  <c r="U19" i="37" s="1"/>
  <c r="J17" i="37"/>
  <c r="S15" i="37"/>
  <c r="AC10" i="37"/>
  <c r="AC21" i="37"/>
  <c r="W21" i="37"/>
  <c r="AC11" i="37"/>
  <c r="AC9" i="37"/>
  <c r="W32" i="37"/>
  <c r="U35" i="37"/>
  <c r="U8" i="37"/>
  <c r="AB21" i="37"/>
  <c r="U21" i="37"/>
  <c r="S37" i="37"/>
  <c r="AA11" i="37"/>
  <c r="S10" i="37"/>
  <c r="W46" i="34"/>
  <c r="AA40" i="34"/>
  <c r="W33" i="34"/>
  <c r="U30" i="34"/>
  <c r="S32" i="34"/>
  <c r="AB33" i="34"/>
  <c r="AA12" i="34"/>
  <c r="AC35" i="34"/>
  <c r="AA30" i="34"/>
  <c r="AC32" i="34"/>
  <c r="AA33" i="34"/>
  <c r="U44" i="34"/>
  <c r="U34" i="34"/>
  <c r="J25" i="34"/>
  <c r="H25" i="34"/>
  <c r="AB25" i="34" s="1"/>
  <c r="F25" i="34"/>
  <c r="J23" i="34"/>
  <c r="W23" i="34" s="1"/>
  <c r="F86" i="34"/>
  <c r="G86" i="34" s="1"/>
  <c r="F23" i="34"/>
  <c r="S23" i="34" s="1"/>
  <c r="H23" i="34"/>
  <c r="W17" i="34"/>
  <c r="U11" i="34"/>
  <c r="W10" i="34"/>
  <c r="U10" i="34"/>
  <c r="AC40" i="34"/>
  <c r="W44" i="34"/>
  <c r="W19" i="34"/>
  <c r="W29" i="34"/>
  <c r="AC21" i="34"/>
  <c r="W21" i="34"/>
  <c r="AB21" i="34"/>
  <c r="U21" i="34"/>
  <c r="U19" i="34"/>
  <c r="AA41" i="34"/>
  <c r="S10" i="34"/>
  <c r="U39" i="33"/>
  <c r="U37" i="33"/>
  <c r="W34" i="33"/>
  <c r="AB11" i="33"/>
  <c r="AB41" i="33"/>
  <c r="U36" i="33"/>
  <c r="AC35" i="33"/>
  <c r="S29" i="33"/>
  <c r="W31" i="33"/>
  <c r="W43" i="33"/>
  <c r="W39" i="33"/>
  <c r="U35"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4" i="33"/>
  <c r="W10" i="33"/>
  <c r="AC21" i="33"/>
  <c r="W21" i="33"/>
  <c r="AB21" i="33"/>
  <c r="U21" i="33"/>
  <c r="AA21" i="33"/>
  <c r="S21" i="33"/>
  <c r="AA36" i="33"/>
  <c r="W39" i="21"/>
  <c r="AC34" i="21"/>
  <c r="W32" i="21"/>
  <c r="U35" i="21"/>
  <c r="W43" i="21"/>
  <c r="AA37" i="21"/>
  <c r="AB37" i="21"/>
  <c r="AB32" i="21"/>
  <c r="W28" i="21"/>
  <c r="AC26"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AC19" i="21"/>
  <c r="W10" i="21"/>
  <c r="AC38" i="21"/>
  <c r="AB21" i="21"/>
  <c r="U21" i="21"/>
  <c r="AB29" i="21"/>
  <c r="U15" i="40"/>
  <c r="S14" i="40"/>
  <c r="AB13" i="40"/>
  <c r="S16" i="40"/>
  <c r="W11" i="40"/>
  <c r="AA21" i="40"/>
  <c r="U21" i="40"/>
  <c r="W25" i="40"/>
  <c r="U25" i="40"/>
  <c r="W42" i="40"/>
  <c r="F37" i="40"/>
  <c r="S37" i="40" s="1"/>
  <c r="J37" i="40"/>
  <c r="AC37" i="40"/>
  <c r="H37" i="40"/>
  <c r="G113" i="40"/>
  <c r="H113" i="40" s="1"/>
  <c r="I113" i="40" s="1"/>
  <c r="J113" i="40" s="1"/>
  <c r="K113" i="40" s="1"/>
  <c r="L113" i="40" s="1"/>
  <c r="M113" i="40" s="1"/>
  <c r="F39" i="40"/>
  <c r="S38" i="40"/>
  <c r="H39" i="40"/>
  <c r="J39" i="40"/>
  <c r="W39" i="40" s="1"/>
  <c r="F29" i="40"/>
  <c r="S29" i="40" s="1"/>
  <c r="H29" i="40"/>
  <c r="J29" i="40"/>
  <c r="W29" i="40" s="1"/>
  <c r="F98" i="40"/>
  <c r="G98" i="40"/>
  <c r="H98" i="40" s="1"/>
  <c r="I98" i="40" s="1"/>
  <c r="J98" i="40" s="1"/>
  <c r="K98" i="40" s="1"/>
  <c r="L98" i="40" s="1"/>
  <c r="M98" i="40" s="1"/>
  <c r="S30" i="40"/>
  <c r="S25" i="40"/>
  <c r="F88" i="40"/>
  <c r="G88" i="40" s="1"/>
  <c r="F19" i="40"/>
  <c r="H19" i="40"/>
  <c r="U19" i="40" s="1"/>
  <c r="J19" i="40"/>
  <c r="W17" i="40"/>
  <c r="AC17" i="40"/>
  <c r="F17" i="40"/>
  <c r="AA17" i="40" s="1"/>
  <c r="H17" i="40"/>
  <c r="AB17" i="40" s="1"/>
  <c r="W21" i="40"/>
  <c r="AB40" i="40"/>
  <c r="U10" i="40"/>
  <c r="U27" i="40"/>
  <c r="AB27" i="40"/>
  <c r="S11" i="39"/>
  <c r="AC38" i="39"/>
  <c r="AC21" i="39"/>
  <c r="AB15" i="39"/>
  <c r="AB38" i="39"/>
  <c r="U31" i="39"/>
  <c r="AB31" i="39"/>
  <c r="S38" i="39"/>
  <c r="M20" i="15"/>
  <c r="D96" i="9"/>
  <c r="F28" i="15"/>
  <c r="C28" i="15" s="1"/>
  <c r="M18" i="15"/>
  <c r="BA16" i="3"/>
  <c r="AZ16" i="3" s="1"/>
  <c r="BA17" i="3"/>
  <c r="AZ17" i="3" s="1"/>
  <c r="F3" i="35"/>
  <c r="K1" i="43"/>
  <c r="K1" i="12"/>
  <c r="G1" i="44"/>
  <c r="I4" i="6"/>
  <c r="G3" i="46" s="1"/>
  <c r="J22" i="46" s="1"/>
  <c r="AZ15" i="3"/>
  <c r="BK5" i="3"/>
  <c r="BP5" i="3"/>
  <c r="BL18" i="3"/>
  <c r="BD5" i="3"/>
  <c r="BS5" i="3"/>
  <c r="BL16" i="3"/>
  <c r="BA13" i="3"/>
  <c r="H48" i="46"/>
  <c r="H53" i="46"/>
  <c r="H50" i="46"/>
  <c r="H51" i="46"/>
  <c r="E11" i="46"/>
  <c r="E10" i="46"/>
  <c r="N8" i="46"/>
  <c r="N4" i="46"/>
  <c r="N1" i="46"/>
  <c r="M9" i="46"/>
  <c r="M2" i="46"/>
  <c r="N11" i="46"/>
  <c r="N9" i="46"/>
  <c r="F69" i="46"/>
  <c r="H75" i="46" s="1"/>
  <c r="M4" i="46"/>
  <c r="M12" i="46"/>
  <c r="M8" i="46"/>
  <c r="M3" i="46"/>
  <c r="M5" i="46"/>
  <c r="H6" i="48"/>
  <c r="E9" i="46"/>
  <c r="H15" i="48"/>
  <c r="H5" i="48"/>
  <c r="H14" i="48"/>
  <c r="F36" i="46"/>
  <c r="J17" i="46"/>
  <c r="F39" i="46"/>
  <c r="H13" i="48"/>
  <c r="H11" i="48"/>
  <c r="E8" i="46"/>
  <c r="C7" i="46"/>
  <c r="E17" i="46"/>
  <c r="D71" i="46"/>
  <c r="D84" i="46"/>
  <c r="E80" i="46"/>
  <c r="B78" i="46" s="1"/>
  <c r="D69" i="46"/>
  <c r="E47" i="46"/>
  <c r="B45" i="46" s="1"/>
  <c r="E58" i="46"/>
  <c r="B56" i="46" s="1"/>
  <c r="A4" i="64"/>
  <c r="A4" i="51"/>
  <c r="B6" i="63" s="1"/>
  <c r="C51" i="10"/>
  <c r="H61" i="46"/>
  <c r="H71" i="46"/>
  <c r="H76" i="46"/>
  <c r="I100" i="46"/>
  <c r="C24" i="46"/>
  <c r="N100" i="46"/>
  <c r="H100" i="46"/>
  <c r="F108" i="46"/>
  <c r="H80" i="46"/>
  <c r="E100" i="46"/>
  <c r="G100" i="46"/>
  <c r="H84" i="46"/>
  <c r="H65" i="46"/>
  <c r="C100" i="46"/>
  <c r="J100" i="46"/>
  <c r="M100" i="46"/>
  <c r="W11" i="35"/>
  <c r="U13" i="37"/>
  <c r="C24" i="9"/>
  <c r="C25" i="9"/>
  <c r="G9" i="1"/>
  <c r="I20" i="46"/>
  <c r="C20" i="46" s="1"/>
  <c r="B46" i="50"/>
  <c r="B4" i="63" s="1"/>
  <c r="C46" i="36"/>
  <c r="D46" i="36" s="1"/>
  <c r="E46" i="36" s="1"/>
  <c r="F46" i="36" s="1"/>
  <c r="C48" i="35"/>
  <c r="D48" i="35" s="1"/>
  <c r="C52" i="37"/>
  <c r="D52" i="37" s="1"/>
  <c r="E52" i="37" s="1"/>
  <c r="F52" i="37" s="1"/>
  <c r="G52" i="37" s="1"/>
  <c r="H52" i="37" s="1"/>
  <c r="I52" i="37" s="1"/>
  <c r="O19" i="46"/>
  <c r="H77" i="46"/>
  <c r="H73" i="46"/>
  <c r="H69" i="46"/>
  <c r="H74" i="46"/>
  <c r="H86" i="46"/>
  <c r="H82" i="46"/>
  <c r="H59" i="46"/>
  <c r="H60" i="46"/>
  <c r="H10" i="48"/>
  <c r="H87" i="46"/>
  <c r="H85" i="46"/>
  <c r="H83" i="46"/>
  <c r="K10" i="1"/>
  <c r="M10" i="1" s="1"/>
  <c r="S11" i="1"/>
  <c r="R11" i="1"/>
  <c r="S13" i="1"/>
  <c r="R13" i="1"/>
  <c r="B6" i="1"/>
  <c r="E6" i="1" s="1"/>
  <c r="B10" i="1"/>
  <c r="E10" i="1" s="1"/>
  <c r="S10" i="1"/>
  <c r="B8" i="1"/>
  <c r="E8" i="1"/>
  <c r="B12" i="1"/>
  <c r="E12" i="1"/>
  <c r="S12" i="1"/>
  <c r="K6" i="1"/>
  <c r="M6" i="1" s="1"/>
  <c r="G1" i="15"/>
  <c r="F66" i="36"/>
  <c r="G66" i="36" s="1"/>
  <c r="H18" i="36"/>
  <c r="AB18" i="36" s="1"/>
  <c r="U16" i="36"/>
  <c r="S25" i="36"/>
  <c r="U23" i="36"/>
  <c r="AC27" i="36"/>
  <c r="W28" i="36"/>
  <c r="AA22" i="36"/>
  <c r="U10" i="36"/>
  <c r="AA13" i="36"/>
  <c r="W29" i="36"/>
  <c r="W9" i="36"/>
  <c r="S9" i="36"/>
  <c r="W8" i="36"/>
  <c r="AC30" i="35"/>
  <c r="W32" i="35"/>
  <c r="AA33" i="35"/>
  <c r="U32" i="35"/>
  <c r="W22" i="35"/>
  <c r="W34" i="35"/>
  <c r="S32" i="35"/>
  <c r="W35" i="37"/>
  <c r="AC33" i="37"/>
  <c r="U33" i="37"/>
  <c r="AC15" i="37"/>
  <c r="AA13" i="37"/>
  <c r="S12" i="37"/>
  <c r="W38" i="37"/>
  <c r="W36" i="37"/>
  <c r="U26" i="37"/>
  <c r="W13" i="37"/>
  <c r="U38" i="37"/>
  <c r="AB35" i="34"/>
  <c r="AB47" i="34"/>
  <c r="AB13" i="34"/>
  <c r="S19" i="34"/>
  <c r="S8" i="34"/>
  <c r="AA19" i="33"/>
  <c r="AC25" i="33"/>
  <c r="AB42" i="33"/>
  <c r="S15" i="33"/>
  <c r="S9" i="33"/>
  <c r="S39" i="21"/>
  <c r="AA25" i="21"/>
  <c r="AC37" i="21"/>
  <c r="AA15" i="21"/>
  <c r="G96" i="40"/>
  <c r="J27" i="40"/>
  <c r="W27" i="40" s="1"/>
  <c r="W37" i="40"/>
  <c r="S34" i="40"/>
  <c r="U38" i="40"/>
  <c r="S40" i="40"/>
  <c r="S42" i="40"/>
  <c r="G105" i="39"/>
  <c r="J31" i="39"/>
  <c r="AC31" i="39" s="1"/>
  <c r="S45" i="39"/>
  <c r="AB33" i="39"/>
  <c r="W36" i="39"/>
  <c r="AC37" i="39"/>
  <c r="W16" i="39"/>
  <c r="W45" i="39"/>
  <c r="S41" i="39"/>
  <c r="W10" i="39"/>
  <c r="W40" i="39"/>
  <c r="S32" i="40"/>
  <c r="C17" i="40"/>
  <c r="C19" i="40"/>
  <c r="C17" i="39"/>
  <c r="C19" i="39"/>
  <c r="C21" i="39"/>
  <c r="B48" i="46"/>
  <c r="B55" i="46"/>
  <c r="B59" i="46"/>
  <c r="B62" i="46"/>
  <c r="B53" i="46"/>
  <c r="B64" i="46"/>
  <c r="AB20" i="36"/>
  <c r="AC14" i="36"/>
  <c r="U14" i="36"/>
  <c r="AB14" i="36"/>
  <c r="U18" i="36"/>
  <c r="U26" i="35"/>
  <c r="S19" i="37"/>
  <c r="W19" i="37"/>
  <c r="AB19" i="37"/>
  <c r="AC17" i="37"/>
  <c r="W17" i="37"/>
  <c r="AA25" i="34"/>
  <c r="S25" i="34"/>
  <c r="W25" i="34"/>
  <c r="AC25" i="34"/>
  <c r="U23" i="34"/>
  <c r="AB23" i="34"/>
  <c r="AC23" i="34"/>
  <c r="AA25" i="33"/>
  <c r="S25" i="33"/>
  <c r="U23" i="33"/>
  <c r="W23" i="33"/>
  <c r="S23" i="33"/>
  <c r="AA23" i="33"/>
  <c r="W17" i="33"/>
  <c r="AA17" i="33"/>
  <c r="U17" i="33"/>
  <c r="AB17" i="33"/>
  <c r="U23" i="21"/>
  <c r="AB23" i="21"/>
  <c r="U15" i="21"/>
  <c r="AB15" i="21"/>
  <c r="AB39" i="40"/>
  <c r="U39" i="40"/>
  <c r="AA39" i="40"/>
  <c r="S39" i="40"/>
  <c r="U37" i="40"/>
  <c r="AB37" i="40"/>
  <c r="AA37" i="40"/>
  <c r="U29" i="40"/>
  <c r="AB29" i="40"/>
  <c r="AC29" i="40"/>
  <c r="AA29" i="40"/>
  <c r="W19" i="40"/>
  <c r="AC19" i="40"/>
  <c r="AA19" i="40"/>
  <c r="S19" i="40"/>
  <c r="AB19" i="40"/>
  <c r="H70" i="46"/>
  <c r="H72" i="46"/>
  <c r="A9" i="64"/>
  <c r="A9" i="51"/>
  <c r="B9" i="63" s="1"/>
  <c r="J18" i="36"/>
  <c r="W18" i="36" s="1"/>
  <c r="AE7" i="1"/>
  <c r="AE6" i="1"/>
  <c r="AC18" i="36"/>
  <c r="AG6" i="1"/>
  <c r="L20" i="6"/>
  <c r="F7" i="21"/>
  <c r="AA7" i="21" s="1"/>
  <c r="R48" i="21" s="1"/>
  <c r="H7" i="21"/>
  <c r="U7" i="21" s="1"/>
  <c r="S9" i="1"/>
  <c r="R9" i="1"/>
  <c r="C45" i="9"/>
  <c r="H14" i="66" s="1"/>
  <c r="B7" i="66" s="1"/>
  <c r="O40" i="9"/>
  <c r="R7" i="54" s="1"/>
  <c r="B52" i="63" s="1"/>
  <c r="K31" i="9"/>
  <c r="K32" i="9"/>
  <c r="C46" i="9"/>
  <c r="K33" i="9" s="1"/>
  <c r="F28" i="44"/>
  <c r="F45" i="44"/>
  <c r="F13" i="15"/>
  <c r="F13" i="67"/>
  <c r="B12" i="67"/>
  <c r="M11" i="44"/>
  <c r="F8" i="15"/>
  <c r="F10" i="44"/>
  <c r="B8" i="67"/>
  <c r="F10" i="67"/>
  <c r="M29" i="44"/>
  <c r="E11" i="67"/>
  <c r="F12" i="67"/>
  <c r="L48" i="44"/>
  <c r="F43" i="44"/>
  <c r="E13" i="67"/>
  <c r="M9" i="15"/>
  <c r="E10" i="67"/>
  <c r="F38" i="15"/>
  <c r="M24" i="44"/>
  <c r="F40" i="44"/>
  <c r="F37" i="15"/>
  <c r="M26" i="15"/>
  <c r="E8" i="67"/>
  <c r="F39" i="44"/>
  <c r="B11" i="67"/>
  <c r="M23" i="44"/>
  <c r="J17" i="44"/>
  <c r="E9" i="67"/>
  <c r="F6" i="15"/>
  <c r="M10" i="44"/>
  <c r="J36" i="15"/>
  <c r="M31" i="44"/>
  <c r="L49" i="44"/>
  <c r="F14" i="67"/>
  <c r="L47" i="15"/>
  <c r="M8" i="15"/>
  <c r="F15" i="44"/>
  <c r="M6" i="15"/>
  <c r="F42" i="15"/>
  <c r="F36" i="15"/>
  <c r="F9" i="15"/>
  <c r="F16" i="15"/>
  <c r="M26" i="44"/>
  <c r="F38" i="44"/>
  <c r="B13" i="67"/>
  <c r="E12" i="67"/>
  <c r="M28" i="44"/>
  <c r="C19" i="44"/>
  <c r="M8" i="44"/>
  <c r="F46" i="44"/>
  <c r="M22" i="15"/>
  <c r="M24" i="15"/>
  <c r="F37" i="44"/>
  <c r="F9" i="67"/>
  <c r="F18" i="44"/>
  <c r="M23" i="15"/>
  <c r="F8" i="67"/>
  <c r="B9" i="67"/>
  <c r="L48" i="15"/>
  <c r="B14" i="67"/>
  <c r="M27" i="15"/>
  <c r="J15" i="15"/>
  <c r="F9" i="44"/>
  <c r="F8" i="44"/>
  <c r="M30" i="44"/>
  <c r="B10" i="67"/>
  <c r="F26" i="15"/>
  <c r="F11" i="44"/>
  <c r="F11" i="67"/>
  <c r="M25" i="44"/>
  <c r="M28" i="15"/>
  <c r="F40" i="15"/>
  <c r="E14" i="67"/>
  <c r="S7" i="21" l="1"/>
  <c r="G23" i="43"/>
  <c r="G26" i="12"/>
  <c r="G28" i="12"/>
  <c r="D24" i="15"/>
  <c r="W11" i="39"/>
  <c r="U11" i="39"/>
  <c r="C15" i="43"/>
  <c r="M43" i="9"/>
  <c r="AZ548" i="3"/>
  <c r="R22" i="31"/>
  <c r="B21" i="31" s="1"/>
  <c r="B20" i="31"/>
  <c r="AZ521" i="3"/>
  <c r="AZ518" i="3"/>
  <c r="AZ510" i="3"/>
  <c r="AZ508" i="3"/>
  <c r="F30" i="6"/>
  <c r="AZ496" i="3"/>
  <c r="AZ493" i="3"/>
  <c r="AZ498" i="3"/>
  <c r="AC39" i="40"/>
  <c r="W15" i="21"/>
  <c r="AA23" i="21"/>
  <c r="AA23" i="34"/>
  <c r="U25" i="34"/>
  <c r="W26" i="35"/>
  <c r="S17" i="40"/>
  <c r="AA21" i="39"/>
  <c r="U33" i="40"/>
  <c r="W14" i="33"/>
  <c r="U15" i="34"/>
  <c r="AA27" i="34"/>
  <c r="U32" i="37"/>
  <c r="AB37" i="37"/>
  <c r="S32" i="33"/>
  <c r="AC15" i="34"/>
  <c r="W15" i="34"/>
  <c r="F15" i="40"/>
  <c r="F23" i="39"/>
  <c r="AA23" i="39" s="1"/>
  <c r="H23" i="39"/>
  <c r="AB23" i="39" s="1"/>
  <c r="J14" i="39"/>
  <c r="AC14" i="39" s="1"/>
  <c r="AZ512" i="3"/>
  <c r="AZ552" i="3"/>
  <c r="AZ354" i="3"/>
  <c r="AZ189" i="3"/>
  <c r="BL495" i="3"/>
  <c r="U31" i="33"/>
  <c r="AB31" i="33"/>
  <c r="U29" i="36"/>
  <c r="AB32" i="33"/>
  <c r="U32" i="33"/>
  <c r="S12" i="33"/>
  <c r="AA12" i="33"/>
  <c r="F26" i="33"/>
  <c r="H26" i="33"/>
  <c r="J26" i="33"/>
  <c r="U14" i="37"/>
  <c r="AB14" i="37"/>
  <c r="F28" i="37"/>
  <c r="H28" i="37"/>
  <c r="F40" i="37"/>
  <c r="J40" i="37"/>
  <c r="H40" i="37"/>
  <c r="BA567" i="3"/>
  <c r="AZ567" i="3" s="1"/>
  <c r="BL565" i="3"/>
  <c r="AZ565" i="3" s="1"/>
  <c r="BL563" i="3"/>
  <c r="BA563" i="3"/>
  <c r="AZ563" i="3" s="1"/>
  <c r="BA562" i="3"/>
  <c r="BA561" i="3"/>
  <c r="AZ561" i="3" s="1"/>
  <c r="BL557" i="3"/>
  <c r="BA557" i="3"/>
  <c r="AZ557" i="3" s="1"/>
  <c r="BA556" i="3"/>
  <c r="BL555" i="3"/>
  <c r="AZ555" i="3" s="1"/>
  <c r="BA553" i="3"/>
  <c r="BL542" i="3"/>
  <c r="AZ541" i="3"/>
  <c r="BL518" i="3"/>
  <c r="BL517" i="3"/>
  <c r="AZ517" i="3" s="1"/>
  <c r="BA515" i="3"/>
  <c r="AZ515" i="3" s="1"/>
  <c r="BA513" i="3"/>
  <c r="AZ513" i="3" s="1"/>
  <c r="BA512" i="3"/>
  <c r="BL511" i="3"/>
  <c r="BA511" i="3"/>
  <c r="AZ511" i="3" s="1"/>
  <c r="BL509" i="3"/>
  <c r="AZ509" i="3" s="1"/>
  <c r="BA509" i="3"/>
  <c r="BA507" i="3"/>
  <c r="AZ507" i="3" s="1"/>
  <c r="BL506" i="3"/>
  <c r="AZ506" i="3" s="1"/>
  <c r="BL505" i="3"/>
  <c r="AZ505" i="3" s="1"/>
  <c r="BA504" i="3"/>
  <c r="AZ504" i="3" s="1"/>
  <c r="BL503" i="3"/>
  <c r="AZ503" i="3" s="1"/>
  <c r="S14" i="36"/>
  <c r="C23" i="40"/>
  <c r="AC46" i="39"/>
  <c r="U17" i="40"/>
  <c r="U27" i="21"/>
  <c r="W25" i="21"/>
  <c r="AB14" i="33"/>
  <c r="AA11" i="35"/>
  <c r="AA12" i="36"/>
  <c r="E69" i="46"/>
  <c r="B67" i="46" s="1"/>
  <c r="BM5" i="3"/>
  <c r="F29" i="6" s="1"/>
  <c r="E29" i="6" s="1"/>
  <c r="K15" i="1" s="1"/>
  <c r="AA23" i="40"/>
  <c r="W38" i="40"/>
  <c r="W33" i="40"/>
  <c r="S10" i="33"/>
  <c r="AB34" i="33"/>
  <c r="S35" i="33"/>
  <c r="S9" i="34"/>
  <c r="U28" i="34"/>
  <c r="AB25" i="37"/>
  <c r="W28" i="37"/>
  <c r="F26" i="35"/>
  <c r="AC13" i="40"/>
  <c r="AA37" i="39"/>
  <c r="AC37" i="34"/>
  <c r="AB34" i="40"/>
  <c r="U15" i="33"/>
  <c r="J29" i="39"/>
  <c r="AC29" i="39" s="1"/>
  <c r="AC14" i="40"/>
  <c r="F27" i="43"/>
  <c r="C27" i="43" s="1"/>
  <c r="F34" i="44"/>
  <c r="F32" i="15"/>
  <c r="F59" i="15" s="1"/>
  <c r="M20" i="44"/>
  <c r="H14" i="39"/>
  <c r="AZ490" i="3"/>
  <c r="BL499" i="3"/>
  <c r="S11" i="33"/>
  <c r="AA11" i="33"/>
  <c r="AA16" i="35"/>
  <c r="S16" i="35"/>
  <c r="AZ298" i="3"/>
  <c r="AZ118" i="3"/>
  <c r="U13" i="35"/>
  <c r="AB13" i="35"/>
  <c r="S45" i="21"/>
  <c r="AA45" i="21"/>
  <c r="AA34" i="21"/>
  <c r="S34" i="21"/>
  <c r="H5" i="3"/>
  <c r="G13" i="3"/>
  <c r="BL572" i="3"/>
  <c r="BA571" i="3"/>
  <c r="AZ571" i="3" s="1"/>
  <c r="AA10" i="21"/>
  <c r="S10" i="21"/>
  <c r="J27" i="21"/>
  <c r="F27" i="21"/>
  <c r="H31" i="21"/>
  <c r="J31" i="21"/>
  <c r="F31" i="21"/>
  <c r="W9" i="34"/>
  <c r="AC9" i="34"/>
  <c r="AC8" i="35"/>
  <c r="W8" i="35"/>
  <c r="AB27" i="35"/>
  <c r="U27" i="35"/>
  <c r="U30" i="36"/>
  <c r="AB30" i="36"/>
  <c r="BL569" i="3"/>
  <c r="BA569" i="3"/>
  <c r="BL568" i="3"/>
  <c r="AZ568" i="3" s="1"/>
  <c r="BL550" i="3"/>
  <c r="BA550" i="3"/>
  <c r="AZ550" i="3" s="1"/>
  <c r="BL549" i="3"/>
  <c r="AZ549" i="3" s="1"/>
  <c r="BL548" i="3"/>
  <c r="BL547" i="3"/>
  <c r="AZ547" i="3" s="1"/>
  <c r="BA523" i="3"/>
  <c r="AZ523" i="3" s="1"/>
  <c r="BA522" i="3"/>
  <c r="AZ522" i="3" s="1"/>
  <c r="BL521" i="3"/>
  <c r="BA520" i="3"/>
  <c r="AZ520" i="3" s="1"/>
  <c r="BA519" i="3"/>
  <c r="AZ519" i="3" s="1"/>
  <c r="BA494" i="3"/>
  <c r="AZ494" i="3" s="1"/>
  <c r="BL493" i="3"/>
  <c r="BA492" i="3"/>
  <c r="AZ492" i="3" s="1"/>
  <c r="BL491" i="3"/>
  <c r="BL490" i="3"/>
  <c r="BJ5" i="3"/>
  <c r="BA489" i="3"/>
  <c r="AZ489" i="3" s="1"/>
  <c r="BB5" i="3"/>
  <c r="BL488" i="3"/>
  <c r="BA488" i="3"/>
  <c r="BA487" i="3"/>
  <c r="AZ487" i="3" s="1"/>
  <c r="BL486" i="3"/>
  <c r="AZ486" i="3" s="1"/>
  <c r="BL485" i="3"/>
  <c r="BE5" i="3"/>
  <c r="BA485" i="3"/>
  <c r="AZ485" i="3" s="1"/>
  <c r="BL483" i="3"/>
  <c r="AZ483" i="3" s="1"/>
  <c r="BH5" i="3"/>
  <c r="BA482" i="3"/>
  <c r="AZ482" i="3" s="1"/>
  <c r="BT5" i="3"/>
  <c r="G28" i="6" s="1"/>
  <c r="AZ491" i="3"/>
  <c r="AZ564" i="3"/>
  <c r="AZ151" i="3"/>
  <c r="AZ146" i="3"/>
  <c r="AA39" i="33"/>
  <c r="S39" i="33"/>
  <c r="AA40" i="33"/>
  <c r="S40" i="33"/>
  <c r="AC38" i="34"/>
  <c r="W38" i="34"/>
  <c r="BA500" i="3"/>
  <c r="AZ500" i="3" s="1"/>
  <c r="BA499" i="3"/>
  <c r="AZ499" i="3" s="1"/>
  <c r="BL498" i="3"/>
  <c r="BL497" i="3"/>
  <c r="AZ497" i="3" s="1"/>
  <c r="BL496" i="3"/>
  <c r="AA17" i="37"/>
  <c r="S17" i="37"/>
  <c r="U43" i="33"/>
  <c r="AB43" i="33"/>
  <c r="J27" i="34"/>
  <c r="H27" i="34"/>
  <c r="BA495" i="3"/>
  <c r="AA20" i="36"/>
  <c r="B66" i="46"/>
  <c r="B51" i="46"/>
  <c r="C27" i="39"/>
  <c r="S15" i="39"/>
  <c r="W23" i="39"/>
  <c r="W30" i="40"/>
  <c r="AB25" i="21"/>
  <c r="S43" i="33"/>
  <c r="S26" i="37"/>
  <c r="U13" i="36"/>
  <c r="U35" i="40"/>
  <c r="AA30" i="21"/>
  <c r="S42" i="21"/>
  <c r="AB10" i="33"/>
  <c r="AB41" i="34"/>
  <c r="AC11" i="34"/>
  <c r="AC33" i="35"/>
  <c r="S33" i="36"/>
  <c r="S17" i="34"/>
  <c r="AC15" i="33"/>
  <c r="AB46" i="39"/>
  <c r="F97" i="39"/>
  <c r="G97" i="39" s="1"/>
  <c r="U17" i="21"/>
  <c r="S47" i="39"/>
  <c r="AB14" i="40"/>
  <c r="AC34" i="40"/>
  <c r="W16" i="40"/>
  <c r="AC16" i="40"/>
  <c r="F35" i="40"/>
  <c r="J15" i="40"/>
  <c r="U38" i="34"/>
  <c r="AB38" i="34"/>
  <c r="AZ481" i="3"/>
  <c r="AZ525" i="3"/>
  <c r="S29" i="35"/>
  <c r="AA29" i="35"/>
  <c r="F46" i="39"/>
  <c r="W31" i="37"/>
  <c r="S11" i="36"/>
  <c r="AA11" i="36"/>
  <c r="AA35" i="34"/>
  <c r="AC19" i="33"/>
  <c r="W32" i="36"/>
  <c r="AB16" i="35"/>
  <c r="AZ381" i="3"/>
  <c r="AZ358" i="3"/>
  <c r="AZ330" i="3"/>
  <c r="AZ379" i="3"/>
  <c r="AB31" i="37"/>
  <c r="U31" i="37"/>
  <c r="S10" i="35"/>
  <c r="S36" i="37"/>
  <c r="AA36" i="37"/>
  <c r="W41" i="34"/>
  <c r="AC41" i="34"/>
  <c r="BL516" i="3"/>
  <c r="AZ516" i="3" s="1"/>
  <c r="BL564" i="3"/>
  <c r="AZ540" i="3"/>
  <c r="W27" i="37"/>
  <c r="AC27" i="37"/>
  <c r="AA38" i="37"/>
  <c r="S38" i="37"/>
  <c r="AC37" i="37"/>
  <c r="W37" i="37"/>
  <c r="AC43" i="34"/>
  <c r="AB19" i="21"/>
  <c r="U19" i="21"/>
  <c r="S38" i="21"/>
  <c r="AA38" i="21"/>
  <c r="U8" i="34"/>
  <c r="AB8" i="34"/>
  <c r="J12" i="33"/>
  <c r="H12" i="33"/>
  <c r="H30" i="33"/>
  <c r="F30" i="33"/>
  <c r="J23" i="35"/>
  <c r="F23" i="35"/>
  <c r="F35" i="35"/>
  <c r="H35" i="35"/>
  <c r="F32" i="36"/>
  <c r="H32" i="36"/>
  <c r="BL552" i="3"/>
  <c r="BA551" i="3"/>
  <c r="AZ551" i="3" s="1"/>
  <c r="BA545" i="3"/>
  <c r="AZ545" i="3" s="1"/>
  <c r="BA544" i="3"/>
  <c r="AZ544" i="3" s="1"/>
  <c r="BA542" i="3"/>
  <c r="BL539" i="3"/>
  <c r="AZ539" i="3" s="1"/>
  <c r="BA537" i="3"/>
  <c r="AZ537" i="3" s="1"/>
  <c r="BL535" i="3"/>
  <c r="AZ535" i="3" s="1"/>
  <c r="BL533" i="3"/>
  <c r="AZ533" i="3" s="1"/>
  <c r="BA531" i="3"/>
  <c r="AZ531" i="3" s="1"/>
  <c r="BA530" i="3"/>
  <c r="AZ530" i="3" s="1"/>
  <c r="BA529" i="3"/>
  <c r="AZ529" i="3" s="1"/>
  <c r="BA528" i="3"/>
  <c r="AZ528" i="3" s="1"/>
  <c r="BA502" i="3"/>
  <c r="AZ502" i="3" s="1"/>
  <c r="G498" i="3"/>
  <c r="AZ322" i="3"/>
  <c r="AZ299" i="3"/>
  <c r="AZ377" i="3"/>
  <c r="BL514" i="3"/>
  <c r="AZ514" i="3" s="1"/>
  <c r="BL546" i="3"/>
  <c r="AZ546" i="3" s="1"/>
  <c r="BF5" i="3"/>
  <c r="H12" i="35"/>
  <c r="F12" i="35"/>
  <c r="J12" i="35"/>
  <c r="AC24" i="35"/>
  <c r="W24" i="35"/>
  <c r="AC23" i="36"/>
  <c r="W23" i="36"/>
  <c r="W24" i="36"/>
  <c r="AC24" i="36"/>
  <c r="G547" i="3"/>
  <c r="G540" i="3"/>
  <c r="G539" i="3"/>
  <c r="BA501" i="3"/>
  <c r="AZ501" i="3" s="1"/>
  <c r="G496" i="3"/>
  <c r="AC29" i="33"/>
  <c r="AZ378" i="3"/>
  <c r="AZ338" i="3"/>
  <c r="BL484" i="3"/>
  <c r="AZ484" i="3" s="1"/>
  <c r="BL524" i="3"/>
  <c r="AZ524" i="3" s="1"/>
  <c r="BL562" i="3"/>
  <c r="H34" i="36"/>
  <c r="J34" i="36"/>
  <c r="F34" i="36"/>
  <c r="W31" i="36"/>
  <c r="AC31" i="36"/>
  <c r="F14" i="37"/>
  <c r="J14" i="37"/>
  <c r="AC41" i="33"/>
  <c r="W41" i="33"/>
  <c r="AB34" i="37"/>
  <c r="U34" i="37"/>
  <c r="BA558" i="3"/>
  <c r="AZ558" i="3" s="1"/>
  <c r="G555" i="3"/>
  <c r="BL553" i="3"/>
  <c r="G551" i="3"/>
  <c r="G520" i="3"/>
  <c r="BL519" i="3"/>
  <c r="G517" i="3"/>
  <c r="BA19" i="3"/>
  <c r="AZ19" i="3" s="1"/>
  <c r="S10" i="36"/>
  <c r="C23" i="39"/>
  <c r="BA570" i="3"/>
  <c r="AZ570" i="3" s="1"/>
  <c r="H13" i="21"/>
  <c r="F13" i="21"/>
  <c r="J29" i="21"/>
  <c r="F29" i="21"/>
  <c r="J45" i="21"/>
  <c r="H45" i="21"/>
  <c r="F9" i="21"/>
  <c r="S9" i="21" s="1"/>
  <c r="H9" i="35"/>
  <c r="J9" i="35"/>
  <c r="H12" i="36"/>
  <c r="G532" i="3"/>
  <c r="G489" i="3"/>
  <c r="G19" i="3"/>
  <c r="G14" i="3"/>
  <c r="AZ405" i="3"/>
  <c r="V53" i="59"/>
  <c r="Q53" i="59"/>
  <c r="F52" i="59"/>
  <c r="T57" i="59"/>
  <c r="D57" i="59"/>
  <c r="C56" i="59"/>
  <c r="V61" i="59"/>
  <c r="F60" i="59"/>
  <c r="F59" i="59" s="1"/>
  <c r="F13" i="59"/>
  <c r="AB13" i="59"/>
  <c r="AB12" i="59"/>
  <c r="AB10" i="59"/>
  <c r="AB3" i="59"/>
  <c r="AA3" i="59"/>
  <c r="G563" i="3"/>
  <c r="G552" i="3"/>
  <c r="G15" i="3"/>
  <c r="G5" i="3" s="1"/>
  <c r="B3" i="3" s="1"/>
  <c r="AZ443" i="3"/>
  <c r="AZ465" i="3"/>
  <c r="AB36" i="39"/>
  <c r="U36" i="39"/>
  <c r="AA36" i="39"/>
  <c r="S36" i="39"/>
  <c r="AB11" i="40"/>
  <c r="U11" i="40"/>
  <c r="AZ435" i="3"/>
  <c r="AZ258" i="3"/>
  <c r="AZ264" i="3"/>
  <c r="BL390" i="3"/>
  <c r="AZ390" i="3" s="1"/>
  <c r="G396" i="3"/>
  <c r="BL396" i="3"/>
  <c r="BA402" i="3"/>
  <c r="AZ402" i="3" s="1"/>
  <c r="BA403" i="3"/>
  <c r="AZ403" i="3" s="1"/>
  <c r="G406" i="3"/>
  <c r="BL406" i="3"/>
  <c r="AZ406" i="3" s="1"/>
  <c r="G412" i="3"/>
  <c r="BL412" i="3"/>
  <c r="BA420" i="3"/>
  <c r="AZ420" i="3" s="1"/>
  <c r="BL422" i="3"/>
  <c r="AZ422" i="3" s="1"/>
  <c r="G428" i="3"/>
  <c r="G429" i="3"/>
  <c r="BL429" i="3"/>
  <c r="AZ429" i="3" s="1"/>
  <c r="BA432" i="3"/>
  <c r="AZ432" i="3" s="1"/>
  <c r="BA433" i="3"/>
  <c r="AZ433" i="3" s="1"/>
  <c r="BA434" i="3"/>
  <c r="AZ434" i="3" s="1"/>
  <c r="BL436" i="3"/>
  <c r="AZ436" i="3" s="1"/>
  <c r="G444" i="3"/>
  <c r="G445" i="3"/>
  <c r="BL445" i="3"/>
  <c r="BL450" i="3"/>
  <c r="AZ450" i="3" s="1"/>
  <c r="BL456" i="3"/>
  <c r="AZ456" i="3" s="1"/>
  <c r="BA462" i="3"/>
  <c r="AZ462" i="3" s="1"/>
  <c r="BA463" i="3"/>
  <c r="AZ463" i="3" s="1"/>
  <c r="G466" i="3"/>
  <c r="G467" i="3"/>
  <c r="G468" i="3"/>
  <c r="BL468" i="3"/>
  <c r="BA473" i="3"/>
  <c r="AZ473" i="3" s="1"/>
  <c r="BA474" i="3"/>
  <c r="AZ474" i="3" s="1"/>
  <c r="BL308" i="3"/>
  <c r="AZ308" i="3" s="1"/>
  <c r="G309" i="3"/>
  <c r="BA387" i="3"/>
  <c r="AZ387" i="3" s="1"/>
  <c r="BL206" i="3"/>
  <c r="BA208" i="3"/>
  <c r="G212" i="3"/>
  <c r="AZ214" i="3"/>
  <c r="BA239" i="3"/>
  <c r="AZ239" i="3" s="1"/>
  <c r="BL244" i="3"/>
  <c r="AZ244" i="3" s="1"/>
  <c r="BA245" i="3"/>
  <c r="BL257" i="3"/>
  <c r="G258" i="3"/>
  <c r="BL258" i="3"/>
  <c r="BL264" i="3"/>
  <c r="BA265" i="3"/>
  <c r="AZ265" i="3" s="1"/>
  <c r="AZ279" i="3"/>
  <c r="BA117" i="3"/>
  <c r="AZ117" i="3" s="1"/>
  <c r="BL118" i="3"/>
  <c r="G119" i="3"/>
  <c r="BA141" i="3"/>
  <c r="AZ172" i="3"/>
  <c r="G572" i="3"/>
  <c r="G569" i="3"/>
  <c r="G543" i="3"/>
  <c r="G528" i="3"/>
  <c r="G511" i="3"/>
  <c r="G500" i="3"/>
  <c r="G490" i="3"/>
  <c r="BL393" i="3"/>
  <c r="BA397" i="3"/>
  <c r="AZ397" i="3" s="1"/>
  <c r="BA398" i="3"/>
  <c r="AZ398" i="3" s="1"/>
  <c r="BA399" i="3"/>
  <c r="AZ399" i="3" s="1"/>
  <c r="BL401" i="3"/>
  <c r="AZ401" i="3" s="1"/>
  <c r="BL409" i="3"/>
  <c r="AZ409" i="3" s="1"/>
  <c r="BA413" i="3"/>
  <c r="AZ413" i="3" s="1"/>
  <c r="BA414" i="3"/>
  <c r="AZ414" i="3" s="1"/>
  <c r="BA415" i="3"/>
  <c r="AZ415" i="3" s="1"/>
  <c r="BL419" i="3"/>
  <c r="BL425" i="3"/>
  <c r="AZ425" i="3" s="1"/>
  <c r="BL431" i="3"/>
  <c r="AZ431" i="3" s="1"/>
  <c r="BA437" i="3"/>
  <c r="AZ437" i="3" s="1"/>
  <c r="BA438" i="3"/>
  <c r="AZ438" i="3" s="1"/>
  <c r="BA439" i="3"/>
  <c r="AZ439" i="3" s="1"/>
  <c r="BL441" i="3"/>
  <c r="AZ441" i="3" s="1"/>
  <c r="BL448" i="3"/>
  <c r="BA451" i="3"/>
  <c r="AZ451" i="3" s="1"/>
  <c r="BA452" i="3"/>
  <c r="AZ452" i="3" s="1"/>
  <c r="BL454" i="3"/>
  <c r="AZ454" i="3" s="1"/>
  <c r="BA457" i="3"/>
  <c r="AZ457" i="3" s="1"/>
  <c r="BA458" i="3"/>
  <c r="AZ458" i="3" s="1"/>
  <c r="BA459" i="3"/>
  <c r="AZ459" i="3" s="1"/>
  <c r="BL461" i="3"/>
  <c r="AZ461" i="3" s="1"/>
  <c r="BL472" i="3"/>
  <c r="AZ211" i="3"/>
  <c r="BA224" i="3"/>
  <c r="BA235" i="3"/>
  <c r="AZ235" i="3" s="1"/>
  <c r="BA294" i="3"/>
  <c r="AZ44" i="3"/>
  <c r="AZ95" i="3"/>
  <c r="AZ100" i="3"/>
  <c r="D29" i="59"/>
  <c r="T29" i="59"/>
  <c r="BL389" i="3"/>
  <c r="AZ389" i="3" s="1"/>
  <c r="BA392" i="3"/>
  <c r="AZ392" i="3" s="1"/>
  <c r="BL394" i="3"/>
  <c r="AZ394" i="3" s="1"/>
  <c r="BL404" i="3"/>
  <c r="AZ404" i="3" s="1"/>
  <c r="BA408" i="3"/>
  <c r="AZ408" i="3" s="1"/>
  <c r="BL410" i="3"/>
  <c r="AZ410" i="3" s="1"/>
  <c r="BA417" i="3"/>
  <c r="AZ417" i="3" s="1"/>
  <c r="BA418" i="3"/>
  <c r="AZ418" i="3" s="1"/>
  <c r="BL421" i="3"/>
  <c r="AZ421" i="3" s="1"/>
  <c r="BA424" i="3"/>
  <c r="AZ424" i="3" s="1"/>
  <c r="BL426" i="3"/>
  <c r="AZ426" i="3" s="1"/>
  <c r="BL435" i="3"/>
  <c r="BL442" i="3"/>
  <c r="AZ442" i="3" s="1"/>
  <c r="BA447" i="3"/>
  <c r="AZ447" i="3" s="1"/>
  <c r="BL449" i="3"/>
  <c r="AZ449" i="3" s="1"/>
  <c r="BL455" i="3"/>
  <c r="AZ455" i="3" s="1"/>
  <c r="BL464" i="3"/>
  <c r="AZ464" i="3" s="1"/>
  <c r="BA470" i="3"/>
  <c r="AZ470" i="3" s="1"/>
  <c r="BA471" i="3"/>
  <c r="AZ471" i="3" s="1"/>
  <c r="BA480" i="3"/>
  <c r="AZ480" i="3" s="1"/>
  <c r="BL314" i="3"/>
  <c r="AZ314" i="3" s="1"/>
  <c r="BA318" i="3"/>
  <c r="AZ318" i="3" s="1"/>
  <c r="BL350" i="3"/>
  <c r="BL360" i="3"/>
  <c r="AZ360" i="3" s="1"/>
  <c r="BL382" i="3"/>
  <c r="AZ382" i="3" s="1"/>
  <c r="BA388" i="3"/>
  <c r="AZ388" i="3" s="1"/>
  <c r="BL207" i="3"/>
  <c r="AZ285" i="3"/>
  <c r="AZ33" i="3"/>
  <c r="AZ38" i="3"/>
  <c r="BA49" i="3"/>
  <c r="AZ65" i="3"/>
  <c r="BA478" i="3"/>
  <c r="AZ478" i="3" s="1"/>
  <c r="BA479" i="3"/>
  <c r="AZ479" i="3" s="1"/>
  <c r="G305" i="3"/>
  <c r="BL310" i="3"/>
  <c r="AZ310" i="3" s="1"/>
  <c r="BA319" i="3"/>
  <c r="AZ319" i="3" s="1"/>
  <c r="BL330" i="3"/>
  <c r="G331" i="3"/>
  <c r="BA333" i="3"/>
  <c r="AZ333" i="3" s="1"/>
  <c r="G345" i="3"/>
  <c r="BA368" i="3"/>
  <c r="AZ368" i="3" s="1"/>
  <c r="BL376" i="3"/>
  <c r="AZ376" i="3" s="1"/>
  <c r="BL380" i="3"/>
  <c r="AZ380" i="3" s="1"/>
  <c r="BA385" i="3"/>
  <c r="AZ385" i="3" s="1"/>
  <c r="BA386" i="3"/>
  <c r="AZ386" i="3" s="1"/>
  <c r="BL205" i="3"/>
  <c r="AZ205" i="3" s="1"/>
  <c r="BL208" i="3"/>
  <c r="BL210" i="3"/>
  <c r="AZ210" i="3" s="1"/>
  <c r="G211" i="3"/>
  <c r="BL211" i="3"/>
  <c r="BA222" i="3"/>
  <c r="BL225" i="3"/>
  <c r="AZ225" i="3" s="1"/>
  <c r="G226" i="3"/>
  <c r="BL226" i="3"/>
  <c r="BL230" i="3"/>
  <c r="AZ230" i="3" s="1"/>
  <c r="BL232" i="3"/>
  <c r="BA233" i="3"/>
  <c r="AZ233" i="3" s="1"/>
  <c r="BL236" i="3"/>
  <c r="AZ236" i="3" s="1"/>
  <c r="G237" i="3"/>
  <c r="BA243" i="3"/>
  <c r="AZ243" i="3" s="1"/>
  <c r="G247" i="3"/>
  <c r="BL247" i="3"/>
  <c r="AZ247" i="3" s="1"/>
  <c r="BL250" i="3"/>
  <c r="G256" i="3"/>
  <c r="BA257" i="3"/>
  <c r="BA263" i="3"/>
  <c r="G267" i="3"/>
  <c r="BA268" i="3"/>
  <c r="AZ268" i="3" s="1"/>
  <c r="BA272" i="3"/>
  <c r="BA278" i="3"/>
  <c r="BA282" i="3"/>
  <c r="AZ282" i="3" s="1"/>
  <c r="BL287" i="3"/>
  <c r="AZ287" i="3" s="1"/>
  <c r="G288" i="3"/>
  <c r="BL288" i="3"/>
  <c r="AZ288" i="3" s="1"/>
  <c r="BL289" i="3"/>
  <c r="AZ289" i="3" s="1"/>
  <c r="BA292" i="3"/>
  <c r="AZ292" i="3" s="1"/>
  <c r="BL163" i="3"/>
  <c r="BL164" i="3"/>
  <c r="AZ171" i="3"/>
  <c r="BA180" i="3"/>
  <c r="BA201" i="3"/>
  <c r="AZ201" i="3" s="1"/>
  <c r="Y22" i="59"/>
  <c r="Z22" i="59" s="1"/>
  <c r="C23" i="59"/>
  <c r="C36" i="59"/>
  <c r="D35" i="59"/>
  <c r="D47" i="59"/>
  <c r="C48" i="59"/>
  <c r="B60" i="59"/>
  <c r="B59" i="59" s="1"/>
  <c r="S61" i="59"/>
  <c r="G476" i="3"/>
  <c r="BL476" i="3"/>
  <c r="AZ476" i="3" s="1"/>
  <c r="G313" i="3"/>
  <c r="BA317" i="3"/>
  <c r="AZ317" i="3" s="1"/>
  <c r="BL334" i="3"/>
  <c r="AZ334" i="3" s="1"/>
  <c r="BA350" i="3"/>
  <c r="AZ350" i="3" s="1"/>
  <c r="BA383" i="3"/>
  <c r="AZ383" i="3" s="1"/>
  <c r="G210" i="3"/>
  <c r="BL212" i="3"/>
  <c r="AZ212" i="3" s="1"/>
  <c r="BL213" i="3"/>
  <c r="AZ213" i="3" s="1"/>
  <c r="BL224" i="3"/>
  <c r="G225" i="3"/>
  <c r="AZ226" i="3"/>
  <c r="BA232" i="3"/>
  <c r="AZ232" i="3" s="1"/>
  <c r="BL235" i="3"/>
  <c r="G236" i="3"/>
  <c r="BA242" i="3"/>
  <c r="AZ242" i="3" s="1"/>
  <c r="BL245" i="3"/>
  <c r="AZ256" i="3"/>
  <c r="BA262" i="3"/>
  <c r="AZ262" i="3" s="1"/>
  <c r="BL265" i="3"/>
  <c r="AZ267" i="3"/>
  <c r="BA270" i="3"/>
  <c r="AZ270" i="3" s="1"/>
  <c r="BA277" i="3"/>
  <c r="G281" i="3"/>
  <c r="BL281" i="3"/>
  <c r="AZ281" i="3" s="1"/>
  <c r="G287" i="3"/>
  <c r="BA291" i="3"/>
  <c r="AZ291" i="3" s="1"/>
  <c r="BL294" i="3"/>
  <c r="G295" i="3"/>
  <c r="G122" i="3"/>
  <c r="BA123" i="3"/>
  <c r="AZ123" i="3" s="1"/>
  <c r="AZ132" i="3"/>
  <c r="BL144" i="3"/>
  <c r="BL146" i="3"/>
  <c r="BA158" i="3"/>
  <c r="AZ158" i="3" s="1"/>
  <c r="BL160" i="3"/>
  <c r="AZ160" i="3" s="1"/>
  <c r="AZ175" i="3"/>
  <c r="BA71" i="3"/>
  <c r="BL75" i="3"/>
  <c r="AZ75" i="3" s="1"/>
  <c r="BA77" i="3"/>
  <c r="AZ77" i="3" s="1"/>
  <c r="BL79" i="3"/>
  <c r="G80" i="3"/>
  <c r="BL80" i="3"/>
  <c r="AZ80" i="3" s="1"/>
  <c r="G95" i="3"/>
  <c r="D68" i="59"/>
  <c r="C67" i="59"/>
  <c r="D67" i="59" s="1"/>
  <c r="AA12" i="59"/>
  <c r="E15" i="59"/>
  <c r="E16" i="59" s="1"/>
  <c r="E17" i="59" s="1"/>
  <c r="U17" i="59" s="1"/>
  <c r="AA13" i="59"/>
  <c r="G333" i="3"/>
  <c r="BA335" i="3"/>
  <c r="AZ335" i="3" s="1"/>
  <c r="G349" i="3"/>
  <c r="BA351" i="3"/>
  <c r="AZ351" i="3" s="1"/>
  <c r="BA357" i="3"/>
  <c r="AZ357" i="3" s="1"/>
  <c r="BL364" i="3"/>
  <c r="AZ364" i="3" s="1"/>
  <c r="BL369" i="3"/>
  <c r="AZ369" i="3" s="1"/>
  <c r="G375" i="3"/>
  <c r="BA384" i="3"/>
  <c r="AZ384" i="3" s="1"/>
  <c r="G387" i="3"/>
  <c r="BL387" i="3"/>
  <c r="BA206" i="3"/>
  <c r="AZ206" i="3" s="1"/>
  <c r="BA207" i="3"/>
  <c r="AZ207" i="3" s="1"/>
  <c r="BL209" i="3"/>
  <c r="AZ209" i="3" s="1"/>
  <c r="G215" i="3"/>
  <c r="G216" i="3"/>
  <c r="BL216" i="3"/>
  <c r="BA219" i="3"/>
  <c r="AZ219" i="3" s="1"/>
  <c r="BA220" i="3"/>
  <c r="AZ220" i="3" s="1"/>
  <c r="BA221" i="3"/>
  <c r="AZ221" i="3" s="1"/>
  <c r="BL223" i="3"/>
  <c r="AZ223" i="3" s="1"/>
  <c r="G233" i="3"/>
  <c r="G234" i="3"/>
  <c r="BL234" i="3"/>
  <c r="BA240" i="3"/>
  <c r="AZ240" i="3" s="1"/>
  <c r="BA241" i="3"/>
  <c r="AZ241" i="3" s="1"/>
  <c r="G244" i="3"/>
  <c r="G245" i="3"/>
  <c r="G246" i="3"/>
  <c r="BL246" i="3"/>
  <c r="BA251" i="3"/>
  <c r="AZ251" i="3" s="1"/>
  <c r="BA252" i="3"/>
  <c r="AZ252" i="3" s="1"/>
  <c r="BA253" i="3"/>
  <c r="AZ253" i="3" s="1"/>
  <c r="BL255" i="3"/>
  <c r="AZ255" i="3" s="1"/>
  <c r="G265" i="3"/>
  <c r="G266" i="3"/>
  <c r="BL266" i="3"/>
  <c r="BA271" i="3"/>
  <c r="AZ271" i="3" s="1"/>
  <c r="BL273" i="3"/>
  <c r="AZ273" i="3" s="1"/>
  <c r="G280" i="3"/>
  <c r="BL280" i="3"/>
  <c r="BA283" i="3"/>
  <c r="AZ283" i="3" s="1"/>
  <c r="BA284" i="3"/>
  <c r="AZ284" i="3" s="1"/>
  <c r="BL286" i="3"/>
  <c r="AZ286" i="3" s="1"/>
  <c r="G292" i="3"/>
  <c r="G293" i="3"/>
  <c r="BL293" i="3"/>
  <c r="AZ293" i="3" s="1"/>
  <c r="G121" i="3"/>
  <c r="BL121" i="3"/>
  <c r="AZ121" i="3" s="1"/>
  <c r="G127" i="3"/>
  <c r="G130" i="3"/>
  <c r="G133" i="3"/>
  <c r="BL133" i="3"/>
  <c r="BL136" i="3"/>
  <c r="BL137" i="3"/>
  <c r="AZ137" i="3" s="1"/>
  <c r="BA144" i="3"/>
  <c r="BA145" i="3"/>
  <c r="AZ145" i="3" s="1"/>
  <c r="BA148" i="3"/>
  <c r="AZ148" i="3" s="1"/>
  <c r="BA164" i="3"/>
  <c r="AZ164" i="3" s="1"/>
  <c r="BA166" i="3"/>
  <c r="AZ166" i="3" s="1"/>
  <c r="BL171" i="3"/>
  <c r="BL173" i="3"/>
  <c r="AZ173" i="3" s="1"/>
  <c r="BL180" i="3"/>
  <c r="G181" i="3"/>
  <c r="G185" i="3"/>
  <c r="BL187" i="3"/>
  <c r="AZ187" i="3" s="1"/>
  <c r="BL190" i="3"/>
  <c r="AZ190" i="3" s="1"/>
  <c r="BL191" i="3"/>
  <c r="G196" i="3"/>
  <c r="BA197" i="3"/>
  <c r="AZ197" i="3" s="1"/>
  <c r="G202" i="3"/>
  <c r="BA203" i="3"/>
  <c r="AZ203" i="3" s="1"/>
  <c r="BA24" i="3"/>
  <c r="BA28" i="3"/>
  <c r="AZ28" i="3" s="1"/>
  <c r="AZ45" i="3"/>
  <c r="G51" i="3"/>
  <c r="BL51" i="3"/>
  <c r="AZ51" i="3" s="1"/>
  <c r="AZ62" i="3"/>
  <c r="BA83" i="3"/>
  <c r="AZ83" i="3" s="1"/>
  <c r="BA91" i="3"/>
  <c r="BL95" i="3"/>
  <c r="G96" i="3"/>
  <c r="BL96" i="3"/>
  <c r="BL98" i="3"/>
  <c r="G99" i="3"/>
  <c r="BA101" i="3"/>
  <c r="AZ101" i="3" s="1"/>
  <c r="C44" i="59"/>
  <c r="D43" i="59"/>
  <c r="E52" i="59"/>
  <c r="P53" i="59"/>
  <c r="S57" i="59"/>
  <c r="B56" i="59"/>
  <c r="B55" i="59" s="1"/>
  <c r="S65" i="59"/>
  <c r="B64" i="59"/>
  <c r="B63" i="59" s="1"/>
  <c r="BL222" i="3"/>
  <c r="BA227" i="3"/>
  <c r="AZ227" i="3" s="1"/>
  <c r="BA228" i="3"/>
  <c r="AZ228" i="3" s="1"/>
  <c r="BA229" i="3"/>
  <c r="AZ229" i="3" s="1"/>
  <c r="BL231" i="3"/>
  <c r="AZ231" i="3" s="1"/>
  <c r="BL242" i="3"/>
  <c r="BA248" i="3"/>
  <c r="AZ248" i="3" s="1"/>
  <c r="BA249" i="3"/>
  <c r="AZ249" i="3" s="1"/>
  <c r="BL254" i="3"/>
  <c r="AZ254" i="3" s="1"/>
  <c r="BA259" i="3"/>
  <c r="AZ259" i="3" s="1"/>
  <c r="BA260" i="3"/>
  <c r="AZ260" i="3" s="1"/>
  <c r="BA261" i="3"/>
  <c r="AZ261" i="3" s="1"/>
  <c r="BL263" i="3"/>
  <c r="BL272" i="3"/>
  <c r="BA275" i="3"/>
  <c r="AZ275" i="3" s="1"/>
  <c r="BA276" i="3"/>
  <c r="AZ276" i="3" s="1"/>
  <c r="BL278" i="3"/>
  <c r="BL285" i="3"/>
  <c r="BL290" i="3"/>
  <c r="AZ290" i="3" s="1"/>
  <c r="BA113" i="3"/>
  <c r="AZ113" i="3" s="1"/>
  <c r="BA116" i="3"/>
  <c r="AZ116" i="3" s="1"/>
  <c r="BL124" i="3"/>
  <c r="AZ124" i="3" s="1"/>
  <c r="BL125" i="3"/>
  <c r="AZ125" i="3" s="1"/>
  <c r="BL128" i="3"/>
  <c r="AZ128" i="3" s="1"/>
  <c r="BL130" i="3"/>
  <c r="AZ130" i="3" s="1"/>
  <c r="BL141" i="3"/>
  <c r="BA151" i="3"/>
  <c r="BA154" i="3"/>
  <c r="AZ154" i="3" s="1"/>
  <c r="BA156" i="3"/>
  <c r="AZ156" i="3" s="1"/>
  <c r="BA159" i="3"/>
  <c r="AZ159" i="3" s="1"/>
  <c r="BA168" i="3"/>
  <c r="AZ168" i="3" s="1"/>
  <c r="BA170" i="3"/>
  <c r="AZ170" i="3" s="1"/>
  <c r="BA179" i="3"/>
  <c r="AZ179" i="3" s="1"/>
  <c r="BL183" i="3"/>
  <c r="AZ183" i="3" s="1"/>
  <c r="BL186" i="3"/>
  <c r="AZ186" i="3" s="1"/>
  <c r="BL194" i="3"/>
  <c r="AZ194" i="3" s="1"/>
  <c r="BL196" i="3"/>
  <c r="AZ196" i="3" s="1"/>
  <c r="BA42" i="3"/>
  <c r="BL59" i="3"/>
  <c r="AZ59" i="3" s="1"/>
  <c r="BL69" i="3"/>
  <c r="BL70" i="3"/>
  <c r="BA73" i="3"/>
  <c r="AZ73" i="3" s="1"/>
  <c r="AZ92" i="3"/>
  <c r="BA102" i="3"/>
  <c r="AZ102" i="3" s="1"/>
  <c r="R12" i="1"/>
  <c r="K12" i="1"/>
  <c r="M12" i="1" s="1"/>
  <c r="O12" i="1" s="1"/>
  <c r="P12" i="1" s="1"/>
  <c r="AJ10" i="46"/>
  <c r="AJ12" i="46"/>
  <c r="AF12" i="46"/>
  <c r="AF10" i="46"/>
  <c r="AB10" i="46"/>
  <c r="AB12" i="46"/>
  <c r="BA29" i="3"/>
  <c r="AZ29" i="3" s="1"/>
  <c r="G33" i="3"/>
  <c r="BL35" i="3"/>
  <c r="AZ35" i="3" s="1"/>
  <c r="BL37" i="3"/>
  <c r="AZ37" i="3" s="1"/>
  <c r="BL42" i="3"/>
  <c r="G43" i="3"/>
  <c r="G46" i="3"/>
  <c r="BL46" i="3"/>
  <c r="BL47" i="3"/>
  <c r="AZ47" i="3" s="1"/>
  <c r="BL49" i="3"/>
  <c r="G50" i="3"/>
  <c r="BL50" i="3"/>
  <c r="AZ50" i="3" s="1"/>
  <c r="BA60" i="3"/>
  <c r="AZ60" i="3" s="1"/>
  <c r="G63" i="3"/>
  <c r="G64" i="3"/>
  <c r="BL64" i="3"/>
  <c r="BA70" i="3"/>
  <c r="AZ70" i="3" s="1"/>
  <c r="BA72" i="3"/>
  <c r="AZ72" i="3" s="1"/>
  <c r="G77" i="3"/>
  <c r="BA78" i="3"/>
  <c r="AZ78" i="3" s="1"/>
  <c r="BA84" i="3"/>
  <c r="AZ84" i="3" s="1"/>
  <c r="BA85" i="3"/>
  <c r="AZ85" i="3" s="1"/>
  <c r="BA86" i="3"/>
  <c r="AZ86" i="3" s="1"/>
  <c r="BA88" i="3"/>
  <c r="AZ88" i="3" s="1"/>
  <c r="G94" i="3"/>
  <c r="BL94" i="3"/>
  <c r="AZ94" i="3" s="1"/>
  <c r="BL99" i="3"/>
  <c r="AZ99" i="3" s="1"/>
  <c r="G100" i="3"/>
  <c r="BL100" i="3"/>
  <c r="BL107" i="3"/>
  <c r="AZ107" i="3" s="1"/>
  <c r="BL111" i="3"/>
  <c r="AZ111" i="3" s="1"/>
  <c r="BA112" i="3"/>
  <c r="AA21" i="34"/>
  <c r="S21" i="34"/>
  <c r="E28" i="59"/>
  <c r="E29" i="59" s="1"/>
  <c r="U29" i="59" s="1"/>
  <c r="C13" i="59"/>
  <c r="Y12" i="59"/>
  <c r="Z12" i="59" s="1"/>
  <c r="Y11" i="59"/>
  <c r="Z11" i="59" s="1"/>
  <c r="AA10" i="59"/>
  <c r="AA11" i="59"/>
  <c r="AB11" i="59"/>
  <c r="BA191" i="3"/>
  <c r="AZ191" i="3" s="1"/>
  <c r="BA193" i="3"/>
  <c r="AZ193" i="3" s="1"/>
  <c r="G199" i="3"/>
  <c r="BL199" i="3"/>
  <c r="AZ199" i="3" s="1"/>
  <c r="BL21" i="3"/>
  <c r="BL5" i="3" s="1"/>
  <c r="G22" i="3"/>
  <c r="G27" i="3"/>
  <c r="G30" i="3"/>
  <c r="BL30" i="3"/>
  <c r="AZ30" i="3" s="1"/>
  <c r="BL31" i="3"/>
  <c r="AZ31" i="3" s="1"/>
  <c r="BL33" i="3"/>
  <c r="G34" i="3"/>
  <c r="BL34" i="3"/>
  <c r="AZ34" i="3" s="1"/>
  <c r="BL43" i="3"/>
  <c r="AZ43" i="3" s="1"/>
  <c r="G44" i="3"/>
  <c r="BL44" i="3"/>
  <c r="BA53" i="3"/>
  <c r="AZ53" i="3" s="1"/>
  <c r="BA54" i="3"/>
  <c r="AZ54" i="3" s="1"/>
  <c r="BA55" i="3"/>
  <c r="AZ55" i="3" s="1"/>
  <c r="BA57" i="3"/>
  <c r="AZ57" i="3" s="1"/>
  <c r="G62" i="3"/>
  <c r="BA68" i="3"/>
  <c r="AZ68" i="3" s="1"/>
  <c r="G72" i="3"/>
  <c r="BL74" i="3"/>
  <c r="AZ74" i="3" s="1"/>
  <c r="BL77" i="3"/>
  <c r="G78" i="3"/>
  <c r="BA79" i="3"/>
  <c r="AZ79" i="3" s="1"/>
  <c r="BA81" i="3"/>
  <c r="AZ81" i="3" s="1"/>
  <c r="BA82" i="3"/>
  <c r="AZ82" i="3" s="1"/>
  <c r="G88" i="3"/>
  <c r="BL90" i="3"/>
  <c r="AZ90" i="3" s="1"/>
  <c r="BL91" i="3"/>
  <c r="BA106" i="3"/>
  <c r="BL112" i="3"/>
  <c r="S21" i="37"/>
  <c r="AA21" i="37"/>
  <c r="C52" i="59"/>
  <c r="Y18" i="59"/>
  <c r="Z18" i="59" s="1"/>
  <c r="C19" i="59"/>
  <c r="X19" i="59"/>
  <c r="X20" i="59"/>
  <c r="X21" i="59"/>
  <c r="E48" i="59"/>
  <c r="E49" i="59" s="1"/>
  <c r="U49" i="59" s="1"/>
  <c r="D73" i="59"/>
  <c r="C72" i="59"/>
  <c r="Y3" i="59"/>
  <c r="Z3" i="59" s="1"/>
  <c r="BL120" i="3"/>
  <c r="BA135" i="3"/>
  <c r="AZ135" i="3" s="1"/>
  <c r="G139" i="3"/>
  <c r="BA140" i="3"/>
  <c r="AZ140" i="3" s="1"/>
  <c r="G143" i="3"/>
  <c r="G146" i="3"/>
  <c r="G149" i="3"/>
  <c r="BL149" i="3"/>
  <c r="AZ149" i="3" s="1"/>
  <c r="BA162" i="3"/>
  <c r="AZ162" i="3" s="1"/>
  <c r="G166" i="3"/>
  <c r="BA167" i="3"/>
  <c r="AZ167" i="3" s="1"/>
  <c r="G170" i="3"/>
  <c r="G173" i="3"/>
  <c r="G176" i="3"/>
  <c r="BL176" i="3"/>
  <c r="BL182" i="3"/>
  <c r="AZ182" i="3" s="1"/>
  <c r="BA189" i="3"/>
  <c r="G193" i="3"/>
  <c r="BL195" i="3"/>
  <c r="AZ195" i="3" s="1"/>
  <c r="BL198" i="3"/>
  <c r="AZ198" i="3" s="1"/>
  <c r="BL22" i="3"/>
  <c r="G23" i="3"/>
  <c r="BA26" i="3"/>
  <c r="BL32" i="3"/>
  <c r="AZ32" i="3" s="1"/>
  <c r="BA36" i="3"/>
  <c r="AZ36" i="3" s="1"/>
  <c r="G39" i="3"/>
  <c r="G40" i="3"/>
  <c r="G41" i="3"/>
  <c r="BL41" i="3"/>
  <c r="BL48" i="3"/>
  <c r="AZ48" i="3" s="1"/>
  <c r="BA52" i="3"/>
  <c r="AZ52" i="3" s="1"/>
  <c r="G55" i="3"/>
  <c r="BL56" i="3"/>
  <c r="AZ56" i="3" s="1"/>
  <c r="G61" i="3"/>
  <c r="BL61" i="3"/>
  <c r="AZ61" i="3" s="1"/>
  <c r="G66" i="3"/>
  <c r="G67" i="3"/>
  <c r="BL67" i="3"/>
  <c r="BL71" i="3"/>
  <c r="G76" i="3"/>
  <c r="BL76" i="3"/>
  <c r="G86" i="3"/>
  <c r="G87" i="3"/>
  <c r="BL87" i="3"/>
  <c r="AZ87" i="3" s="1"/>
  <c r="G93" i="3"/>
  <c r="BL93" i="3"/>
  <c r="BA97" i="3"/>
  <c r="AZ97" i="3" s="1"/>
  <c r="BA98" i="3"/>
  <c r="AZ98" i="3" s="1"/>
  <c r="BA105" i="3"/>
  <c r="AZ105" i="3" s="1"/>
  <c r="G109" i="3"/>
  <c r="BL109" i="3"/>
  <c r="AZ109" i="3" s="1"/>
  <c r="BL110" i="3"/>
  <c r="AZ110" i="3" s="1"/>
  <c r="I20" i="57"/>
  <c r="AB15" i="59"/>
  <c r="AB16" i="59"/>
  <c r="AB17" i="59"/>
  <c r="AA19" i="59"/>
  <c r="AA20" i="59"/>
  <c r="AA21" i="59"/>
  <c r="B40" i="59"/>
  <c r="B41" i="59" s="1"/>
  <c r="S41" i="59" s="1"/>
  <c r="B44" i="59"/>
  <c r="B45" i="59" s="1"/>
  <c r="S45" i="59" s="1"/>
  <c r="T61" i="59"/>
  <c r="D61" i="59"/>
  <c r="T65" i="59"/>
  <c r="D65" i="59"/>
  <c r="AG10" i="46"/>
  <c r="AG12" i="46"/>
  <c r="B8" i="59"/>
  <c r="B7" i="59" s="1"/>
  <c r="B6" i="59" s="1"/>
  <c r="B5" i="59" s="1"/>
  <c r="Y10" i="59"/>
  <c r="Z10" i="59" s="1"/>
  <c r="BA104" i="3"/>
  <c r="AZ104" i="3" s="1"/>
  <c r="BL106" i="3"/>
  <c r="G112" i="3"/>
  <c r="E26" i="57"/>
  <c r="P27" i="6"/>
  <c r="AA15" i="59"/>
  <c r="AA16" i="59"/>
  <c r="AA17" i="59"/>
  <c r="Y20" i="59"/>
  <c r="Z20" i="59" s="1"/>
  <c r="B28" i="59"/>
  <c r="B29" i="59" s="1"/>
  <c r="S29" i="59" s="1"/>
  <c r="B48" i="59"/>
  <c r="B49" i="59" s="1"/>
  <c r="S49" i="59" s="1"/>
  <c r="N16" i="4"/>
  <c r="G8" i="1"/>
  <c r="G7" i="1"/>
  <c r="AC27" i="40"/>
  <c r="AZ18" i="3"/>
  <c r="W23" i="37"/>
  <c r="AC23" i="37"/>
  <c r="S23" i="37"/>
  <c r="AA23" i="37"/>
  <c r="AZ556" i="3"/>
  <c r="W28" i="33"/>
  <c r="AC28" i="33"/>
  <c r="AA22" i="35"/>
  <c r="S22" i="35"/>
  <c r="AC8" i="21"/>
  <c r="W8" i="21"/>
  <c r="W40" i="21"/>
  <c r="AC40" i="21"/>
  <c r="S36" i="21"/>
  <c r="AA36" i="21"/>
  <c r="E32" i="6"/>
  <c r="C9" i="12"/>
  <c r="C10" i="12" s="1"/>
  <c r="BA572" i="3"/>
  <c r="AZ572" i="3" s="1"/>
  <c r="BL13" i="3"/>
  <c r="AB27" i="33"/>
  <c r="U27" i="33"/>
  <c r="AB27" i="37"/>
  <c r="U27" i="37"/>
  <c r="U25" i="33"/>
  <c r="AB32" i="40"/>
  <c r="W35" i="40"/>
  <c r="F72" i="9"/>
  <c r="H29" i="39"/>
  <c r="U29" i="39" s="1"/>
  <c r="AZ542" i="3"/>
  <c r="AC14" i="21"/>
  <c r="AB30" i="33"/>
  <c r="U30" i="33"/>
  <c r="U30" i="21"/>
  <c r="AB30" i="21"/>
  <c r="AC42" i="21"/>
  <c r="W42" i="21"/>
  <c r="AB39" i="37"/>
  <c r="U39" i="37"/>
  <c r="BG5" i="3"/>
  <c r="F12" i="21"/>
  <c r="J12" i="21"/>
  <c r="F14" i="21"/>
  <c r="H14" i="21"/>
  <c r="H28" i="21"/>
  <c r="F28" i="21"/>
  <c r="J44" i="21"/>
  <c r="H44" i="21"/>
  <c r="F44" i="21"/>
  <c r="H46" i="21"/>
  <c r="J46" i="21"/>
  <c r="F46" i="21"/>
  <c r="E21" i="6"/>
  <c r="H24" i="35"/>
  <c r="F24" i="35"/>
  <c r="J47" i="34"/>
  <c r="F47" i="34"/>
  <c r="F45" i="34"/>
  <c r="J45" i="34"/>
  <c r="F31" i="34"/>
  <c r="H31" i="34"/>
  <c r="H29" i="34"/>
  <c r="F29" i="34"/>
  <c r="F13" i="34"/>
  <c r="J13" i="34"/>
  <c r="H46" i="33"/>
  <c r="F46" i="33"/>
  <c r="F44" i="33"/>
  <c r="J44" i="33"/>
  <c r="S31" i="33"/>
  <c r="F27" i="33"/>
  <c r="J27" i="33"/>
  <c r="W40" i="33"/>
  <c r="S38" i="33"/>
  <c r="AB8" i="36"/>
  <c r="U38" i="33"/>
  <c r="S33" i="33"/>
  <c r="W38" i="33"/>
  <c r="U9" i="33"/>
  <c r="S34" i="34"/>
  <c r="W22" i="36"/>
  <c r="U22" i="36"/>
  <c r="W41" i="21"/>
  <c r="BI5" i="3"/>
  <c r="C43" i="9"/>
  <c r="K47" i="9" s="1"/>
  <c r="A14" i="55" s="1"/>
  <c r="B65" i="63" s="1"/>
  <c r="F34" i="35"/>
  <c r="H34" i="35"/>
  <c r="F25" i="37"/>
  <c r="J25" i="37"/>
  <c r="E20" i="6"/>
  <c r="AZ393" i="3"/>
  <c r="AZ396" i="3"/>
  <c r="AZ412" i="3"/>
  <c r="AZ419" i="3"/>
  <c r="AZ445" i="3"/>
  <c r="AZ448" i="3"/>
  <c r="AZ468" i="3"/>
  <c r="AZ472" i="3"/>
  <c r="AZ216" i="3"/>
  <c r="AZ296" i="3"/>
  <c r="AZ218" i="3"/>
  <c r="AZ222" i="3"/>
  <c r="AZ234" i="3"/>
  <c r="AZ246" i="3"/>
  <c r="AZ250" i="3"/>
  <c r="AZ266" i="3"/>
  <c r="AZ277" i="3"/>
  <c r="AZ280" i="3"/>
  <c r="AZ120" i="3"/>
  <c r="AZ133" i="3"/>
  <c r="AZ136" i="3"/>
  <c r="AZ163" i="3"/>
  <c r="AZ176" i="3"/>
  <c r="AZ204" i="3"/>
  <c r="AZ41" i="3"/>
  <c r="AZ46" i="3"/>
  <c r="AZ76" i="3"/>
  <c r="D1" i="57"/>
  <c r="E10" i="57" s="1"/>
  <c r="BA21" i="3"/>
  <c r="AZ21" i="3" s="1"/>
  <c r="BL23" i="3"/>
  <c r="G24" i="3"/>
  <c r="BL24" i="3"/>
  <c r="G25" i="3"/>
  <c r="BA27" i="3"/>
  <c r="AZ27" i="3" s="1"/>
  <c r="BL27" i="3"/>
  <c r="AZ64" i="3"/>
  <c r="AZ67" i="3"/>
  <c r="AZ69" i="3"/>
  <c r="AZ93" i="3"/>
  <c r="AZ96" i="3"/>
  <c r="AZ103" i="3"/>
  <c r="C16" i="59"/>
  <c r="D15" i="59"/>
  <c r="X13" i="59"/>
  <c r="X11" i="59"/>
  <c r="X3" i="59"/>
  <c r="B15" i="59"/>
  <c r="B16" i="59" s="1"/>
  <c r="B17" i="59" s="1"/>
  <c r="S17" i="59" s="1"/>
  <c r="AA14" i="59"/>
  <c r="AB14" i="59"/>
  <c r="AB9" i="59"/>
  <c r="X18" i="59"/>
  <c r="AA18" i="59"/>
  <c r="AB19" i="59"/>
  <c r="AB21" i="59"/>
  <c r="AB22" i="59"/>
  <c r="F23" i="59"/>
  <c r="F24" i="59" s="1"/>
  <c r="F25" i="59" s="1"/>
  <c r="V25" i="59" s="1"/>
  <c r="AB23" i="59"/>
  <c r="Y9" i="59"/>
  <c r="Z9" i="59" s="1"/>
  <c r="Y14" i="59"/>
  <c r="Z14" i="59" s="1"/>
  <c r="E23" i="59"/>
  <c r="E24" i="59" s="1"/>
  <c r="E25" i="59" s="1"/>
  <c r="U25" i="59" s="1"/>
  <c r="AA22" i="59"/>
  <c r="B12" i="59"/>
  <c r="B11" i="59" s="1"/>
  <c r="S13" i="59"/>
  <c r="T13" i="59"/>
  <c r="C12" i="59"/>
  <c r="F8" i="59"/>
  <c r="F7" i="59" s="1"/>
  <c r="F6" i="59" s="1"/>
  <c r="F5" i="59" s="1"/>
  <c r="V9" i="59"/>
  <c r="X8" i="59"/>
  <c r="X9" i="59"/>
  <c r="AA7" i="59"/>
  <c r="X6" i="59"/>
  <c r="AA6" i="59"/>
  <c r="AB18" i="59"/>
  <c r="Y19" i="59"/>
  <c r="Z19" i="59" s="1"/>
  <c r="AB20" i="59"/>
  <c r="Y21" i="59"/>
  <c r="Z21" i="59" s="1"/>
  <c r="X22" i="59"/>
  <c r="X23" i="59"/>
  <c r="AA23" i="59"/>
  <c r="AI10" i="46"/>
  <c r="AI12" i="46"/>
  <c r="AE10" i="46"/>
  <c r="AE12" i="46"/>
  <c r="AA10" i="46"/>
  <c r="AA12" i="46"/>
  <c r="N1" i="65"/>
  <c r="H1" i="65"/>
  <c r="C8" i="59"/>
  <c r="T9" i="59"/>
  <c r="U9" i="59"/>
  <c r="E12" i="59"/>
  <c r="E11" i="59" s="1"/>
  <c r="D13" i="59"/>
  <c r="Y6" i="59"/>
  <c r="Z6" i="59" s="1"/>
  <c r="AB6" i="59"/>
  <c r="AA9" i="59"/>
  <c r="Y8" i="59"/>
  <c r="Z8" i="59" s="1"/>
  <c r="AA8" i="59"/>
  <c r="AB8" i="59"/>
  <c r="X7" i="59"/>
  <c r="X5" i="59"/>
  <c r="AA5" i="59"/>
  <c r="Y7" i="59"/>
  <c r="Z7" i="59" s="1"/>
  <c r="AB7" i="59"/>
  <c r="Y5" i="59"/>
  <c r="Z5" i="59" s="1"/>
  <c r="AB5" i="59"/>
  <c r="F66" i="9"/>
  <c r="P72" i="9" s="1"/>
  <c r="C92" i="9"/>
  <c r="F71" i="9"/>
  <c r="D70" i="39"/>
  <c r="E70" i="39" s="1"/>
  <c r="C72" i="39"/>
  <c r="AB7" i="21"/>
  <c r="T48" i="21" s="1"/>
  <c r="G48" i="21" s="1"/>
  <c r="D23" i="15"/>
  <c r="D65" i="40"/>
  <c r="C67" i="40"/>
  <c r="R49" i="21"/>
  <c r="E48" i="21"/>
  <c r="E52" i="21" s="1"/>
  <c r="F52" i="21" s="1"/>
  <c r="D72" i="39"/>
  <c r="J7" i="21"/>
  <c r="D26" i="44"/>
  <c r="C110" i="9"/>
  <c r="L16" i="4"/>
  <c r="K17" i="4" s="1"/>
  <c r="A22" i="51" s="1"/>
  <c r="B16" i="63" s="1"/>
  <c r="F126" i="39"/>
  <c r="AB42" i="39"/>
  <c r="U42" i="39"/>
  <c r="E124" i="39"/>
  <c r="F124" i="39" s="1"/>
  <c r="G124" i="39" s="1"/>
  <c r="H124" i="39" s="1"/>
  <c r="I124" i="39" s="1"/>
  <c r="J124" i="39" s="1"/>
  <c r="K124" i="39" s="1"/>
  <c r="L124" i="39" s="1"/>
  <c r="M124" i="39" s="1"/>
  <c r="J42" i="39"/>
  <c r="AC42" i="39" s="1"/>
  <c r="F42" i="39"/>
  <c r="H34" i="39"/>
  <c r="AB34" i="39" s="1"/>
  <c r="H109" i="39"/>
  <c r="I109" i="39" s="1"/>
  <c r="J109" i="39" s="1"/>
  <c r="K109" i="39" s="1"/>
  <c r="L109" i="39" s="1"/>
  <c r="M109" i="39" s="1"/>
  <c r="F34" i="39"/>
  <c r="AA34" i="39" s="1"/>
  <c r="J34" i="39"/>
  <c r="AC34" i="39" s="1"/>
  <c r="F107" i="39"/>
  <c r="G107" i="39" s="1"/>
  <c r="H107" i="39" s="1"/>
  <c r="I107" i="39" s="1"/>
  <c r="J107" i="39" s="1"/>
  <c r="K107" i="39" s="1"/>
  <c r="L107" i="39" s="1"/>
  <c r="M107" i="39" s="1"/>
  <c r="F33" i="39"/>
  <c r="J33" i="39"/>
  <c r="F29" i="39"/>
  <c r="J25" i="39"/>
  <c r="F99" i="39"/>
  <c r="G99" i="39" s="1"/>
  <c r="H25" i="39"/>
  <c r="U25" i="39" s="1"/>
  <c r="F25" i="39"/>
  <c r="AA25" i="39" s="1"/>
  <c r="G93" i="39"/>
  <c r="F19" i="39"/>
  <c r="J19" i="39"/>
  <c r="H19" i="39"/>
  <c r="U19" i="39" s="1"/>
  <c r="F17" i="39"/>
  <c r="AA17" i="39" s="1"/>
  <c r="J17" i="39"/>
  <c r="W17" i="39" s="1"/>
  <c r="F91" i="39"/>
  <c r="S14" i="39"/>
  <c r="W14" i="39"/>
  <c r="W15" i="39"/>
  <c r="AB16" i="39"/>
  <c r="AB45" i="39"/>
  <c r="U47" i="39"/>
  <c r="AC47" i="39"/>
  <c r="AA44" i="39"/>
  <c r="AC44" i="39"/>
  <c r="AB44" i="39"/>
  <c r="W42" i="39"/>
  <c r="U41" i="39"/>
  <c r="S34" i="39"/>
  <c r="W41" i="39"/>
  <c r="W34" i="39"/>
  <c r="S31" i="39"/>
  <c r="W31" i="39"/>
  <c r="AB29" i="39"/>
  <c r="W29" i="39"/>
  <c r="U27" i="39"/>
  <c r="S27" i="39"/>
  <c r="W27" i="39"/>
  <c r="S25" i="39"/>
  <c r="U23" i="39"/>
  <c r="U21" i="39"/>
  <c r="AB19" i="39"/>
  <c r="A30" i="51"/>
  <c r="B22" i="63" s="1"/>
  <c r="A30" i="64"/>
  <c r="G21" i="43"/>
  <c r="G27" i="12"/>
  <c r="D24" i="44"/>
  <c r="G22" i="43"/>
  <c r="BL26" i="3"/>
  <c r="BA25" i="3"/>
  <c r="AZ25" i="3" s="1"/>
  <c r="BA23" i="3"/>
  <c r="AZ23" i="3" s="1"/>
  <c r="AZ24" i="3"/>
  <c r="O11" i="1"/>
  <c r="P11" i="1" s="1"/>
  <c r="O10" i="1"/>
  <c r="P10" i="1" s="1"/>
  <c r="AZ22" i="3"/>
  <c r="O6" i="1"/>
  <c r="P6" i="1" s="1"/>
  <c r="C15" i="12" s="1"/>
  <c r="O9" i="1"/>
  <c r="P9" i="1" s="1"/>
  <c r="AZ13" i="3"/>
  <c r="O13" i="1"/>
  <c r="P13" i="1" s="1"/>
  <c r="E14" i="6"/>
  <c r="E10" i="6"/>
  <c r="AI11" i="46"/>
  <c r="AA11" i="46"/>
  <c r="AA13" i="46" s="1"/>
  <c r="C23" i="46"/>
  <c r="C21" i="46" s="1"/>
  <c r="Y11" i="46"/>
  <c r="Y13" i="46" s="1"/>
  <c r="AG11" i="46"/>
  <c r="AG13" i="46" s="1"/>
  <c r="AC11" i="46"/>
  <c r="AC13" i="46" s="1"/>
  <c r="E22" i="46"/>
  <c r="H101" i="46"/>
  <c r="M101" i="46"/>
  <c r="D101" i="46"/>
  <c r="I101" i="46"/>
  <c r="G22" i="46"/>
  <c r="H22" i="46"/>
  <c r="AB11" i="46"/>
  <c r="AB13" i="46" s="1"/>
  <c r="AE11" i="46"/>
  <c r="AJ11" i="46"/>
  <c r="AJ13" i="46" s="1"/>
  <c r="AF11" i="46"/>
  <c r="AF13" i="46" s="1"/>
  <c r="AH11" i="46"/>
  <c r="AH13" i="46" s="1"/>
  <c r="AD11" i="46"/>
  <c r="AD13" i="46" s="1"/>
  <c r="Z11" i="46"/>
  <c r="Z13" i="46" s="1"/>
  <c r="F101" i="46"/>
  <c r="N101" i="46"/>
  <c r="K101" i="46"/>
  <c r="Z7" i="46"/>
  <c r="E101" i="46"/>
  <c r="F22" i="46"/>
  <c r="L101" i="46"/>
  <c r="N104" i="45"/>
  <c r="B113" i="46"/>
  <c r="J101" i="46"/>
  <c r="G101" i="46"/>
  <c r="C101" i="46"/>
  <c r="A18" i="64"/>
  <c r="B74" i="63" s="1"/>
  <c r="C53" i="10"/>
  <c r="A25" i="64" s="1"/>
  <c r="L5" i="54"/>
  <c r="B39" i="63" s="1"/>
  <c r="T41" i="4"/>
  <c r="A17" i="64" s="1"/>
  <c r="A18" i="51"/>
  <c r="B14" i="63" s="1"/>
  <c r="K5" i="54"/>
  <c r="B38" i="63" s="1"/>
  <c r="A11" i="55"/>
  <c r="B62" i="63" s="1"/>
  <c r="A2" i="55"/>
  <c r="B55" i="63" s="1"/>
  <c r="H55" i="46"/>
  <c r="H54" i="46"/>
  <c r="H52" i="46"/>
  <c r="H47" i="46"/>
  <c r="G17" i="46"/>
  <c r="H64" i="46"/>
  <c r="H63" i="46"/>
  <c r="H66" i="46"/>
  <c r="H62" i="46"/>
  <c r="I17" i="46"/>
  <c r="C17" i="46"/>
  <c r="F34" i="46"/>
  <c r="F38" i="46"/>
  <c r="C6" i="46"/>
  <c r="F37" i="46"/>
  <c r="F33" i="46"/>
  <c r="H113" i="46"/>
  <c r="A26" i="51"/>
  <c r="B19" i="63" s="1"/>
  <c r="G6" i="1"/>
  <c r="K34" i="9"/>
  <c r="I14" i="66"/>
  <c r="B8" i="66" s="1"/>
  <c r="O41" i="9"/>
  <c r="R8" i="54" s="1"/>
  <c r="B54" i="63" s="1"/>
  <c r="L76" i="9"/>
  <c r="E14" i="52"/>
  <c r="N76" i="9"/>
  <c r="K76" i="9"/>
  <c r="K77" i="9" s="1"/>
  <c r="K79" i="9" s="1"/>
  <c r="K81" i="9" s="1"/>
  <c r="G52" i="21"/>
  <c r="H52" i="21" s="1"/>
  <c r="J52" i="37"/>
  <c r="K52" i="37" s="1"/>
  <c r="L52" i="37" s="1"/>
  <c r="M52" i="37" s="1"/>
  <c r="N52" i="37" s="1"/>
  <c r="O52" i="37" s="1"/>
  <c r="C48" i="21"/>
  <c r="C49" i="21"/>
  <c r="B3" i="21" s="1"/>
  <c r="B2" i="21" s="1"/>
  <c r="G46" i="36"/>
  <c r="H46" i="36" s="1"/>
  <c r="I46" i="36" s="1"/>
  <c r="J46" i="36" s="1"/>
  <c r="K46" i="36" s="1"/>
  <c r="L46" i="36" s="1"/>
  <c r="M46" i="36" s="1"/>
  <c r="N46" i="36" s="1"/>
  <c r="O46" i="36" s="1"/>
  <c r="E48" i="35"/>
  <c r="E58" i="33"/>
  <c r="F58" i="33" s="1"/>
  <c r="G58" i="33" s="1"/>
  <c r="H58" i="33" s="1"/>
  <c r="I58" i="33" s="1"/>
  <c r="J58" i="33" s="1"/>
  <c r="K58" i="33" s="1"/>
  <c r="L58" i="33" s="1"/>
  <c r="M58" i="33" s="1"/>
  <c r="N58" i="33" s="1"/>
  <c r="O58" i="33" s="1"/>
  <c r="F7" i="36"/>
  <c r="H7" i="37"/>
  <c r="F7" i="37"/>
  <c r="F59" i="34"/>
  <c r="B6" i="52"/>
  <c r="E7" i="52"/>
  <c r="E6" i="52"/>
  <c r="E4" i="52"/>
  <c r="B7" i="52"/>
  <c r="E5" i="52"/>
  <c r="P21" i="46"/>
  <c r="P22" i="46"/>
  <c r="P23" i="46"/>
  <c r="P25" i="46"/>
  <c r="B73" i="39" s="1"/>
  <c r="P24" i="46"/>
  <c r="B68" i="40" s="1"/>
  <c r="E22" i="52"/>
  <c r="B22" i="52"/>
  <c r="B10" i="52"/>
  <c r="B11" i="52"/>
  <c r="B4" i="52"/>
  <c r="E9" i="52"/>
  <c r="C36" i="44"/>
  <c r="C8" i="44"/>
  <c r="F63" i="15"/>
  <c r="F67" i="15"/>
  <c r="J60" i="44"/>
  <c r="J54" i="44"/>
  <c r="I55" i="44"/>
  <c r="J58" i="44"/>
  <c r="J56" i="44" s="1"/>
  <c r="J59" i="44" s="1"/>
  <c r="Q52" i="44" s="1"/>
  <c r="L57" i="44"/>
  <c r="J61" i="44"/>
  <c r="Q50" i="44" s="1"/>
  <c r="J22" i="44"/>
  <c r="Q72" i="15"/>
  <c r="Q73" i="44"/>
  <c r="F64" i="15"/>
  <c r="L60" i="44"/>
  <c r="L59" i="44"/>
  <c r="C27" i="15"/>
  <c r="F65" i="15"/>
  <c r="F50" i="15"/>
  <c r="L59" i="15"/>
  <c r="L58" i="15"/>
  <c r="C29" i="44"/>
  <c r="M9" i="44"/>
  <c r="J8" i="44" s="1"/>
  <c r="I54" i="15"/>
  <c r="J57" i="15"/>
  <c r="J55" i="15" s="1"/>
  <c r="J58" i="15" s="1"/>
  <c r="Q51" i="15" s="1"/>
  <c r="J53" i="15"/>
  <c r="L56" i="15"/>
  <c r="E17" i="52"/>
  <c r="E11" i="52"/>
  <c r="C4" i="4" s="1"/>
  <c r="B20" i="55" s="1"/>
  <c r="B70" i="63" s="1"/>
  <c r="E15" i="52"/>
  <c r="E13" i="52"/>
  <c r="B14" i="52"/>
  <c r="E8" i="52"/>
  <c r="E16" i="52"/>
  <c r="B5" i="52"/>
  <c r="B9" i="52"/>
  <c r="B16" i="52"/>
  <c r="B8" i="52"/>
  <c r="B13" i="52"/>
  <c r="E10" i="52"/>
  <c r="E21" i="52"/>
  <c r="E4" i="4" s="1"/>
  <c r="B21" i="55" s="1"/>
  <c r="B72" i="63" s="1"/>
  <c r="M19" i="44"/>
  <c r="M17" i="15"/>
  <c r="F58" i="15"/>
  <c r="F31" i="15"/>
  <c r="F33" i="44"/>
  <c r="C18" i="44"/>
  <c r="E127" i="3" l="1"/>
  <c r="E93" i="3"/>
  <c r="E28" i="6"/>
  <c r="G30" i="6"/>
  <c r="G31" i="6" s="1"/>
  <c r="D48" i="59"/>
  <c r="C49" i="59"/>
  <c r="V13" i="59"/>
  <c r="F12" i="59"/>
  <c r="F11" i="59" s="1"/>
  <c r="W45" i="21"/>
  <c r="AC45" i="21"/>
  <c r="W14" i="37"/>
  <c r="AC14" i="37"/>
  <c r="AB35" i="35"/>
  <c r="U35" i="35"/>
  <c r="E8" i="6"/>
  <c r="E5" i="6"/>
  <c r="AB26" i="33"/>
  <c r="U26" i="33"/>
  <c r="AI13" i="46"/>
  <c r="E12" i="6"/>
  <c r="E64" i="39" s="1"/>
  <c r="C71" i="59"/>
  <c r="D71" i="59" s="1"/>
  <c r="D72" i="59"/>
  <c r="D52" i="59"/>
  <c r="O52" i="59"/>
  <c r="C51" i="59"/>
  <c r="AZ106" i="3"/>
  <c r="AZ245" i="3"/>
  <c r="S31" i="21"/>
  <c r="AA31" i="21"/>
  <c r="AZ553" i="3"/>
  <c r="AC40" i="37"/>
  <c r="W40" i="37"/>
  <c r="AA15" i="40"/>
  <c r="S15" i="40"/>
  <c r="E13" i="6"/>
  <c r="S23" i="39"/>
  <c r="L19" i="6"/>
  <c r="L27" i="6" s="1"/>
  <c r="AZ42" i="3"/>
  <c r="P52" i="59"/>
  <c r="E51" i="59"/>
  <c r="AZ71" i="3"/>
  <c r="AZ278" i="3"/>
  <c r="AZ263" i="3"/>
  <c r="AZ49" i="3"/>
  <c r="AZ208" i="3"/>
  <c r="Q52" i="59"/>
  <c r="F51" i="59"/>
  <c r="AC29" i="21"/>
  <c r="W29" i="21"/>
  <c r="AB34" i="36"/>
  <c r="U34" i="36"/>
  <c r="AB32" i="36"/>
  <c r="U32" i="36"/>
  <c r="AA23" i="35"/>
  <c r="S23" i="35"/>
  <c r="U12" i="33"/>
  <c r="AB12" i="33"/>
  <c r="AZ495" i="3"/>
  <c r="AZ488" i="3"/>
  <c r="AC31" i="21"/>
  <c r="W31" i="21"/>
  <c r="AA40" i="37"/>
  <c r="S40" i="37"/>
  <c r="D44" i="59"/>
  <c r="C45" i="59"/>
  <c r="C24" i="59"/>
  <c r="D23" i="59"/>
  <c r="W9" i="35"/>
  <c r="AC9" i="35"/>
  <c r="U13" i="21"/>
  <c r="AB13" i="21"/>
  <c r="S34" i="36"/>
  <c r="AA34" i="36"/>
  <c r="AA12" i="35"/>
  <c r="S12" i="35"/>
  <c r="S30" i="33"/>
  <c r="AA30" i="33"/>
  <c r="AA35" i="40"/>
  <c r="S35" i="40"/>
  <c r="W27" i="34"/>
  <c r="AC27" i="34"/>
  <c r="S27" i="21"/>
  <c r="AA27" i="21"/>
  <c r="AB40" i="37"/>
  <c r="U40" i="37"/>
  <c r="AA28" i="37"/>
  <c r="S28" i="37"/>
  <c r="AB9" i="35"/>
  <c r="U9" i="35"/>
  <c r="S29" i="21"/>
  <c r="AA29" i="21"/>
  <c r="AA14" i="37"/>
  <c r="S14" i="37"/>
  <c r="W34" i="36"/>
  <c r="AC34" i="36"/>
  <c r="AB12" i="35"/>
  <c r="U12" i="35"/>
  <c r="S35" i="35"/>
  <c r="AA35" i="35"/>
  <c r="W27" i="21"/>
  <c r="AC27" i="21"/>
  <c r="AA26" i="33"/>
  <c r="S26" i="33"/>
  <c r="A25" i="51"/>
  <c r="B18" i="63" s="1"/>
  <c r="AE13" i="46"/>
  <c r="E11" i="6"/>
  <c r="E15" i="6"/>
  <c r="AZ26" i="3"/>
  <c r="AC17" i="39"/>
  <c r="AA9" i="21"/>
  <c r="C20" i="59"/>
  <c r="D19" i="59"/>
  <c r="AZ112" i="3"/>
  <c r="AZ91" i="3"/>
  <c r="AZ144" i="3"/>
  <c r="C37" i="59"/>
  <c r="D36" i="59"/>
  <c r="AZ180" i="3"/>
  <c r="AZ272" i="3"/>
  <c r="AZ257" i="3"/>
  <c r="AZ294" i="3"/>
  <c r="AZ224" i="3"/>
  <c r="AZ141" i="3"/>
  <c r="D56" i="59"/>
  <c r="C55" i="59"/>
  <c r="D55" i="59" s="1"/>
  <c r="U12" i="36"/>
  <c r="AB12" i="36"/>
  <c r="U45" i="21"/>
  <c r="AB45" i="21"/>
  <c r="AA13" i="21"/>
  <c r="S13" i="21"/>
  <c r="W12" i="35"/>
  <c r="AC12" i="35"/>
  <c r="S32" i="36"/>
  <c r="AA32" i="36"/>
  <c r="AC23" i="35"/>
  <c r="W23" i="35"/>
  <c r="W12" i="33"/>
  <c r="AC12" i="33"/>
  <c r="S46" i="39"/>
  <c r="AA46" i="39"/>
  <c r="AC15" i="40"/>
  <c r="W15" i="40"/>
  <c r="AB27" i="34"/>
  <c r="U27" i="34"/>
  <c r="AZ569" i="3"/>
  <c r="AB31" i="21"/>
  <c r="U31" i="21"/>
  <c r="AB14" i="39"/>
  <c r="U14" i="39"/>
  <c r="S26" i="35"/>
  <c r="AA26" i="35"/>
  <c r="AZ562" i="3"/>
  <c r="U28" i="37"/>
  <c r="AB28" i="37"/>
  <c r="AC26" i="33"/>
  <c r="W26" i="33"/>
  <c r="C7" i="59"/>
  <c r="D8" i="59"/>
  <c r="C17" i="59"/>
  <c r="D16" i="59"/>
  <c r="W25" i="37"/>
  <c r="AC25" i="37"/>
  <c r="U34" i="35"/>
  <c r="AB34" i="35"/>
  <c r="AA27" i="33"/>
  <c r="S27" i="33"/>
  <c r="AC44" i="33"/>
  <c r="W44" i="33"/>
  <c r="S46" i="33"/>
  <c r="AA46" i="33"/>
  <c r="W13" i="34"/>
  <c r="AC13" i="34"/>
  <c r="AA29" i="34"/>
  <c r="S29" i="34"/>
  <c r="AB31" i="34"/>
  <c r="U31" i="34"/>
  <c r="AC45" i="34"/>
  <c r="W45" i="34"/>
  <c r="AA47" i="34"/>
  <c r="S47" i="34"/>
  <c r="AA24" i="35"/>
  <c r="S24" i="35"/>
  <c r="S46" i="21"/>
  <c r="AA46" i="21"/>
  <c r="AB46" i="21"/>
  <c r="U46" i="21"/>
  <c r="AB44" i="21"/>
  <c r="U44" i="21"/>
  <c r="AA28" i="21"/>
  <c r="S28" i="21"/>
  <c r="U14" i="21"/>
  <c r="AB14" i="21"/>
  <c r="W12" i="21"/>
  <c r="AC12" i="21"/>
  <c r="A17" i="51"/>
  <c r="B13" i="63" s="1"/>
  <c r="BA5" i="3"/>
  <c r="E30" i="3"/>
  <c r="AB25" i="39"/>
  <c r="C11" i="59"/>
  <c r="D11" i="59" s="1"/>
  <c r="D12" i="59"/>
  <c r="D9" i="12"/>
  <c r="D10" i="12" s="1"/>
  <c r="K7" i="1"/>
  <c r="G16" i="1" s="1"/>
  <c r="S25" i="37"/>
  <c r="AA25" i="37"/>
  <c r="AA34" i="35"/>
  <c r="S34" i="35"/>
  <c r="AC27" i="33"/>
  <c r="W27" i="33"/>
  <c r="S44" i="33"/>
  <c r="AA44" i="33"/>
  <c r="AB46" i="33"/>
  <c r="U46" i="33"/>
  <c r="AA13" i="34"/>
  <c r="S13" i="34"/>
  <c r="U29" i="34"/>
  <c r="AB29" i="34"/>
  <c r="AA31" i="34"/>
  <c r="S31" i="34"/>
  <c r="AA45" i="34"/>
  <c r="S45" i="34"/>
  <c r="AC47" i="34"/>
  <c r="W47" i="34"/>
  <c r="AB24" i="35"/>
  <c r="U24" i="35"/>
  <c r="K8" i="1"/>
  <c r="E9" i="12"/>
  <c r="AC46" i="21"/>
  <c r="W46" i="21"/>
  <c r="AA44" i="21"/>
  <c r="S44" i="21"/>
  <c r="AC44" i="21"/>
  <c r="W44" i="21"/>
  <c r="AB28" i="21"/>
  <c r="U28" i="21"/>
  <c r="AA14" i="21"/>
  <c r="S14" i="21"/>
  <c r="AA12" i="21"/>
  <c r="S12" i="21"/>
  <c r="J7" i="36"/>
  <c r="W7" i="36" s="1"/>
  <c r="H7" i="36"/>
  <c r="E53" i="21"/>
  <c r="F53" i="21" s="1"/>
  <c r="J7" i="33"/>
  <c r="W7" i="33" s="1"/>
  <c r="H7" i="33"/>
  <c r="AB7" i="33" s="1"/>
  <c r="T48" i="33" s="1"/>
  <c r="G48" i="33" s="1"/>
  <c r="F70" i="39"/>
  <c r="E72" i="39"/>
  <c r="W7" i="21"/>
  <c r="AC7" i="21"/>
  <c r="V48" i="21" s="1"/>
  <c r="I48" i="21" s="1"/>
  <c r="D67" i="40"/>
  <c r="E65" i="40"/>
  <c r="S17" i="39"/>
  <c r="G126" i="39"/>
  <c r="H126" i="39" s="1"/>
  <c r="I126" i="39" s="1"/>
  <c r="J126" i="39" s="1"/>
  <c r="K126" i="39" s="1"/>
  <c r="L126" i="39" s="1"/>
  <c r="M126" i="39" s="1"/>
  <c r="F43" i="39"/>
  <c r="J43" i="39"/>
  <c r="AA42" i="39"/>
  <c r="S42" i="39"/>
  <c r="U34" i="39"/>
  <c r="S33" i="39"/>
  <c r="AA33" i="39"/>
  <c r="W33" i="39"/>
  <c r="AC33" i="39"/>
  <c r="AA29" i="39"/>
  <c r="S29" i="39"/>
  <c r="AC25" i="39"/>
  <c r="W25" i="39"/>
  <c r="S19" i="39"/>
  <c r="AA19" i="39"/>
  <c r="W19" i="39"/>
  <c r="AC19" i="39"/>
  <c r="G91" i="39"/>
  <c r="H17" i="39"/>
  <c r="E131" i="3"/>
  <c r="E41" i="3"/>
  <c r="E165" i="3"/>
  <c r="E570" i="3"/>
  <c r="E476" i="3"/>
  <c r="E39" i="3"/>
  <c r="E92" i="3"/>
  <c r="E404" i="3"/>
  <c r="E304" i="3"/>
  <c r="E409" i="3"/>
  <c r="E55" i="3"/>
  <c r="E114" i="3"/>
  <c r="E148" i="3"/>
  <c r="E411" i="3"/>
  <c r="E418" i="3"/>
  <c r="E414" i="3"/>
  <c r="E374" i="3"/>
  <c r="E100" i="3"/>
  <c r="E428" i="3"/>
  <c r="E237" i="3"/>
  <c r="E36" i="3"/>
  <c r="E375" i="3"/>
  <c r="E282" i="3"/>
  <c r="E394" i="3"/>
  <c r="E348" i="3"/>
  <c r="E192" i="3"/>
  <c r="AM6" i="3"/>
  <c r="E146" i="3"/>
  <c r="E463" i="3"/>
  <c r="E88" i="3"/>
  <c r="E293" i="3"/>
  <c r="E410" i="3"/>
  <c r="E27" i="6"/>
  <c r="E250" i="3"/>
  <c r="E471" i="3"/>
  <c r="E408" i="3"/>
  <c r="E238" i="3"/>
  <c r="E413" i="3"/>
  <c r="I3" i="6"/>
  <c r="E170" i="3"/>
  <c r="E460" i="3"/>
  <c r="E201" i="3"/>
  <c r="E549" i="3"/>
  <c r="E89" i="3"/>
  <c r="E249" i="3"/>
  <c r="E295" i="3"/>
  <c r="E149" i="3"/>
  <c r="E349" i="3"/>
  <c r="E470" i="3"/>
  <c r="E528" i="3"/>
  <c r="E231" i="3"/>
  <c r="E117" i="3"/>
  <c r="E459" i="3"/>
  <c r="E439" i="3"/>
  <c r="E22" i="3"/>
  <c r="E147" i="3"/>
  <c r="E135" i="3"/>
  <c r="E68" i="3"/>
  <c r="E23" i="3"/>
  <c r="E158" i="3"/>
  <c r="E124" i="3"/>
  <c r="E283" i="3"/>
  <c r="E103" i="3"/>
  <c r="E202" i="3"/>
  <c r="E220" i="3"/>
  <c r="E288" i="3"/>
  <c r="E111" i="3"/>
  <c r="E412" i="3"/>
  <c r="E109" i="3"/>
  <c r="E454" i="3"/>
  <c r="E297" i="3"/>
  <c r="E395" i="3"/>
  <c r="AN6" i="3"/>
  <c r="E280" i="3"/>
  <c r="E59" i="3"/>
  <c r="E270" i="3"/>
  <c r="E464" i="3"/>
  <c r="E157" i="3"/>
  <c r="E209" i="3"/>
  <c r="E161" i="3"/>
  <c r="P6" i="3"/>
  <c r="E435" i="3"/>
  <c r="E140" i="3"/>
  <c r="E452" i="3"/>
  <c r="AH6" i="3"/>
  <c r="E423" i="3"/>
  <c r="E64" i="3"/>
  <c r="E54" i="3"/>
  <c r="E125" i="3"/>
  <c r="E199" i="3"/>
  <c r="E21" i="3"/>
  <c r="E537" i="3"/>
  <c r="R6" i="3"/>
  <c r="E225" i="3"/>
  <c r="E294" i="3"/>
  <c r="E253" i="3"/>
  <c r="E387" i="3"/>
  <c r="E187" i="3"/>
  <c r="E376" i="3"/>
  <c r="E321" i="3"/>
  <c r="X6" i="3"/>
  <c r="E391" i="3"/>
  <c r="E31" i="3"/>
  <c r="E195" i="3"/>
  <c r="E457" i="3"/>
  <c r="E359" i="3"/>
  <c r="E221" i="3"/>
  <c r="E115" i="3"/>
  <c r="E46" i="3"/>
  <c r="E91" i="3"/>
  <c r="E437" i="3"/>
  <c r="E333" i="3"/>
  <c r="E152" i="3"/>
  <c r="E132" i="3"/>
  <c r="E446" i="3"/>
  <c r="E206" i="3"/>
  <c r="E69" i="3"/>
  <c r="E421" i="3"/>
  <c r="E241" i="3"/>
  <c r="E475" i="3"/>
  <c r="M6" i="3"/>
  <c r="AO6" i="3"/>
  <c r="E265" i="3"/>
  <c r="E337" i="3"/>
  <c r="E296" i="3"/>
  <c r="E534" i="3"/>
  <c r="E388" i="3"/>
  <c r="E434" i="3"/>
  <c r="E104" i="3"/>
  <c r="AA6" i="3"/>
  <c r="E230" i="3"/>
  <c r="E292" i="3"/>
  <c r="E535" i="3"/>
  <c r="E480" i="3"/>
  <c r="E393" i="3"/>
  <c r="E107" i="3"/>
  <c r="E261" i="3"/>
  <c r="E560" i="3"/>
  <c r="E469" i="3"/>
  <c r="E27" i="3"/>
  <c r="E185" i="3"/>
  <c r="E468" i="3"/>
  <c r="E536" i="3"/>
  <c r="E561" i="3"/>
  <c r="E86" i="3"/>
  <c r="E443" i="3"/>
  <c r="E194" i="3"/>
  <c r="E78" i="3"/>
  <c r="E390" i="3"/>
  <c r="E94" i="3"/>
  <c r="E83" i="3"/>
  <c r="E222" i="3"/>
  <c r="E430" i="3"/>
  <c r="E77" i="3"/>
  <c r="E552" i="3"/>
  <c r="E49" i="3"/>
  <c r="E299" i="3"/>
  <c r="E62" i="3"/>
  <c r="E274" i="3"/>
  <c r="E32" i="3"/>
  <c r="E44" i="3"/>
  <c r="E279" i="3"/>
  <c r="E145" i="3"/>
  <c r="E417" i="3"/>
  <c r="E255" i="3"/>
  <c r="E172" i="3"/>
  <c r="E402" i="3"/>
  <c r="E203" i="3"/>
  <c r="E233" i="3"/>
  <c r="E420" i="3"/>
  <c r="E190" i="3"/>
  <c r="W6" i="3"/>
  <c r="E405" i="3"/>
  <c r="E53" i="3"/>
  <c r="E313" i="3"/>
  <c r="E151" i="3"/>
  <c r="E38" i="3"/>
  <c r="E70" i="3"/>
  <c r="E431" i="3"/>
  <c r="AP6" i="3"/>
  <c r="E213" i="3"/>
  <c r="E215" i="3"/>
  <c r="AZ5" i="3"/>
  <c r="E3" i="6" s="1"/>
  <c r="E472" i="3"/>
  <c r="E186" i="3"/>
  <c r="E311" i="3"/>
  <c r="E263" i="3"/>
  <c r="E424" i="3"/>
  <c r="E82" i="3"/>
  <c r="E164" i="3"/>
  <c r="E99" i="3"/>
  <c r="E262" i="3"/>
  <c r="E101" i="3"/>
  <c r="E156" i="3"/>
  <c r="E193" i="3"/>
  <c r="E450" i="3"/>
  <c r="E492" i="3"/>
  <c r="AD6" i="3"/>
  <c r="E327" i="3"/>
  <c r="E200" i="3"/>
  <c r="E389" i="3"/>
  <c r="E57" i="3"/>
  <c r="E223" i="3"/>
  <c r="E441" i="3"/>
  <c r="E205" i="3"/>
  <c r="E427" i="3"/>
  <c r="E381" i="3"/>
  <c r="E278" i="3"/>
  <c r="E369" i="3"/>
  <c r="E243" i="3"/>
  <c r="E264" i="3"/>
  <c r="E154" i="3"/>
  <c r="E543" i="3"/>
  <c r="E465" i="3"/>
  <c r="E486" i="3"/>
  <c r="E372" i="3"/>
  <c r="E214" i="3"/>
  <c r="E116" i="3"/>
  <c r="E67" i="3"/>
  <c r="E429" i="3"/>
  <c r="E467" i="3"/>
  <c r="L6" i="3"/>
  <c r="AT6" i="3"/>
  <c r="E275" i="3"/>
  <c r="E303" i="3"/>
  <c r="E507" i="3"/>
  <c r="E37" i="3"/>
  <c r="E189" i="3"/>
  <c r="E533" i="3"/>
  <c r="E232" i="3"/>
  <c r="E398" i="3"/>
  <c r="N6" i="3"/>
  <c r="E422" i="3"/>
  <c r="E473" i="3"/>
  <c r="E98" i="3"/>
  <c r="E482" i="3"/>
  <c r="E129" i="3"/>
  <c r="E184" i="3"/>
  <c r="E174" i="3"/>
  <c r="E545" i="3"/>
  <c r="E63" i="3"/>
  <c r="E47" i="3"/>
  <c r="E110" i="3"/>
  <c r="E462" i="3"/>
  <c r="E442" i="3"/>
  <c r="E397" i="3"/>
  <c r="E218" i="3"/>
  <c r="E490" i="3"/>
  <c r="AK6" i="3"/>
  <c r="E548" i="3"/>
  <c r="E266" i="3"/>
  <c r="Z6" i="3"/>
  <c r="E143" i="3"/>
  <c r="E84"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520" i="3"/>
  <c r="E142" i="3"/>
  <c r="E426" i="3"/>
  <c r="E60" i="3"/>
  <c r="E75" i="3"/>
  <c r="E178" i="3"/>
  <c r="J6" i="3"/>
  <c r="E48" i="3"/>
  <c r="E438" i="3"/>
  <c r="E455" i="3"/>
  <c r="E363" i="3"/>
  <c r="E79" i="3"/>
  <c r="E401" i="3"/>
  <c r="E272" i="3"/>
  <c r="E102" i="3"/>
  <c r="E25" i="3"/>
  <c r="E258" i="3"/>
  <c r="E479" i="3"/>
  <c r="E43" i="3"/>
  <c r="E276" i="3"/>
  <c r="E370" i="3"/>
  <c r="E309" i="3"/>
  <c r="V6" i="3"/>
  <c r="E448" i="3"/>
  <c r="E105" i="3"/>
  <c r="E74" i="3"/>
  <c r="AG6" i="3"/>
  <c r="E121" i="3"/>
  <c r="E505" i="3"/>
  <c r="E224" i="3"/>
  <c r="E419" i="3"/>
  <c r="E123" i="3"/>
  <c r="E302" i="3"/>
  <c r="E66" i="3"/>
  <c r="E386" i="3"/>
  <c r="E76" i="3"/>
  <c r="E287" i="3"/>
  <c r="E24" i="3"/>
  <c r="E188" i="3"/>
  <c r="E271" i="3"/>
  <c r="E306"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I6" i="3"/>
  <c r="E343" i="3"/>
  <c r="E547" i="3"/>
  <c r="E447" i="3"/>
  <c r="E33" i="3"/>
  <c r="Q6" i="3"/>
  <c r="E119" i="3"/>
  <c r="E500" i="3"/>
  <c r="E97" i="3"/>
  <c r="AE6" i="3"/>
  <c r="E289" i="3"/>
  <c r="E113" i="3"/>
  <c r="E425" i="3"/>
  <c r="E257" i="3"/>
  <c r="E166" i="3"/>
  <c r="O6" i="3"/>
  <c r="E204" i="3"/>
  <c r="E207" i="3"/>
  <c r="E449" i="3"/>
  <c r="E196" i="3"/>
  <c r="E259" i="3"/>
  <c r="E347" i="3"/>
  <c r="E517" i="3"/>
  <c r="E400" i="3"/>
  <c r="E453" i="3"/>
  <c r="E58" i="3"/>
  <c r="AQ6" i="3"/>
  <c r="E197" i="3"/>
  <c r="E162" i="3"/>
  <c r="E285" i="3"/>
  <c r="E235" i="3"/>
  <c r="E61" i="3"/>
  <c r="E229" i="3"/>
  <c r="E433" i="3"/>
  <c r="E120" i="3"/>
  <c r="E529" i="3"/>
  <c r="E191" i="3"/>
  <c r="E300" i="3"/>
  <c r="E555" i="3"/>
  <c r="E379" i="3"/>
  <c r="E355"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06" i="3"/>
  <c r="E562" i="3"/>
  <c r="E571" i="3"/>
  <c r="E518" i="3"/>
  <c r="E497" i="3"/>
  <c r="E167" i="3"/>
  <c r="E566" i="3"/>
  <c r="E515" i="3"/>
  <c r="E553" i="3"/>
  <c r="E494" i="3"/>
  <c r="E273" i="3"/>
  <c r="E542" i="3"/>
  <c r="E563" i="3"/>
  <c r="E254" i="3"/>
  <c r="E112" i="3"/>
  <c r="E341" i="3"/>
  <c r="E268" i="3"/>
  <c r="E316" i="3"/>
  <c r="E175" i="3"/>
  <c r="E318" i="3"/>
  <c r="E565" i="3"/>
  <c r="E380" i="3"/>
  <c r="E503" i="3"/>
  <c r="E485" i="3"/>
  <c r="E335" i="3"/>
  <c r="E483" i="3"/>
  <c r="E366" i="3"/>
  <c r="E532" i="3"/>
  <c r="E330" i="3"/>
  <c r="E340" i="3"/>
  <c r="E350" i="3"/>
  <c r="E521" i="3"/>
  <c r="E496" i="3"/>
  <c r="E130" i="3"/>
  <c r="E352" i="3"/>
  <c r="E461" i="3"/>
  <c r="E138" i="3"/>
  <c r="E328" i="3"/>
  <c r="E519" i="3"/>
  <c r="E155" i="3"/>
  <c r="E252" i="3"/>
  <c r="E346" i="3"/>
  <c r="E544" i="3"/>
  <c r="E541" i="3"/>
  <c r="E523" i="3"/>
  <c r="E557" i="3"/>
  <c r="E13" i="3"/>
  <c r="E16" i="6"/>
  <c r="K20" i="6"/>
  <c r="K25" i="6"/>
  <c r="M25" i="6" s="1"/>
  <c r="I25" i="6" s="1"/>
  <c r="S25" i="6" s="1"/>
  <c r="K21" i="6"/>
  <c r="K26" i="6"/>
  <c r="M26" i="6" s="1"/>
  <c r="I26" i="6" s="1"/>
  <c r="S26" i="6" s="1"/>
  <c r="E58" i="40"/>
  <c r="E63" i="39"/>
  <c r="E67" i="39"/>
  <c r="E62" i="40"/>
  <c r="E60" i="40"/>
  <c r="E65" i="39"/>
  <c r="E61" i="40"/>
  <c r="E66" i="39"/>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C115" i="46" s="1"/>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4" i="46"/>
  <c r="M103" i="46"/>
  <c r="M105" i="46"/>
  <c r="M107" i="46"/>
  <c r="M102" i="46"/>
  <c r="M109" i="46"/>
  <c r="M106" i="46"/>
  <c r="D22" i="46"/>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3" i="46"/>
  <c r="D106" i="46"/>
  <c r="D107" i="46"/>
  <c r="D105" i="46"/>
  <c r="H104" i="46"/>
  <c r="H105" i="46"/>
  <c r="H106" i="46"/>
  <c r="H109" i="46"/>
  <c r="H102" i="46"/>
  <c r="H107" i="46"/>
  <c r="H103" i="46"/>
  <c r="A3" i="55"/>
  <c r="B56" i="63" s="1"/>
  <c r="C16" i="46"/>
  <c r="D5" i="46" s="1"/>
  <c r="AA7" i="37"/>
  <c r="R42" i="37" s="1"/>
  <c r="S7" i="37"/>
  <c r="AA7" i="36"/>
  <c r="R36" i="36" s="1"/>
  <c r="S7" i="36"/>
  <c r="F7" i="33"/>
  <c r="AC7" i="36"/>
  <c r="V36" i="36" s="1"/>
  <c r="I36" i="36" s="1"/>
  <c r="J7" i="37"/>
  <c r="G59" i="34"/>
  <c r="U7" i="37"/>
  <c r="AB7" i="37"/>
  <c r="T42" i="37" s="1"/>
  <c r="G42" i="37" s="1"/>
  <c r="AC7" i="33"/>
  <c r="V48" i="33" s="1"/>
  <c r="I48" i="33" s="1"/>
  <c r="U7" i="33"/>
  <c r="F48" i="35"/>
  <c r="U7" i="36"/>
  <c r="AB7" i="36"/>
  <c r="T36" i="36" s="1"/>
  <c r="G36" i="36" s="1"/>
  <c r="L47" i="44"/>
  <c r="Q61" i="15"/>
  <c r="Q74" i="15"/>
  <c r="Q76" i="44"/>
  <c r="Q63" i="44"/>
  <c r="Q54" i="44"/>
  <c r="F1" i="44"/>
  <c r="F1" i="15"/>
  <c r="Q53" i="15"/>
  <c r="Q75" i="15"/>
  <c r="Q62" i="15"/>
  <c r="Q75" i="44"/>
  <c r="Q62" i="44"/>
  <c r="N4" i="65"/>
  <c r="I7" i="65"/>
  <c r="F7" i="15"/>
  <c r="I6" i="65"/>
  <c r="AE8" i="1"/>
  <c r="J5" i="65"/>
  <c r="J4" i="65"/>
  <c r="N7" i="65"/>
  <c r="I3" i="65"/>
  <c r="J6" i="65"/>
  <c r="N3" i="65"/>
  <c r="N5" i="65"/>
  <c r="N6" i="65"/>
  <c r="I5" i="65"/>
  <c r="J7" i="65"/>
  <c r="M29" i="15"/>
  <c r="F43" i="15"/>
  <c r="I4" i="65"/>
  <c r="J3" i="65"/>
  <c r="AC6" i="3" l="1"/>
  <c r="I1" i="65"/>
  <c r="AY6" i="3"/>
  <c r="D3" i="6" s="1"/>
  <c r="E59" i="40"/>
  <c r="E31" i="6"/>
  <c r="Q51" i="59"/>
  <c r="Q50" i="59"/>
  <c r="E58" i="39"/>
  <c r="F27" i="6"/>
  <c r="F31" i="6" s="1"/>
  <c r="E53" i="40"/>
  <c r="E30" i="6"/>
  <c r="K14" i="1"/>
  <c r="M14" i="1" s="1"/>
  <c r="D37" i="59"/>
  <c r="T37" i="59"/>
  <c r="D45" i="59"/>
  <c r="T45" i="59"/>
  <c r="D51" i="59"/>
  <c r="O50" i="59"/>
  <c r="O51" i="59"/>
  <c r="C21" i="59"/>
  <c r="D20" i="59"/>
  <c r="P51" i="59"/>
  <c r="P50" i="59"/>
  <c r="D21" i="12"/>
  <c r="C21" i="12" s="1"/>
  <c r="D12" i="11"/>
  <c r="C12" i="11" s="1"/>
  <c r="H43" i="39"/>
  <c r="C25" i="59"/>
  <c r="D24" i="59"/>
  <c r="D49" i="59"/>
  <c r="T49" i="59"/>
  <c r="F70" i="15"/>
  <c r="F49" i="15"/>
  <c r="C48" i="15" s="1"/>
  <c r="M7" i="15"/>
  <c r="J6" i="15" s="1"/>
  <c r="C6" i="15"/>
  <c r="C4" i="65"/>
  <c r="B39" i="1" s="1"/>
  <c r="J1" i="65"/>
  <c r="E20" i="46"/>
  <c r="H12" i="39"/>
  <c r="AB12" i="39" s="1"/>
  <c r="J12" i="39"/>
  <c r="AC12" i="39" s="1"/>
  <c r="J12" i="40"/>
  <c r="H12" i="40"/>
  <c r="AB12" i="40" s="1"/>
  <c r="F12" i="39"/>
  <c r="S12" i="39" s="1"/>
  <c r="F12" i="40"/>
  <c r="AA12" i="40" s="1"/>
  <c r="M8" i="1"/>
  <c r="D17" i="59"/>
  <c r="T17" i="59"/>
  <c r="M7" i="1"/>
  <c r="O7" i="1" s="1"/>
  <c r="P7" i="1" s="1"/>
  <c r="Q16" i="1"/>
  <c r="AP16" i="1"/>
  <c r="F22" i="11" s="1"/>
  <c r="H16" i="1"/>
  <c r="D7" i="59"/>
  <c r="C6" i="59"/>
  <c r="F65" i="40"/>
  <c r="E67" i="40"/>
  <c r="I52" i="21"/>
  <c r="J52" i="21" s="1"/>
  <c r="G53" i="21"/>
  <c r="H53" i="21" s="1"/>
  <c r="I53" i="21"/>
  <c r="J53" i="21" s="1"/>
  <c r="F72" i="39"/>
  <c r="G70" i="39"/>
  <c r="AA43" i="39"/>
  <c r="S43" i="39"/>
  <c r="W43" i="39"/>
  <c r="AC43" i="39"/>
  <c r="U17" i="39"/>
  <c r="AB17" i="39"/>
  <c r="M21" i="6"/>
  <c r="I21" i="6" s="1"/>
  <c r="S21" i="6" s="1"/>
  <c r="S8" i="1"/>
  <c r="M20" i="6"/>
  <c r="I20" i="6" s="1"/>
  <c r="S20" i="6" s="1"/>
  <c r="S7" i="1"/>
  <c r="K22" i="6"/>
  <c r="M22" i="6" s="1"/>
  <c r="I22" i="6" s="1"/>
  <c r="S22" i="6" s="1"/>
  <c r="K19" i="6"/>
  <c r="S6" i="1" s="1"/>
  <c r="K23" i="6"/>
  <c r="M23" i="6" s="1"/>
  <c r="I23" i="6" s="1"/>
  <c r="S23" i="6" s="1"/>
  <c r="K24" i="6"/>
  <c r="M24" i="6" s="1"/>
  <c r="I24" i="6" s="1"/>
  <c r="S24" i="6" s="1"/>
  <c r="H6" i="3"/>
  <c r="E6" i="3" s="1"/>
  <c r="O14" i="1"/>
  <c r="M16" i="1"/>
  <c r="N16" i="1" s="1"/>
  <c r="C29" i="43" s="1"/>
  <c r="K27" i="6"/>
  <c r="AY80" i="3"/>
  <c r="AY58" i="3"/>
  <c r="AY179" i="3"/>
  <c r="AY274" i="3"/>
  <c r="AY275" i="3"/>
  <c r="AY556" i="3"/>
  <c r="AY422" i="3"/>
  <c r="AY170" i="3"/>
  <c r="AY146" i="3"/>
  <c r="AY214" i="3"/>
  <c r="AY324" i="3"/>
  <c r="AY476" i="3"/>
  <c r="AY87" i="3"/>
  <c r="AY142" i="3"/>
  <c r="AY218" i="3"/>
  <c r="AY392" i="3"/>
  <c r="AY176" i="3"/>
  <c r="AY356" i="3"/>
  <c r="AY65" i="3"/>
  <c r="AY141" i="3"/>
  <c r="AY265" i="3"/>
  <c r="AY310" i="3"/>
  <c r="AY350" i="3"/>
  <c r="AY459" i="3"/>
  <c r="AY50" i="3"/>
  <c r="AY226" i="3"/>
  <c r="AY346" i="3"/>
  <c r="AY400" i="3"/>
  <c r="AY161" i="3"/>
  <c r="AY340" i="3"/>
  <c r="AY101" i="3"/>
  <c r="AY272" i="3"/>
  <c r="AY305" i="3"/>
  <c r="AY129" i="3"/>
  <c r="AY409" i="3"/>
  <c r="AY374" i="3"/>
  <c r="AY172" i="3"/>
  <c r="AY257" i="3"/>
  <c r="BS6" i="3"/>
  <c r="AY254" i="3"/>
  <c r="AY394" i="3"/>
  <c r="AY359" i="3"/>
  <c r="AY282"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69" i="3"/>
  <c r="AY248" i="3"/>
  <c r="AY114" i="3"/>
  <c r="AY44" i="3"/>
  <c r="AY288" i="3"/>
  <c r="AY318" i="3"/>
  <c r="AY147" i="3"/>
  <c r="AY561" i="3"/>
  <c r="AY162" i="3"/>
  <c r="AY22" i="3"/>
  <c r="AY562"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AY196" i="3"/>
  <c r="AY298" i="3"/>
  <c r="AY403" i="3"/>
  <c r="AY514" i="3"/>
  <c r="AY454" i="3"/>
  <c r="AY499" i="3"/>
  <c r="AY391" i="3"/>
  <c r="AY507" i="3"/>
  <c r="AY332" i="3"/>
  <c r="AY51" i="3"/>
  <c r="AY570" i="3"/>
  <c r="AY255" i="3"/>
  <c r="AY521" i="3"/>
  <c r="AY354" i="3"/>
  <c r="BE6" i="3"/>
  <c r="AY121" i="3"/>
  <c r="AY508" i="3"/>
  <c r="AY64" i="3"/>
  <c r="AY42" i="3"/>
  <c r="AY515" i="3"/>
  <c r="AY175" i="3"/>
  <c r="AY264" i="3"/>
  <c r="AY467" i="3"/>
  <c r="AY504" i="3"/>
  <c r="AY83" i="3"/>
  <c r="AY182" i="3"/>
  <c r="AY45" i="3"/>
  <c r="AY217" i="3"/>
  <c r="AY383" i="3"/>
  <c r="AY427" i="3"/>
  <c r="D16" i="12"/>
  <c r="E6" i="6"/>
  <c r="L38" i="9"/>
  <c r="B14" i="66" s="1"/>
  <c r="B1" i="66" s="1"/>
  <c r="D16" i="43"/>
  <c r="C16" i="43" s="1"/>
  <c r="C21" i="4"/>
  <c r="O5" i="54" s="1"/>
  <c r="B45" i="63" s="1"/>
  <c r="D10" i="11"/>
  <c r="D45" i="9"/>
  <c r="D46" i="9"/>
  <c r="S3" i="46"/>
  <c r="S4" i="46"/>
  <c r="S5" i="46"/>
  <c r="S7" i="46"/>
  <c r="S6" i="46"/>
  <c r="S2" i="46"/>
  <c r="D113" i="46"/>
  <c r="C5" i="46"/>
  <c r="AC12" i="40"/>
  <c r="W12" i="40"/>
  <c r="U12" i="39"/>
  <c r="G40" i="36"/>
  <c r="H40" i="36" s="1"/>
  <c r="G41" i="36"/>
  <c r="H41" i="36" s="1"/>
  <c r="G48" i="35"/>
  <c r="G52" i="33"/>
  <c r="H52" i="33" s="1"/>
  <c r="G53" i="33"/>
  <c r="H53" i="33" s="1"/>
  <c r="I52" i="33"/>
  <c r="J52" i="33" s="1"/>
  <c r="G46" i="37"/>
  <c r="H46" i="37" s="1"/>
  <c r="W7" i="37"/>
  <c r="AC7" i="37"/>
  <c r="V42" i="37" s="1"/>
  <c r="I42" i="37" s="1"/>
  <c r="S7" i="33"/>
  <c r="AA7" i="33"/>
  <c r="R48" i="33" s="1"/>
  <c r="E36" i="36"/>
  <c r="I41" i="36" s="1"/>
  <c r="J41" i="36" s="1"/>
  <c r="R37" i="36"/>
  <c r="R43" i="37"/>
  <c r="E42" i="37"/>
  <c r="H59" i="34"/>
  <c r="I59" i="34" s="1"/>
  <c r="J59" i="34" s="1"/>
  <c r="K59" i="34" s="1"/>
  <c r="L59" i="34" s="1"/>
  <c r="M59" i="34" s="1"/>
  <c r="N59" i="34" s="1"/>
  <c r="O59" i="34" s="1"/>
  <c r="I40" i="36"/>
  <c r="J40" i="36" s="1"/>
  <c r="E2" i="65"/>
  <c r="C17" i="15"/>
  <c r="F41" i="15"/>
  <c r="C16" i="15"/>
  <c r="E3" i="65"/>
  <c r="AB43" i="39" l="1"/>
  <c r="U43" i="39"/>
  <c r="AA12" i="39"/>
  <c r="AY136" i="3"/>
  <c r="AY74" i="3"/>
  <c r="AY402" i="3"/>
  <c r="AY234" i="3"/>
  <c r="AY204" i="3"/>
  <c r="AY103" i="3"/>
  <c r="AY517" i="3"/>
  <c r="AY536" i="3"/>
  <c r="AY94" i="3"/>
  <c r="AY125" i="3"/>
  <c r="AY228" i="3"/>
  <c r="AY260" i="3"/>
  <c r="AY252" i="3"/>
  <c r="AY426" i="3"/>
  <c r="AY210" i="3"/>
  <c r="AY490" i="3"/>
  <c r="BO6" i="3"/>
  <c r="AY393" i="3"/>
  <c r="AY189" i="3"/>
  <c r="AY395" i="3"/>
  <c r="AY322" i="3"/>
  <c r="AY401" i="3"/>
  <c r="AY207" i="3"/>
  <c r="AY501" i="3"/>
  <c r="AY429" i="3"/>
  <c r="AY413" i="3"/>
  <c r="AY316" i="3"/>
  <c r="AY187" i="3"/>
  <c r="AY377" i="3"/>
  <c r="AY133" i="3"/>
  <c r="AY17" i="3"/>
  <c r="AY390" i="3"/>
  <c r="AY186" i="3"/>
  <c r="AY519" i="3"/>
  <c r="AY140" i="3"/>
  <c r="BN6" i="3"/>
  <c r="AY320" i="3"/>
  <c r="AY314" i="3"/>
  <c r="AY430" i="3"/>
  <c r="AY14" i="3"/>
  <c r="AY266" i="3"/>
  <c r="AY424" i="3"/>
  <c r="AY120" i="3"/>
  <c r="AY558" i="3"/>
  <c r="AY227" i="3"/>
  <c r="AY38" i="3"/>
  <c r="AY280" i="3"/>
  <c r="AY368" i="3"/>
  <c r="AY88" i="3"/>
  <c r="AY122" i="3"/>
  <c r="AY450" i="3"/>
  <c r="AY302" i="3"/>
  <c r="AY155" i="3"/>
  <c r="AY389" i="3"/>
  <c r="AY376" i="3"/>
  <c r="AY269" i="3"/>
  <c r="AY62" i="3"/>
  <c r="AY550" i="3"/>
  <c r="AY372" i="3"/>
  <c r="AY294" i="3"/>
  <c r="AY135" i="3"/>
  <c r="AY178" i="3"/>
  <c r="AY471" i="3"/>
  <c r="AY365" i="3"/>
  <c r="AY171" i="3"/>
  <c r="AY443" i="3"/>
  <c r="AY158" i="3"/>
  <c r="AY198" i="3"/>
  <c r="AY530" i="3"/>
  <c r="AY560" i="3"/>
  <c r="AY343" i="3"/>
  <c r="AY250" i="3"/>
  <c r="AY181" i="3"/>
  <c r="AY55" i="3"/>
  <c r="AY408" i="3"/>
  <c r="AY333" i="3"/>
  <c r="AY246" i="3"/>
  <c r="AY36" i="3"/>
  <c r="AY128" i="3"/>
  <c r="AY41" i="3"/>
  <c r="AY82" i="3"/>
  <c r="AY441" i="3"/>
  <c r="AY134" i="3"/>
  <c r="AY212" i="3"/>
  <c r="AY457" i="3"/>
  <c r="AY304" i="3"/>
  <c r="AY475" i="3"/>
  <c r="AY559" i="3"/>
  <c r="AY153" i="3"/>
  <c r="AY78" i="3"/>
  <c r="AY208" i="3"/>
  <c r="AY20" i="3"/>
  <c r="AY247" i="3"/>
  <c r="AY415" i="3"/>
  <c r="AY112" i="3"/>
  <c r="AY518" i="3"/>
  <c r="AY456" i="3"/>
  <c r="AY498" i="3"/>
  <c r="AY32" i="3"/>
  <c r="AY127" i="3"/>
  <c r="AY245" i="3"/>
  <c r="AY303" i="3"/>
  <c r="AY221" i="3"/>
  <c r="AY406" i="3"/>
  <c r="AY396" i="3"/>
  <c r="AY321" i="3"/>
  <c r="AY76" i="3"/>
  <c r="AY197" i="3"/>
  <c r="AY341" i="3"/>
  <c r="AY25" i="3"/>
  <c r="AY337" i="3"/>
  <c r="AY183" i="3"/>
  <c r="AY123" i="3"/>
  <c r="AY117" i="3"/>
  <c r="AY259" i="3"/>
  <c r="AY549" i="3"/>
  <c r="AY382" i="3"/>
  <c r="AY132" i="3"/>
  <c r="AY542" i="3"/>
  <c r="AY230" i="3"/>
  <c r="AY435" i="3"/>
  <c r="AY241" i="3"/>
  <c r="AY115" i="3"/>
  <c r="AY72" i="3"/>
  <c r="BK6" i="3"/>
  <c r="AY348" i="3"/>
  <c r="AY238" i="3"/>
  <c r="AY169" i="3"/>
  <c r="AY70" i="3"/>
  <c r="AY569" i="3"/>
  <c r="AY219" i="3"/>
  <c r="AY46" i="3"/>
  <c r="AY309" i="3"/>
  <c r="AY34" i="3"/>
  <c r="AY109" i="3"/>
  <c r="AY463" i="3"/>
  <c r="AY326" i="3"/>
  <c r="AY379" i="3"/>
  <c r="AY381" i="3"/>
  <c r="AY149" i="3"/>
  <c r="AY49" i="3"/>
  <c r="AY411" i="3"/>
  <c r="AY386" i="3"/>
  <c r="AY293" i="3"/>
  <c r="AY105" i="3"/>
  <c r="AY159" i="3"/>
  <c r="AY67" i="3"/>
  <c r="AY486" i="3"/>
  <c r="T21" i="59"/>
  <c r="D21" i="59"/>
  <c r="K16" i="1"/>
  <c r="AY448" i="3"/>
  <c r="AY232" i="3"/>
  <c r="AY98" i="3"/>
  <c r="AY53" i="3"/>
  <c r="AY317" i="3"/>
  <c r="AY31" i="3"/>
  <c r="AY52" i="3"/>
  <c r="AY523" i="3"/>
  <c r="AY535" i="3"/>
  <c r="BJ6" i="3"/>
  <c r="AY511" i="3"/>
  <c r="AY551" i="3"/>
  <c r="AY18" i="3"/>
  <c r="AY423" i="3"/>
  <c r="BM6" i="3"/>
  <c r="AY205" i="3"/>
  <c r="AY297" i="3"/>
  <c r="AY455" i="3"/>
  <c r="AY547" i="3"/>
  <c r="AY433" i="3"/>
  <c r="AY339" i="3"/>
  <c r="AY545" i="3"/>
  <c r="AY363" i="3"/>
  <c r="AY267" i="3"/>
  <c r="AY495" i="3"/>
  <c r="AY281" i="3"/>
  <c r="AY40" i="3"/>
  <c r="AY510" i="3"/>
  <c r="AY481" i="3"/>
  <c r="AY99" i="3"/>
  <c r="AY572" i="3"/>
  <c r="AY43" i="3"/>
  <c r="AY442" i="3"/>
  <c r="AY405" i="3"/>
  <c r="AY319" i="3"/>
  <c r="AY166" i="3"/>
  <c r="AY367" i="3"/>
  <c r="AY29" i="3"/>
  <c r="AY138" i="3"/>
  <c r="AY445" i="3"/>
  <c r="AY145" i="3"/>
  <c r="BI6" i="3"/>
  <c r="AY468" i="3"/>
  <c r="AY84" i="3"/>
  <c r="AY357" i="3"/>
  <c r="AY68" i="3"/>
  <c r="AY563" i="3"/>
  <c r="AY505" i="3"/>
  <c r="AY484" i="3"/>
  <c r="AY540" i="3"/>
  <c r="AY222" i="3"/>
  <c r="BF6" i="3"/>
  <c r="AY325" i="3"/>
  <c r="AY66" i="3"/>
  <c r="AY461" i="3"/>
  <c r="AY527" i="3"/>
  <c r="AY552" i="3"/>
  <c r="AY407" i="3"/>
  <c r="AY268" i="3"/>
  <c r="AY27" i="3"/>
  <c r="AY193" i="3"/>
  <c r="AY378" i="3"/>
  <c r="AY156" i="3"/>
  <c r="AY307" i="3"/>
  <c r="AY361" i="3"/>
  <c r="AY291" i="3"/>
  <c r="AY106" i="3"/>
  <c r="AY126" i="3"/>
  <c r="AY47" i="3"/>
  <c r="AY100" i="3"/>
  <c r="AY425" i="3"/>
  <c r="AY384" i="3"/>
  <c r="AY277" i="3"/>
  <c r="AY75" i="3"/>
  <c r="AY160" i="3"/>
  <c r="AY154" i="3"/>
  <c r="BL6" i="3"/>
  <c r="AY491" i="3"/>
  <c r="AY482" i="3"/>
  <c r="AY474" i="3"/>
  <c r="AY496" i="3"/>
  <c r="AY466" i="3"/>
  <c r="AY301" i="3"/>
  <c r="AY462" i="3"/>
  <c r="AY300" i="3"/>
  <c r="AY231" i="3"/>
  <c r="AY524" i="3"/>
  <c r="AY263" i="3"/>
  <c r="AY177" i="3"/>
  <c r="AY469" i="3"/>
  <c r="AY164" i="3"/>
  <c r="AY165" i="3"/>
  <c r="BG6" i="3"/>
  <c r="AY261" i="3"/>
  <c r="AY419" i="3"/>
  <c r="AY79" i="3"/>
  <c r="AY444" i="3"/>
  <c r="AY284" i="3"/>
  <c r="AY312" i="3"/>
  <c r="AY338" i="3"/>
  <c r="AY460" i="3"/>
  <c r="AY353" i="3"/>
  <c r="AY54" i="3"/>
  <c r="AY296" i="3"/>
  <c r="AY451" i="3"/>
  <c r="AY251" i="3"/>
  <c r="AY568" i="3"/>
  <c r="BB6" i="3"/>
  <c r="AY488" i="3"/>
  <c r="AY566" i="3"/>
  <c r="AY494" i="3"/>
  <c r="AY273" i="3"/>
  <c r="AY449" i="3"/>
  <c r="AY91" i="3"/>
  <c r="AY330" i="3"/>
  <c r="AY543" i="3"/>
  <c r="AY201" i="3"/>
  <c r="BC6" i="3"/>
  <c r="AY412" i="3"/>
  <c r="AY211" i="3"/>
  <c r="AY380" i="3"/>
  <c r="AY446" i="3"/>
  <c r="AY283" i="3"/>
  <c r="BA6" i="3"/>
  <c r="AY371" i="3"/>
  <c r="AY148" i="3"/>
  <c r="AY414" i="3"/>
  <c r="AY529" i="3"/>
  <c r="AY270" i="3"/>
  <c r="AY331" i="3"/>
  <c r="AY334" i="3"/>
  <c r="AY60" i="3"/>
  <c r="AY240" i="3"/>
  <c r="AY108" i="3"/>
  <c r="AY506" i="3"/>
  <c r="AY483" i="3"/>
  <c r="AY185" i="3"/>
  <c r="AY375" i="3"/>
  <c r="AY447" i="3"/>
  <c r="AY299" i="3"/>
  <c r="AY503" i="3"/>
  <c r="AY30" i="3"/>
  <c r="AY397" i="3"/>
  <c r="AY349" i="3"/>
  <c r="AY262" i="3"/>
  <c r="AY57" i="3"/>
  <c r="AY144" i="3"/>
  <c r="AY73" i="3"/>
  <c r="AY537" i="3"/>
  <c r="AY416" i="3"/>
  <c r="AY209" i="3"/>
  <c r="AY118" i="3"/>
  <c r="AY92" i="3"/>
  <c r="AY191" i="3"/>
  <c r="AY21" i="3"/>
  <c r="AY13" i="3"/>
  <c r="AY452" i="3"/>
  <c r="AY292" i="3"/>
  <c r="AY477" i="3"/>
  <c r="AY180" i="3"/>
  <c r="AY439" i="3"/>
  <c r="AY167" i="3"/>
  <c r="AY541" i="3"/>
  <c r="AY473" i="3"/>
  <c r="AY564" i="3"/>
  <c r="AY532" i="3"/>
  <c r="AY539" i="3"/>
  <c r="AY554" i="3"/>
  <c r="AY509" i="3"/>
  <c r="AY571" i="3"/>
  <c r="AY487" i="3"/>
  <c r="AY373" i="3"/>
  <c r="AY243" i="3"/>
  <c r="AY130" i="3"/>
  <c r="AY313" i="3"/>
  <c r="AY93" i="3"/>
  <c r="AY512" i="3"/>
  <c r="AY289" i="3"/>
  <c r="AY56" i="3"/>
  <c r="AY434" i="3"/>
  <c r="AY410" i="3"/>
  <c r="AY418" i="3"/>
  <c r="AY387" i="3"/>
  <c r="AY478" i="3"/>
  <c r="AY192" i="3"/>
  <c r="AY557" i="3"/>
  <c r="AY113" i="3"/>
  <c r="AY534" i="3"/>
  <c r="AY436" i="3"/>
  <c r="AY538" i="3"/>
  <c r="AY276" i="3"/>
  <c r="AY567" i="3"/>
  <c r="BD6" i="3"/>
  <c r="AY516" i="3"/>
  <c r="AY236" i="3"/>
  <c r="AY528" i="3"/>
  <c r="AY308" i="3"/>
  <c r="AY157" i="3"/>
  <c r="AY143" i="3"/>
  <c r="AY188" i="3"/>
  <c r="AY555" i="3"/>
  <c r="AY420" i="3"/>
  <c r="AY184" i="3"/>
  <c r="AY225" i="3"/>
  <c r="AY453" i="3"/>
  <c r="AY249" i="3"/>
  <c r="AY520" i="3"/>
  <c r="AY206" i="3"/>
  <c r="AY131" i="3"/>
  <c r="AY271" i="3"/>
  <c r="AY472" i="3"/>
  <c r="AY26" i="3"/>
  <c r="AY110" i="3"/>
  <c r="AY502" i="3"/>
  <c r="AY213" i="3"/>
  <c r="AY327" i="3"/>
  <c r="AY404" i="3"/>
  <c r="AY285" i="3"/>
  <c r="AY497" i="3"/>
  <c r="BR6" i="3"/>
  <c r="AY220" i="3"/>
  <c r="AY355" i="3"/>
  <c r="AY15" i="3"/>
  <c r="AY492" i="3"/>
  <c r="AY385" i="3"/>
  <c r="AY163" i="3"/>
  <c r="AY287" i="3"/>
  <c r="AY417" i="3"/>
  <c r="AY242" i="3"/>
  <c r="AY546" i="3"/>
  <c r="AY489" i="3"/>
  <c r="AY152" i="3"/>
  <c r="AY458" i="3"/>
  <c r="AY107" i="3"/>
  <c r="AY500" i="3"/>
  <c r="AY239" i="3"/>
  <c r="AY431" i="3"/>
  <c r="AY24" i="3"/>
  <c r="AY86" i="3"/>
  <c r="AY493" i="3"/>
  <c r="BH6" i="3"/>
  <c r="AY544" i="3"/>
  <c r="AY465" i="3"/>
  <c r="AY437" i="3"/>
  <c r="AY229" i="3"/>
  <c r="AY369" i="3"/>
  <c r="AY85" i="3"/>
  <c r="AY224" i="3"/>
  <c r="AY111" i="3"/>
  <c r="AY335" i="3"/>
  <c r="AY200" i="3"/>
  <c r="AY311" i="3"/>
  <c r="AY28" i="3"/>
  <c r="AY104" i="3"/>
  <c r="AY16" i="3"/>
  <c r="AY279" i="3"/>
  <c r="AY194" i="3"/>
  <c r="AY342" i="3"/>
  <c r="AY295" i="3"/>
  <c r="AY81" i="3"/>
  <c r="AY464" i="3"/>
  <c r="AY256" i="3"/>
  <c r="AY168" i="3"/>
  <c r="AY548" i="3"/>
  <c r="AY315" i="3"/>
  <c r="AY366" i="3"/>
  <c r="AY258" i="3"/>
  <c r="AY116" i="3"/>
  <c r="AY39" i="3"/>
  <c r="AY329" i="3"/>
  <c r="AY233" i="3"/>
  <c r="AY96" i="3"/>
  <c r="AY290" i="3"/>
  <c r="AY77" i="3"/>
  <c r="AY97" i="3"/>
  <c r="AY398" i="3"/>
  <c r="AY364" i="3"/>
  <c r="AY286" i="3"/>
  <c r="AY139" i="3"/>
  <c r="AY202" i="3"/>
  <c r="AY479" i="3"/>
  <c r="AY432" i="3"/>
  <c r="AY216" i="3"/>
  <c r="AY150" i="3"/>
  <c r="AY95" i="3"/>
  <c r="AY203" i="3"/>
  <c r="AY37" i="3"/>
  <c r="S16" i="1"/>
  <c r="T6" i="1" s="1"/>
  <c r="D25" i="59"/>
  <c r="T25" i="59"/>
  <c r="B40" i="1"/>
  <c r="F21" i="43" s="1"/>
  <c r="C23" i="43" s="1"/>
  <c r="D21" i="43" s="1"/>
  <c r="S12" i="40"/>
  <c r="U12" i="40"/>
  <c r="W12" i="39"/>
  <c r="F17" i="11"/>
  <c r="C17" i="11" s="1"/>
  <c r="P17" i="46"/>
  <c r="N17" i="46"/>
  <c r="O17" i="46"/>
  <c r="M17" i="46"/>
  <c r="M19" i="6"/>
  <c r="I19" i="6" s="1"/>
  <c r="H19" i="6" s="1"/>
  <c r="C5" i="59"/>
  <c r="D6" i="59"/>
  <c r="F18" i="11"/>
  <c r="C18" i="11" s="1"/>
  <c r="F24" i="43"/>
  <c r="C26" i="43" s="1"/>
  <c r="D24" i="43" s="1"/>
  <c r="F33" i="12"/>
  <c r="C34" i="12" s="1"/>
  <c r="D33" i="12" s="1"/>
  <c r="O8" i="1"/>
  <c r="P8" i="1" s="1"/>
  <c r="M11" i="15"/>
  <c r="J10" i="15" s="1"/>
  <c r="J5" i="15" s="1"/>
  <c r="M13" i="44"/>
  <c r="J12" i="44" s="1"/>
  <c r="J7" i="44" s="1"/>
  <c r="F13" i="44"/>
  <c r="C12" i="44" s="1"/>
  <c r="C7" i="44" s="1"/>
  <c r="F11" i="15"/>
  <c r="H7" i="34"/>
  <c r="U7" i="34" s="1"/>
  <c r="F7" i="34"/>
  <c r="S7" i="34" s="1"/>
  <c r="T11" i="1"/>
  <c r="T7" i="1"/>
  <c r="T12" i="1"/>
  <c r="H70" i="39"/>
  <c r="G72" i="39"/>
  <c r="F67" i="40"/>
  <c r="G65" i="40"/>
  <c r="F68" i="15"/>
  <c r="M27" i="6"/>
  <c r="P14" i="1"/>
  <c r="P16" i="1" s="1"/>
  <c r="C13" i="12" s="1"/>
  <c r="C13" i="43"/>
  <c r="L16" i="1"/>
  <c r="C7" i="66"/>
  <c r="C8" i="66"/>
  <c r="D19" i="12"/>
  <c r="C19" i="12" s="1"/>
  <c r="C16" i="12"/>
  <c r="D13" i="11"/>
  <c r="C13" i="11" s="1"/>
  <c r="D22" i="12"/>
  <c r="C22" i="12" s="1"/>
  <c r="C20" i="12" s="1"/>
  <c r="E63" i="40"/>
  <c r="C22" i="4"/>
  <c r="D19" i="6"/>
  <c r="D21" i="6"/>
  <c r="D25" i="6"/>
  <c r="D10" i="6"/>
  <c r="D13" i="6"/>
  <c r="H21" i="6"/>
  <c r="H24" i="6"/>
  <c r="D6" i="6"/>
  <c r="D23" i="6"/>
  <c r="D14" i="6"/>
  <c r="D28" i="6"/>
  <c r="D20" i="6"/>
  <c r="D8" i="6"/>
  <c r="H23" i="6"/>
  <c r="F45" i="9"/>
  <c r="E68" i="39"/>
  <c r="K38" i="9"/>
  <c r="C14" i="66" s="1"/>
  <c r="B2" i="66" s="1"/>
  <c r="D24" i="6"/>
  <c r="R24" i="6" s="1"/>
  <c r="D26" i="6"/>
  <c r="D22" i="6"/>
  <c r="D11" i="6"/>
  <c r="D12" i="6"/>
  <c r="H20" i="6"/>
  <c r="H25" i="6"/>
  <c r="D9" i="6"/>
  <c r="D5" i="6"/>
  <c r="D29" i="6"/>
  <c r="H22" i="6"/>
  <c r="D15" i="6"/>
  <c r="H26" i="6"/>
  <c r="E45" i="9"/>
  <c r="E46" i="9"/>
  <c r="F46" i="9"/>
  <c r="AB7" i="34"/>
  <c r="T49" i="34" s="1"/>
  <c r="G49" i="34" s="1"/>
  <c r="E46" i="37"/>
  <c r="F46" i="37" s="1"/>
  <c r="E47" i="37"/>
  <c r="F47" i="37" s="1"/>
  <c r="C37" i="36"/>
  <c r="B3" i="36" s="1"/>
  <c r="B2" i="36" s="1"/>
  <c r="C36" i="36"/>
  <c r="R49" i="33"/>
  <c r="E48" i="33"/>
  <c r="I46" i="37"/>
  <c r="J46" i="37" s="1"/>
  <c r="I47" i="37"/>
  <c r="J47" i="37" s="1"/>
  <c r="AA7" i="34"/>
  <c r="R49" i="34" s="1"/>
  <c r="H48" i="35"/>
  <c r="I48" i="35" s="1"/>
  <c r="J48" i="35" s="1"/>
  <c r="K48" i="35" s="1"/>
  <c r="L48" i="35" s="1"/>
  <c r="M48" i="35" s="1"/>
  <c r="N48" i="35" s="1"/>
  <c r="O48" i="35" s="1"/>
  <c r="C43" i="37"/>
  <c r="B3" i="37" s="1"/>
  <c r="B2" i="37" s="1"/>
  <c r="C42" i="37"/>
  <c r="E40" i="36"/>
  <c r="F40" i="36" s="1"/>
  <c r="E41" i="36"/>
  <c r="F41" i="36" s="1"/>
  <c r="G47" i="37"/>
  <c r="H47" i="37" s="1"/>
  <c r="J7" i="34"/>
  <c r="T9" i="1" l="1"/>
  <c r="T13" i="1"/>
  <c r="T8" i="1"/>
  <c r="H7" i="35"/>
  <c r="AB7" i="35" s="1"/>
  <c r="T38" i="35" s="1"/>
  <c r="G38" i="35" s="1"/>
  <c r="T10" i="1"/>
  <c r="F24" i="15"/>
  <c r="C24" i="15" s="1"/>
  <c r="F26" i="44"/>
  <c r="C26" i="44" s="1"/>
  <c r="F26" i="12"/>
  <c r="C27" i="12" s="1"/>
  <c r="D26" i="12" s="1"/>
  <c r="C32" i="12" s="1"/>
  <c r="D30" i="12" s="1"/>
  <c r="C34" i="44"/>
  <c r="C40" i="44"/>
  <c r="J26" i="15"/>
  <c r="J29" i="15" s="1"/>
  <c r="J18" i="15"/>
  <c r="J24" i="15"/>
  <c r="D5" i="59"/>
  <c r="M20" i="46"/>
  <c r="C19" i="46" s="1"/>
  <c r="C52" i="15"/>
  <c r="C47" i="15" s="1"/>
  <c r="C10" i="15"/>
  <c r="C5" i="15" s="1"/>
  <c r="J28" i="44"/>
  <c r="J31" i="44" s="1"/>
  <c r="J20" i="44"/>
  <c r="J26" i="44"/>
  <c r="O16" i="1"/>
  <c r="C19" i="11"/>
  <c r="C20" i="11" s="1"/>
  <c r="C21" i="11" s="1"/>
  <c r="C22" i="11" s="1"/>
  <c r="C23" i="11" s="1"/>
  <c r="B2" i="11" s="1"/>
  <c r="J7" i="35"/>
  <c r="W7" i="35" s="1"/>
  <c r="G67" i="40"/>
  <c r="H65" i="40"/>
  <c r="F7" i="35"/>
  <c r="AA7" i="35" s="1"/>
  <c r="R38" i="35" s="1"/>
  <c r="H72" i="39"/>
  <c r="I70" i="39"/>
  <c r="H27" i="6"/>
  <c r="D16" i="6"/>
  <c r="D30" i="6"/>
  <c r="R23" i="6"/>
  <c r="S19" i="6"/>
  <c r="S27" i="6" s="1"/>
  <c r="I27" i="6"/>
  <c r="C14" i="43"/>
  <c r="C17" i="43"/>
  <c r="C14" i="12"/>
  <c r="C17" i="12"/>
  <c r="R22" i="6"/>
  <c r="R26" i="6"/>
  <c r="D7" i="66"/>
  <c r="D8" i="66"/>
  <c r="R20" i="6"/>
  <c r="R7" i="1" s="1"/>
  <c r="R21" i="6"/>
  <c r="R8" i="1" s="1"/>
  <c r="A20" i="64"/>
  <c r="A20" i="51"/>
  <c r="B15" i="63" s="1"/>
  <c r="N5" i="54"/>
  <c r="B43" i="63" s="1"/>
  <c r="A6" i="51"/>
  <c r="B7" i="63" s="1"/>
  <c r="A6" i="64"/>
  <c r="R25" i="6"/>
  <c r="R19" i="6"/>
  <c r="D27" i="6"/>
  <c r="C48" i="33"/>
  <c r="C49" i="33"/>
  <c r="B3" i="33" s="1"/>
  <c r="B2" i="33" s="1"/>
  <c r="W7" i="34"/>
  <c r="AC7" i="34"/>
  <c r="V49" i="34" s="1"/>
  <c r="I49" i="34" s="1"/>
  <c r="G54" i="34" s="1"/>
  <c r="H54" i="34" s="1"/>
  <c r="U7" i="35"/>
  <c r="AC7" i="35"/>
  <c r="V38" i="35" s="1"/>
  <c r="I38" i="35" s="1"/>
  <c r="R50" i="34"/>
  <c r="E49" i="34"/>
  <c r="E52" i="33"/>
  <c r="F52" i="33" s="1"/>
  <c r="E53" i="33"/>
  <c r="F53" i="33" s="1"/>
  <c r="I53" i="33"/>
  <c r="J53" i="33" s="1"/>
  <c r="G53" i="34"/>
  <c r="H53" i="34" s="1"/>
  <c r="C16" i="44"/>
  <c r="C14" i="15"/>
  <c r="F35" i="15"/>
  <c r="M21" i="15"/>
  <c r="L52" i="44"/>
  <c r="T16" i="1" l="1"/>
  <c r="C15" i="15"/>
  <c r="C18" i="15"/>
  <c r="C20" i="44"/>
  <c r="C17" i="44"/>
  <c r="Q69" i="44"/>
  <c r="L58" i="44"/>
  <c r="L61" i="44" s="1"/>
  <c r="C32" i="15"/>
  <c r="C38" i="15"/>
  <c r="C37" i="46"/>
  <c r="C38" i="46"/>
  <c r="C33" i="46"/>
  <c r="C39" i="46"/>
  <c r="C34" i="46"/>
  <c r="C35" i="46"/>
  <c r="C36" i="46"/>
  <c r="T15" i="46"/>
  <c r="V15" i="46" s="1"/>
  <c r="T10" i="46"/>
  <c r="V10" i="46" s="1"/>
  <c r="T6" i="46"/>
  <c r="V6" i="46" s="1"/>
  <c r="T13" i="46"/>
  <c r="V13" i="46" s="1"/>
  <c r="T2" i="46"/>
  <c r="V2" i="46" s="1"/>
  <c r="T7" i="46"/>
  <c r="V7" i="46" s="1"/>
  <c r="C29" i="46"/>
  <c r="T14" i="46"/>
  <c r="V14" i="46" s="1"/>
  <c r="T11" i="46"/>
  <c r="V11" i="46" s="1"/>
  <c r="T8" i="46"/>
  <c r="V8" i="46" s="1"/>
  <c r="T16" i="46"/>
  <c r="V16" i="46" s="1"/>
  <c r="T9" i="46"/>
  <c r="V9" i="46" s="1"/>
  <c r="T5" i="46"/>
  <c r="V5" i="46" s="1"/>
  <c r="T12" i="46"/>
  <c r="V12" i="46" s="1"/>
  <c r="T4" i="46"/>
  <c r="V4" i="46" s="1"/>
  <c r="T3" i="46"/>
  <c r="V3" i="46" s="1"/>
  <c r="B5" i="11"/>
  <c r="B4" i="11"/>
  <c r="B3" i="11"/>
  <c r="Q49" i="44"/>
  <c r="Q55" i="44" s="1"/>
  <c r="Q58" i="44"/>
  <c r="Q67" i="44"/>
  <c r="C65" i="15"/>
  <c r="C59" i="15"/>
  <c r="S7" i="35"/>
  <c r="H67" i="40"/>
  <c r="I65" i="40"/>
  <c r="I72" i="39"/>
  <c r="J70" i="39"/>
  <c r="J20" i="15"/>
  <c r="F62" i="15"/>
  <c r="C61" i="15" s="1"/>
  <c r="C34" i="15"/>
  <c r="R27" i="6"/>
  <c r="R6" i="1"/>
  <c r="R16" i="1" s="1"/>
  <c r="D31" i="6"/>
  <c r="I6" i="6" s="1"/>
  <c r="C18" i="12"/>
  <c r="C23" i="12" s="1"/>
  <c r="C18" i="43"/>
  <c r="C19" i="43" s="1"/>
  <c r="C25" i="43" s="1"/>
  <c r="C24" i="43" s="1"/>
  <c r="C50" i="34"/>
  <c r="B3" i="34" s="1"/>
  <c r="B2" i="34" s="1"/>
  <c r="C49" i="34"/>
  <c r="R39" i="35"/>
  <c r="E38" i="35"/>
  <c r="I43" i="35" s="1"/>
  <c r="J43" i="35" s="1"/>
  <c r="G42" i="35"/>
  <c r="H42" i="35" s="1"/>
  <c r="G43" i="35"/>
  <c r="H43" i="35" s="1"/>
  <c r="E54" i="34"/>
  <c r="F54" i="34" s="1"/>
  <c r="E53" i="34"/>
  <c r="F53" i="34" s="1"/>
  <c r="I42" i="35"/>
  <c r="J42" i="35" s="1"/>
  <c r="I54" i="34"/>
  <c r="J54" i="34" s="1"/>
  <c r="I53" i="34"/>
  <c r="J53" i="34" s="1"/>
  <c r="C21" i="44" l="1"/>
  <c r="C22" i="44" s="1"/>
  <c r="C25" i="44" s="1"/>
  <c r="C19" i="15"/>
  <c r="C20" i="15" s="1"/>
  <c r="C26" i="15" s="1"/>
  <c r="C30" i="46"/>
  <c r="E30" i="46" s="1"/>
  <c r="E29" i="46"/>
  <c r="E35" i="46"/>
  <c r="G35" i="46"/>
  <c r="I35" i="46" s="1"/>
  <c r="G39" i="46"/>
  <c r="I39" i="46" s="1"/>
  <c r="E39" i="46"/>
  <c r="E38" i="46"/>
  <c r="G38" i="46"/>
  <c r="I38" i="46" s="1"/>
  <c r="Q59" i="44"/>
  <c r="Q64" i="44" s="1"/>
  <c r="Q68" i="44"/>
  <c r="Q77" i="44" s="1"/>
  <c r="G36" i="46"/>
  <c r="I36" i="46" s="1"/>
  <c r="E36" i="46"/>
  <c r="E34" i="46"/>
  <c r="G34" i="46"/>
  <c r="I34" i="46" s="1"/>
  <c r="G33" i="46"/>
  <c r="I33" i="46" s="1"/>
  <c r="E33" i="46"/>
  <c r="G37" i="46"/>
  <c r="I37" i="46" s="1"/>
  <c r="E37" i="46"/>
  <c r="K70" i="39"/>
  <c r="J72" i="39"/>
  <c r="J65" i="40"/>
  <c r="I67" i="40"/>
  <c r="H13" i="39"/>
  <c r="J13" i="39"/>
  <c r="F13" i="39"/>
  <c r="J59" i="15"/>
  <c r="J60" i="15" s="1"/>
  <c r="C33" i="15"/>
  <c r="C31" i="15" s="1"/>
  <c r="I5" i="6"/>
  <c r="C22" i="43"/>
  <c r="C21" i="43" s="1"/>
  <c r="C28" i="43" s="1"/>
  <c r="C30" i="43" s="1"/>
  <c r="C32" i="43" s="1"/>
  <c r="B2" i="43" s="1"/>
  <c r="E43" i="35"/>
  <c r="F43" i="35" s="1"/>
  <c r="E42" i="35"/>
  <c r="F42" i="35" s="1"/>
  <c r="C38" i="35"/>
  <c r="C39" i="35"/>
  <c r="B3" i="35" s="1"/>
  <c r="B2" i="35" s="1"/>
  <c r="F7" i="67"/>
  <c r="C28" i="44" l="1"/>
  <c r="C31" i="44" s="1"/>
  <c r="Q51" i="44" s="1"/>
  <c r="C23" i="15"/>
  <c r="C29" i="15" s="1"/>
  <c r="C56" i="15" s="1"/>
  <c r="C63" i="15" s="1"/>
  <c r="E4" i="67"/>
  <c r="C26" i="46"/>
  <c r="C27" i="46"/>
  <c r="K65" i="40"/>
  <c r="J67" i="40"/>
  <c r="L70" i="39"/>
  <c r="K72" i="39"/>
  <c r="AC13" i="39"/>
  <c r="W13" i="39"/>
  <c r="S13" i="39"/>
  <c r="AA13" i="39"/>
  <c r="AB13" i="39"/>
  <c r="U13" i="39"/>
  <c r="C60" i="15"/>
  <c r="C58" i="15" s="1"/>
  <c r="Q49" i="15"/>
  <c r="B4" i="43"/>
  <c r="B5" i="43"/>
  <c r="B3" i="43"/>
  <c r="E7" i="67"/>
  <c r="J16" i="44" l="1"/>
  <c r="J24" i="44" s="1"/>
  <c r="J21" i="44"/>
  <c r="J19" i="44" s="1"/>
  <c r="C35" i="44"/>
  <c r="C33" i="44" s="1"/>
  <c r="C38" i="44"/>
  <c r="C15" i="44"/>
  <c r="Q72" i="44" s="1"/>
  <c r="J14" i="15"/>
  <c r="C36" i="15"/>
  <c r="Q50" i="15"/>
  <c r="C13" i="15"/>
  <c r="J19" i="15"/>
  <c r="J17" i="15" s="1"/>
  <c r="E3" i="67"/>
  <c r="B2" i="46"/>
  <c r="J15" i="44"/>
  <c r="J25" i="44" s="1"/>
  <c r="L72" i="39"/>
  <c r="M70" i="39"/>
  <c r="L65" i="40"/>
  <c r="K67" i="40"/>
  <c r="L57" i="15"/>
  <c r="L60" i="15" s="1"/>
  <c r="L46" i="15" s="1"/>
  <c r="B7" i="67"/>
  <c r="J18" i="44" l="1"/>
  <c r="J27" i="44" s="1"/>
  <c r="C39" i="44"/>
  <c r="C32" i="44" s="1"/>
  <c r="C42" i="44" s="1"/>
  <c r="Q71" i="44" s="1"/>
  <c r="Q70" i="44" s="1"/>
  <c r="C43" i="44"/>
  <c r="C37" i="15"/>
  <c r="C30" i="15" s="1"/>
  <c r="C39" i="15" s="1"/>
  <c r="Q71" i="15"/>
  <c r="J35" i="15"/>
  <c r="C55" i="15"/>
  <c r="C64" i="15" s="1"/>
  <c r="C57" i="15" s="1"/>
  <c r="C66" i="15" s="1"/>
  <c r="C67" i="15" s="1"/>
  <c r="C70" i="15" s="1"/>
  <c r="J22" i="15"/>
  <c r="J13" i="15"/>
  <c r="J23" i="15" s="1"/>
  <c r="B2" i="67"/>
  <c r="B4" i="46"/>
  <c r="D4" i="46"/>
  <c r="B3" i="46"/>
  <c r="M72" i="39"/>
  <c r="N70" i="39"/>
  <c r="N72" i="39" s="1"/>
  <c r="L67" i="40"/>
  <c r="M65" i="40"/>
  <c r="Q67" i="15"/>
  <c r="Q58" i="15"/>
  <c r="L51" i="15"/>
  <c r="C44" i="44" l="1"/>
  <c r="C45" i="44" s="1"/>
  <c r="B2" i="44" s="1"/>
  <c r="B5" i="44" s="1"/>
  <c r="J16" i="15"/>
  <c r="J25" i="15" s="1"/>
  <c r="J39" i="15"/>
  <c r="J40" i="15" s="1"/>
  <c r="Q68" i="15"/>
  <c r="C40" i="15"/>
  <c r="Q70" i="15"/>
  <c r="Q69" i="15" s="1"/>
  <c r="B3" i="67"/>
  <c r="B4" i="67"/>
  <c r="F9" i="39"/>
  <c r="H9" i="39"/>
  <c r="J9" i="39"/>
  <c r="N65" i="40"/>
  <c r="N67" i="40" s="1"/>
  <c r="M67" i="40"/>
  <c r="J9" i="40" s="1"/>
  <c r="B3" i="44" l="1"/>
  <c r="B4" i="44"/>
  <c r="Q66" i="15"/>
  <c r="Q76" i="15" s="1"/>
  <c r="Q57" i="15"/>
  <c r="Q63" i="15" s="1"/>
  <c r="C43" i="15"/>
  <c r="C44" i="15" s="1"/>
  <c r="B2" i="15"/>
  <c r="Q48" i="15"/>
  <c r="Q54" i="15" s="1"/>
  <c r="C46" i="15"/>
  <c r="J42" i="15"/>
  <c r="J43" i="15" s="1"/>
  <c r="AC9" i="40"/>
  <c r="V44" i="40" s="1"/>
  <c r="I44" i="40" s="1"/>
  <c r="I48" i="40" s="1"/>
  <c r="J48" i="40" s="1"/>
  <c r="W9" i="40"/>
  <c r="AC9" i="39"/>
  <c r="V49" i="39" s="1"/>
  <c r="I49" i="39" s="1"/>
  <c r="W9" i="39"/>
  <c r="S9" i="39"/>
  <c r="AA9" i="39"/>
  <c r="R49" i="39" s="1"/>
  <c r="F9" i="40"/>
  <c r="AB9" i="39"/>
  <c r="T49" i="39" s="1"/>
  <c r="G49" i="39" s="1"/>
  <c r="U9" i="39"/>
  <c r="H9" i="40"/>
  <c r="E10" i="12" l="1"/>
  <c r="C6" i="12" s="1"/>
  <c r="B3" i="15"/>
  <c r="E8" i="12" s="1"/>
  <c r="U9" i="40"/>
  <c r="AB9" i="40"/>
  <c r="T44" i="40" s="1"/>
  <c r="G44" i="40" s="1"/>
  <c r="G53" i="39"/>
  <c r="H53" i="39" s="1"/>
  <c r="G54" i="39"/>
  <c r="H54" i="39" s="1"/>
  <c r="R50" i="39"/>
  <c r="E49" i="39"/>
  <c r="S9" i="40"/>
  <c r="AA9" i="40"/>
  <c r="R44" i="40" s="1"/>
  <c r="I53" i="39"/>
  <c r="J53" i="39" s="1"/>
  <c r="I54" i="39"/>
  <c r="J54" i="39" s="1"/>
  <c r="C24" i="12" l="1"/>
  <c r="C29" i="12"/>
  <c r="C49" i="39"/>
  <c r="C50" i="39"/>
  <c r="E44" i="40"/>
  <c r="R45" i="40"/>
  <c r="E53" i="39"/>
  <c r="F53" i="39" s="1"/>
  <c r="E54" i="39"/>
  <c r="F54" i="39" s="1"/>
  <c r="G48" i="40"/>
  <c r="H48" i="40" s="1"/>
  <c r="G49" i="40"/>
  <c r="H49" i="40" s="1"/>
  <c r="C28" i="12" l="1"/>
  <c r="C26" i="12" s="1"/>
  <c r="C31" i="12" s="1"/>
  <c r="C30" i="12" s="1"/>
  <c r="C35" i="12"/>
  <c r="C33" i="12" s="1"/>
  <c r="C44" i="40"/>
  <c r="C45" i="40"/>
  <c r="B61" i="39"/>
  <c r="F61" i="39" s="1"/>
  <c r="B59" i="39"/>
  <c r="F59" i="39" s="1"/>
  <c r="B67" i="39"/>
  <c r="F67" i="39" s="1"/>
  <c r="B66" i="39"/>
  <c r="F66" i="39" s="1"/>
  <c r="B58" i="39"/>
  <c r="F58" i="39" s="1"/>
  <c r="B62" i="39"/>
  <c r="F62" i="39" s="1"/>
  <c r="B64" i="39"/>
  <c r="F64" i="39" s="1"/>
  <c r="B65" i="39"/>
  <c r="F65" i="39" s="1"/>
  <c r="B60" i="39"/>
  <c r="F60" i="39" s="1"/>
  <c r="B63" i="39"/>
  <c r="F63" i="39" s="1"/>
  <c r="I49" i="40"/>
  <c r="J49" i="40" s="1"/>
  <c r="E48" i="40"/>
  <c r="F48" i="40" s="1"/>
  <c r="E49" i="40"/>
  <c r="F49" i="40" s="1"/>
  <c r="C36" i="12" l="1"/>
  <c r="B2" i="12" s="1"/>
  <c r="B54" i="40"/>
  <c r="F54" i="40" s="1"/>
  <c r="B55" i="40"/>
  <c r="F55" i="40" s="1"/>
  <c r="B62" i="40"/>
  <c r="F62" i="40" s="1"/>
  <c r="B53" i="40"/>
  <c r="F53" i="40" s="1"/>
  <c r="B57" i="40"/>
  <c r="F57" i="40" s="1"/>
  <c r="F63" i="40"/>
  <c r="B2" i="40" s="1"/>
  <c r="B56" i="40"/>
  <c r="F56" i="40" s="1"/>
  <c r="B60" i="40"/>
  <c r="F60" i="40" s="1"/>
  <c r="B61" i="40"/>
  <c r="F61" i="40" s="1"/>
  <c r="B58" i="40"/>
  <c r="F58" i="40" s="1"/>
  <c r="B59" i="40"/>
  <c r="F59" i="40" s="1"/>
  <c r="F68" i="39"/>
  <c r="B2" i="39" s="1"/>
  <c r="D19" i="9"/>
  <c r="C19" i="9"/>
  <c r="L43" i="9" l="1"/>
  <c r="B3" i="12"/>
  <c r="B5" i="12"/>
  <c r="B4" i="12"/>
  <c r="L44" i="9"/>
  <c r="G19" i="9"/>
  <c r="D22" i="9"/>
  <c r="B3" i="39"/>
  <c r="B4" i="39"/>
  <c r="B5" i="39"/>
  <c r="B5" i="40"/>
  <c r="B3" i="40"/>
  <c r="B4" i="40"/>
  <c r="C21" i="9"/>
  <c r="C20" i="9"/>
  <c r="D21" i="9"/>
  <c r="D20" i="9"/>
  <c r="G20" i="9" l="1"/>
  <c r="G21" i="9"/>
  <c r="C32" i="9"/>
  <c r="N43" i="9"/>
  <c r="G22" i="9"/>
  <c r="O38" i="9" l="1"/>
  <c r="C34" i="9"/>
  <c r="C33" i="9"/>
  <c r="C35" i="9"/>
  <c r="F42" i="9" s="1"/>
  <c r="C42" i="9"/>
  <c r="O43" i="9"/>
  <c r="M38" i="9" l="1"/>
  <c r="K27" i="9" s="1"/>
  <c r="E42" i="9"/>
  <c r="P5" i="54" s="1"/>
  <c r="B46" i="63" s="1"/>
  <c r="C44" i="9"/>
  <c r="R5" i="54"/>
  <c r="B48" i="63" s="1"/>
  <c r="N68" i="9"/>
  <c r="D63" i="9"/>
  <c r="D14" i="66"/>
  <c r="D42" i="9"/>
  <c r="Q5" i="54" s="1"/>
  <c r="B47" i="63" s="1"/>
  <c r="N38" i="9"/>
  <c r="K28" i="9" s="1"/>
  <c r="K25" i="9"/>
  <c r="K26" i="9"/>
  <c r="E14" i="66" l="1"/>
  <c r="F14" i="66"/>
  <c r="C90" i="9"/>
  <c r="C82" i="9"/>
  <c r="C81" i="9" s="1"/>
  <c r="C85" i="9" s="1"/>
  <c r="C86" i="9" s="1"/>
  <c r="D72" i="9" s="1"/>
  <c r="D70" i="9"/>
  <c r="C111" i="9"/>
  <c r="C104" i="9" s="1"/>
  <c r="D71" i="9"/>
  <c r="D66" i="9" s="1"/>
  <c r="N72" i="9" s="1"/>
  <c r="C96" i="9"/>
  <c r="C91" i="9" s="1"/>
  <c r="C103" i="9"/>
  <c r="D77" i="9"/>
  <c r="N75" i="9" s="1"/>
  <c r="N69" i="9"/>
  <c r="D44" i="9"/>
  <c r="O39" i="9"/>
  <c r="F44" i="9"/>
  <c r="E44" i="9"/>
  <c r="G14" i="66"/>
  <c r="R6" i="54" l="1"/>
  <c r="B50" i="63" s="1"/>
  <c r="K29" i="9"/>
  <c r="K30" i="9" s="1"/>
  <c r="M88" i="9"/>
  <c r="N88" i="9" s="1"/>
  <c r="M83" i="9"/>
  <c r="N83" i="9" s="1"/>
  <c r="M85" i="9"/>
  <c r="N85" i="9" s="1"/>
  <c r="M84" i="9"/>
  <c r="N84" i="9" s="1"/>
  <c r="M86" i="9"/>
  <c r="N86" i="9" s="1"/>
  <c r="M87" i="9"/>
  <c r="N87" i="9" s="1"/>
  <c r="C113" i="9"/>
  <c r="C97" i="9"/>
  <c r="C98" i="9" s="1"/>
  <c r="E98" i="9" s="1"/>
  <c r="E99" i="9" s="1"/>
  <c r="N89" i="9" l="1"/>
  <c r="O89" i="9" s="1"/>
  <c r="C99" i="9"/>
  <c r="C114" i="9"/>
  <c r="E114" i="9" s="1"/>
  <c r="E115" i="9" s="1"/>
  <c r="C115" i="9" l="1"/>
  <c r="D76" i="9" s="1"/>
  <c r="D74" i="9" s="1"/>
  <c r="N74" i="9" s="1"/>
  <c r="O77" i="9" s="1"/>
  <c r="Q77" i="9" l="1"/>
  <c r="O79" i="9"/>
  <c r="O78" i="9"/>
  <c r="O81" i="9" l="1"/>
  <c r="O80" i="9"/>
  <c r="D16" i="66" l="1"/>
  <c r="E16" i="66" l="1"/>
  <c r="F16" i="66"/>
  <c r="B5" i="66"/>
  <c r="G16" i="66"/>
  <c r="B6" i="66" s="1"/>
  <c r="C6" i="66" l="1"/>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<sst xmlns="http://schemas.openxmlformats.org/spreadsheetml/2006/main" count="7145" uniqueCount="3171">
  <si>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</si>
  <si>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</si>
  <si>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</si>
  <si>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</si>
  <si>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</si>
  <si>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</si>
  <si>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</si>
  <si>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</si>
  <si>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</si>
  <si>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</si>
  <si>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</si>
  <si>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</si>
  <si>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</si>
  <si>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</si>
  <si>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</si>
  <si>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</si>
  <si>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</si>
  <si>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</si>
  <si>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</si>
  <si>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</si>
  <si>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</si>
  <si>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</si>
  <si>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</si>
  <si>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</si>
  <si>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</si>
  <si>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</si>
  <si>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</si>
  <si>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</si>
  <si>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</si>
  <si>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</si>
  <si>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</si>
  <si>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</si>
  <si>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</si>
  <si>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</si>
  <si>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</si>
  <si>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</si>
  <si>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</si>
  <si>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</si>
  <si>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</si>
  <si>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</si>
  <si>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</si>
  <si>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</si>
  <si>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</si>
  <si>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</si>
  <si>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</si>
  <si>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</si>
  <si>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</si>
  <si>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</si>
  <si>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</si>
  <si>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</si>
  <si>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</si>
  <si>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</si>
  <si>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</si>
  <si>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</si>
  <si>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</si>
  <si>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</si>
  <si>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</si>
  <si>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</si>
  <si>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</si>
  <si>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</si>
  <si>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</si>
  <si>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</si>
  <si>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</si>
  <si>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</si>
  <si>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</si>
  <si>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</si>
  <si>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</si>
  <si>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</si>
  <si>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</si>
  <si>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</si>
  <si>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</si>
  <si>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</si>
  <si>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</si>
  <si>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</si>
  <si>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</si>
  <si>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</si>
  <si>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</si>
  <si>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</si>
  <si>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</si>
  <si>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</si>
  <si>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</si>
  <si>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</si>
  <si>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</si>
  <si>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</si>
  <si>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</si>
  <si>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</si>
  <si>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</si>
  <si>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</si>
  <si>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</si>
  <si>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</si>
  <si>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</si>
  <si>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</si>
  <si>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</si>
  <si>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</si>
  <si>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</si>
  <si>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</si>
  <si>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</si>
  <si>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</si>
  <si>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</si>
  <si>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</si>
  <si>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</si>
  <si>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</si>
  <si>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</si>
  <si>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</si>
  <si>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</si>
  <si>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</si>
  <si>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</si>
  <si>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</si>
  <si>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</si>
  <si>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</si>
  <si>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</si>
  <si>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</si>
  <si>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</si>
  <si>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</si>
  <si>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</si>
  <si>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</si>
  <si>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</si>
  <si>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</si>
  <si>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</si>
  <si>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</si>
  <si>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</si>
  <si>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</si>
  <si>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</si>
  <si>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</si>
  <si>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</si>
  <si>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</si>
  <si>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</si>
  <si>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</si>
  <si>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</si>
  <si>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</si>
  <si>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</si>
  <si>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</si>
  <si>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</si>
  <si>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</si>
  <si>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</si>
  <si>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</si>
  <si>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</si>
  <si>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</si>
  <si>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</si>
  <si>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</si>
  <si>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</si>
  <si>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</si>
  <si>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</si>
  <si>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</si>
  <si>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</si>
  <si>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</si>
  <si>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</si>
  <si>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</si>
  <si>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</si>
  <si>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</si>
  <si>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</si>
  <si>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</si>
  <si>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</si>
  <si>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</si>
  <si>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</si>
  <si>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</si>
  <si>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</si>
  <si>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</si>
  <si>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</si>
  <si>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</si>
  <si>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</si>
  <si>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</si>
  <si>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</si>
  <si>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</si>
  <si>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</si>
  <si>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</si>
  <si>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</si>
  <si>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</si>
  <si>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</si>
  <si>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</si>
  <si>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</si>
  <si>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</si>
  <si>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</si>
  <si>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</si>
  <si>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</si>
  <si>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</si>
  <si>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</si>
  <si>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</si>
  <si>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</si>
  <si>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</si>
  <si>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</si>
  <si>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</si>
  <si>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</si>
  <si>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</si>
  <si>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</si>
  <si>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</si>
  <si>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</si>
  <si>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</si>
  <si>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</si>
  <si>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</si>
  <si>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</si>
  <si>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</si>
  <si>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</si>
  <si>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</si>
  <si>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</si>
  <si>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</si>
  <si>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</si>
  <si>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</si>
  <si>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</si>
  <si>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</si>
  <si>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</si>
  <si>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</si>
  <si>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</si>
  <si>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</si>
  <si>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</si>
  <si>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</si>
  <si>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</si>
  <si>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</si>
  <si>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</si>
  <si>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</si>
  <si>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</si>
  <si>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</si>
  <si>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</si>
  <si>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</si>
  <si>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</si>
  <si>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</si>
  <si>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</si>
  <si>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</si>
  <si>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</si>
  <si>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</si>
  <si>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</si>
  <si>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</si>
  <si>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</si>
  <si>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</si>
  <si>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</si>
  <si>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</si>
  <si>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</si>
  <si>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</si>
  <si>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</si>
  <si>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</si>
  <si>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</si>
  <si>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</si>
  <si>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</si>
  <si>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</si>
  <si>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</si>
  <si>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</si>
  <si>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</si>
  <si>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</si>
  <si>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</si>
  <si>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</si>
  <si>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</si>
  <si>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</si>
  <si>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</si>
  <si>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</si>
  <si>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</si>
  <si>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</si>
  <si>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</si>
  <si>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</si>
  <si>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</si>
  <si>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</si>
  <si>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</si>
  <si>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</si>
  <si>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</si>
  <si>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</si>
  <si>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</si>
  <si>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</si>
  <si>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</si>
  <si>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</si>
  <si>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</si>
  <si>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</si>
  <si>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</si>
  <si>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</si>
  <si>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</si>
  <si>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</si>
  <si>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</si>
  <si>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</si>
  <si>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</si>
  <si>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</si>
  <si>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</si>
  <si>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</si>
  <si>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</si>
  <si>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</si>
  <si>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</si>
  <si>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</si>
  <si>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</si>
  <si>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</si>
  <si>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</si>
  <si>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</si>
  <si>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</si>
  <si>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</si>
  <si>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</si>
  <si>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</si>
  <si>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</si>
  <si>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</si>
  <si>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</si>
  <si>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</si>
  <si>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</si>
  <si>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</si>
  <si>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</si>
  <si>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</si>
  <si>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</si>
  <si>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</si>
  <si>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</si>
  <si>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</si>
  <si>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</si>
  <si>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</si>
  <si>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</si>
  <si>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</si>
  <si>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</si>
  <si>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</si>
  <si>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</si>
  <si>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</si>
  <si>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</si>
  <si>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</si>
  <si>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</si>
  <si>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</si>
  <si>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</si>
  <si>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</si>
  <si>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</si>
  <si>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</si>
  <si>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</si>
  <si>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</si>
  <si>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</si>
  <si>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</si>
  <si>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</si>
  <si>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</si>
  <si>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</si>
  <si>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</si>
  <si>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</si>
  <si>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</si>
  <si>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</si>
  <si>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</si>
  <si>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</si>
  <si>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</si>
  <si>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</si>
  <si>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</si>
  <si>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</si>
  <si>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</si>
  <si>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</si>
  <si>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</si>
  <si>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</si>
  <si>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</si>
  <si>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</si>
  <si>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</si>
  <si>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</si>
  <si>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</si>
  <si>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</si>
  <si>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</si>
  <si>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</si>
  <si>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</si>
  <si>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</si>
  <si>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</si>
  <si>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</si>
  <si>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</si>
  <si>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</si>
  <si>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</si>
  <si>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</si>
  <si>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</si>
  <si>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</si>
  <si>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</si>
  <si>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</si>
  <si>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</si>
  <si>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</si>
  <si>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</si>
  <si>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</si>
  <si>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</si>
  <si>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</si>
  <si>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</si>
  <si>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</si>
  <si>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</si>
  <si>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</si>
  <si>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</si>
  <si>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</si>
  <si>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</si>
  <si>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</si>
  <si>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</si>
  <si>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</si>
  <si>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</si>
  <si>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</si>
  <si>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</si>
  <si>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</si>
  <si>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</si>
  <si>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</si>
  <si>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</si>
  <si>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</si>
  <si>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</si>
  <si>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</si>
  <si>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</si>
  <si>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</si>
  <si>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</si>
  <si>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</si>
  <si>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</si>
  <si>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</si>
  <si>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</si>
  <si>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</si>
  <si>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</si>
  <si>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</si>
  <si>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</si>
  <si>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</si>
  <si>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</si>
  <si>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</si>
  <si>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</si>
  <si>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</si>
  <si>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</si>
  <si>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</si>
  <si>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</si>
  <si>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</si>
  <si>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</si>
  <si>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</si>
  <si>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</si>
  <si>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</si>
  <si>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</si>
  <si>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</si>
  <si>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</si>
  <si>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</si>
  <si>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</si>
  <si>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</si>
  <si>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</si>
  <si>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</si>
  <si>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</si>
  <si>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</si>
  <si>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</si>
  <si>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</si>
  <si>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</si>
  <si>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</si>
  <si>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</si>
  <si>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</si>
  <si>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</si>
  <si>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</si>
  <si>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</si>
  <si>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</si>
  <si>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</si>
  <si>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</si>
  <si>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</si>
  <si>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</si>
  <si>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</si>
  <si>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</si>
  <si>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</si>
  <si>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</si>
  <si>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</si>
  <si>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</si>
  <si>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</si>
  <si>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</si>
  <si>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</si>
  <si>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</si>
  <si>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</si>
  <si>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</si>
  <si>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</si>
  <si>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</si>
  <si>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</si>
  <si>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</si>
  <si>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</si>
  <si>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</si>
  <si>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</si>
  <si>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</si>
  <si>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</si>
  <si>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</si>
  <si>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</si>
  <si>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</si>
  <si>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</si>
  <si>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</si>
  <si>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</si>
  <si>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</si>
  <si>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</si>
  <si>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</si>
  <si>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</si>
  <si>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</si>
  <si>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</si>
  <si>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</si>
  <si>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</si>
  <si>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</si>
  <si>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</si>
  <si>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</si>
  <si>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</si>
  <si>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</si>
  <si>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</si>
  <si>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</si>
  <si>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</si>
  <si>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</si>
  <si>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</si>
  <si>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</si>
  <si>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</si>
  <si>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</si>
  <si>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</si>
  <si>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</si>
  <si>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</si>
  <si>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</si>
  <si>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</si>
  <si>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</si>
  <si>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</si>
  <si>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</si>
  <si>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</si>
  <si>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</si>
  <si>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</si>
  <si>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</si>
  <si>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</si>
  <si>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</si>
  <si>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</si>
  <si>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</si>
  <si>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</si>
  <si>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</si>
  <si>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</si>
  <si>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</si>
  <si>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</si>
  <si>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</si>
  <si>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</si>
  <si>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</si>
  <si>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</si>
  <si>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</si>
  <si>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</si>
  <si>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</si>
  <si>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</si>
  <si>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</si>
  <si>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</si>
  <si>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</si>
  <si>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</si>
  <si>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</si>
  <si>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</si>
  <si>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</si>
  <si>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</si>
  <si>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</si>
  <si>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</si>
  <si>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</si>
  <si>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</si>
  <si>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</si>
  <si>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</si>
  <si>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</si>
  <si>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</si>
  <si>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</si>
  <si>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</si>
  <si>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</si>
  <si>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</si>
  <si>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</si>
  <si>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</si>
  <si>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</si>
  <si>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</si>
  <si>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</si>
  <si>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</si>
  <si>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</si>
  <si>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</si>
  <si>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</si>
  <si>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</si>
  <si>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</si>
  <si>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</si>
  <si>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</si>
  <si>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</si>
  <si>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</si>
  <si>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</si>
  <si>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</si>
  <si>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</si>
  <si>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</si>
  <si>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</si>
  <si>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</si>
  <si>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</si>
  <si>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</si>
  <si>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</si>
  <si>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</si>
  <si>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</si>
  <si>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</si>
  <si>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</si>
  <si>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</si>
  <si>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</si>
  <si>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</si>
  <si>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</si>
  <si>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</si>
  <si>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</si>
  <si>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</si>
  <si>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</si>
  <si>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</si>
  <si>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</si>
  <si>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</si>
  <si>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</si>
  <si>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</si>
  <si>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</si>
  <si>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</si>
  <si>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</si>
  <si>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</si>
  <si>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</si>
  <si>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</si>
  <si>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</si>
  <si>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</si>
  <si>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</si>
  <si>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</si>
  <si>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</si>
  <si>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</si>
  <si>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</si>
  <si>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</si>
  <si>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</si>
  <si>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</si>
  <si>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</si>
  <si>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</si>
  <si>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</si>
  <si>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</si>
  <si>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</si>
  <si>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</si>
  <si>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</si>
  <si>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</si>
  <si>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</si>
  <si>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</si>
  <si>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</si>
  <si>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</si>
  <si>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</si>
  <si>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</si>
  <si>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</si>
  <si>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</si>
  <si>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</si>
  <si>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</si>
  <si>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</si>
  <si>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</si>
  <si>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</si>
  <si>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</si>
  <si>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</si>
  <si>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</si>
  <si>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</si>
  <si>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</si>
  <si>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</si>
  <si>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</si>
  <si>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</si>
  <si>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</si>
  <si>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</si>
  <si>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</si>
  <si>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</si>
  <si>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</si>
  <si>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</si>
  <si>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</si>
  <si>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</si>
  <si>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</si>
  <si>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</si>
  <si>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</si>
  <si>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</si>
  <si>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</si>
  <si>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</si>
  <si>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</si>
  <si>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</si>
  <si>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</si>
  <si>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</si>
  <si>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</si>
  <si>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</si>
  <si>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</si>
  <si>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</si>
  <si>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</si>
  <si>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</si>
  <si>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</si>
  <si>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</si>
  <si>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</si>
  <si>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</si>
  <si>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</si>
  <si>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</si>
  <si>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</si>
  <si>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</si>
  <si>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</si>
  <si>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</si>
  <si>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</si>
  <si>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</si>
  <si>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</si>
  <si>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</si>
  <si>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</si>
  <si>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</si>
  <si>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</si>
  <si>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</si>
  <si>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</si>
  <si>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</si>
  <si>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</si>
  <si>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</si>
  <si>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</si>
  <si>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</si>
  <si>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</si>
  <si>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</si>
  <si>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</si>
  <si>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</si>
  <si>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</si>
  <si>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</si>
  <si>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</si>
  <si>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</si>
  <si>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</si>
  <si>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</si>
  <si>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</si>
  <si>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</si>
  <si>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</si>
  <si>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</si>
  <si>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</si>
  <si>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</si>
  <si>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</si>
  <si>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</si>
  <si>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</si>
  <si>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</si>
  <si>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</si>
  <si>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</si>
  <si>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</si>
  <si>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</si>
  <si>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</si>
  <si>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</si>
  <si>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</si>
  <si>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</si>
  <si>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</si>
  <si>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</si>
  <si>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</si>
  <si>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</si>
  <si>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</si>
  <si>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</si>
  <si>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</si>
  <si>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</si>
  <si>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</si>
  <si>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</si>
  <si>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</si>
  <si>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</si>
  <si>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</si>
  <si>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</si>
  <si>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</si>
  <si>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</si>
  <si>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</si>
  <si>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</si>
  <si>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</si>
  <si>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</si>
  <si>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</si>
  <si>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</si>
  <si>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</si>
  <si>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</si>
  <si>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</si>
  <si>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</si>
  <si>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</si>
  <si>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</si>
  <si>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</si>
  <si>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</si>
  <si>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</si>
  <si>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</si>
  <si>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</si>
  <si>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</si>
  <si>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</si>
  <si>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</si>
  <si>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</si>
  <si>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</si>
  <si>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</si>
  <si>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</si>
  <si>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</si>
  <si>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</si>
  <si>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</si>
  <si>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</si>
  <si>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</si>
  <si>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</si>
  <si>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</si>
  <si>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</si>
  <si>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</si>
  <si>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</si>
  <si>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</si>
  <si>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</si>
  <si>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</si>
  <si>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</si>
  <si>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</si>
  <si>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</si>
  <si>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</si>
  <si>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</si>
  <si>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</si>
  <si>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</si>
  <si>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</si>
  <si>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</si>
  <si>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</si>
  <si>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</si>
  <si>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</si>
  <si>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</si>
  <si>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</si>
  <si>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</si>
  <si>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</si>
  <si>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</si>
  <si>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</si>
  <si>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</si>
  <si>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</si>
  <si>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</si>
  <si>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</si>
  <si>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</si>
  <si>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</si>
  <si>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</si>
  <si>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</si>
  <si>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</si>
  <si>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</si>
  <si>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</si>
  <si>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</si>
  <si>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</si>
  <si>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</si>
  <si>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</si>
  <si>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</si>
  <si>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</si>
  <si>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</si>
  <si>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</si>
  <si>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</si>
  <si>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</si>
  <si>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</si>
  <si>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</si>
  <si>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</si>
  <si>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</si>
  <si>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</si>
  <si>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</si>
  <si>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</si>
  <si>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</si>
  <si>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</si>
  <si>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</si>
  <si>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</si>
  <si>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</si>
  <si>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</si>
  <si>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</si>
  <si>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</si>
  <si>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</si>
  <si>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</si>
  <si>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</si>
  <si>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</si>
  <si>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</si>
  <si>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</si>
  <si>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</si>
  <si>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</si>
  <si>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</si>
  <si>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</si>
  <si>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</si>
  <si>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</si>
  <si>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</si>
  <si>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</si>
  <si>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</si>
  <si>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</si>
  <si>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</si>
  <si>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</si>
  <si>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</si>
  <si>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</si>
  <si>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</si>
  <si>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</si>
  <si>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</si>
  <si>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</si>
  <si>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</si>
  <si>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</si>
  <si>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</si>
  <si>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</si>
  <si>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</si>
  <si>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</si>
  <si>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</si>
  <si>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</si>
  <si>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</si>
  <si>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</si>
  <si>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</si>
  <si>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</si>
  <si>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</si>
  <si>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</si>
  <si>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</si>
  <si>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</si>
  <si>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</si>
  <si>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</si>
  <si>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</si>
  <si>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</si>
  <si>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</si>
  <si>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</si>
  <si>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</si>
  <si>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</si>
  <si>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</si>
  <si>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</si>
  <si>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</si>
  <si>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</si>
  <si>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</si>
  <si>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</si>
  <si>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</si>
  <si>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</si>
  <si>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</si>
  <si>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</si>
  <si>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</si>
  <si>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</si>
  <si>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</si>
  <si>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</si>
  <si>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</si>
  <si>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</si>
  <si>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</si>
  <si>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</si>
  <si>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</si>
  <si>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</si>
  <si>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</si>
  <si>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</si>
  <si>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</si>
  <si>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</si>
  <si>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</si>
  <si>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</si>
  <si>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</si>
  <si>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</si>
  <si>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</si>
  <si>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</si>
  <si>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</si>
  <si>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</si>
  <si>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</si>
  <si>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</si>
  <si>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</si>
  <si>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</si>
  <si>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</si>
  <si>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</si>
  <si>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</si>
  <si>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</si>
  <si>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</si>
  <si>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</si>
  <si>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</si>
  <si>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</si>
  <si>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</si>
  <si>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</si>
  <si>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</si>
  <si>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</si>
  <si>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</si>
  <si>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</si>
  <si>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</si>
  <si>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</si>
  <si>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</si>
  <si>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</si>
  <si>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</si>
  <si>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</si>
  <si>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</si>
  <si>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</si>
  <si>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</si>
  <si>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</si>
  <si>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</si>
  <si>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</si>
  <si>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</si>
  <si>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</si>
  <si>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</si>
  <si>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</si>
  <si>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</si>
  <si>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</si>
  <si>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</si>
  <si>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</si>
  <si>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</si>
  <si>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</si>
  <si>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</si>
  <si>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</si>
  <si>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</si>
  <si>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</si>
  <si>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</si>
  <si>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</si>
  <si>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</si>
  <si>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</si>
  <si>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</si>
  <si>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</si>
  <si>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</si>
  <si>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</si>
  <si>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</si>
  <si>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</si>
  <si>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</si>
  <si>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</si>
  <si>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</si>
  <si>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</si>
  <si>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</si>
  <si>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</si>
  <si>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</si>
  <si>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</si>
  <si>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</si>
  <si>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</si>
  <si>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</si>
  <si>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</si>
  <si>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</si>
  <si>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</si>
  <si>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</si>
  <si>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</si>
  <si>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</si>
  <si>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</si>
  <si>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</si>
  <si>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</si>
  <si>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</si>
  <si>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</si>
  <si>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</si>
  <si>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</si>
  <si>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</si>
  <si>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</si>
  <si>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</si>
  <si>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</si>
  <si>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</si>
  <si>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</si>
  <si>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</si>
  <si>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</si>
  <si>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</si>
  <si>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</si>
  <si>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</si>
  <si>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</si>
  <si>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</si>
  <si>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</si>
  <si>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</si>
  <si>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</si>
  <si>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</si>
  <si>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</si>
  <si>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</si>
  <si>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</si>
  <si>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</si>
  <si>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</si>
  <si>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</si>
  <si>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</si>
  <si>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</si>
  <si>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</si>
  <si>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</si>
  <si>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</si>
  <si>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</si>
  <si>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</si>
  <si>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</si>
  <si>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</si>
  <si>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</si>
  <si>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</si>
  <si>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</si>
  <si>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</si>
  <si>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</si>
  <si>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</si>
  <si>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</si>
  <si>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</si>
  <si>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</si>
  <si>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</si>
  <si>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</si>
  <si>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</si>
  <si>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</si>
  <si>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</si>
  <si>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</si>
  <si>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</si>
  <si>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</si>
  <si>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</si>
  <si>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</si>
  <si>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</si>
  <si>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</si>
  <si>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</si>
  <si>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</si>
  <si>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</si>
  <si>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</si>
  <si>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</si>
  <si>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</si>
  <si>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</si>
  <si>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</si>
  <si>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</si>
  <si>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</si>
  <si>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</si>
  <si>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</si>
  <si>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</si>
  <si>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</si>
  <si>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</si>
  <si>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</si>
  <si>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</si>
  <si>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</si>
  <si>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</si>
  <si>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</si>
  <si>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</si>
  <si>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</si>
  <si>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</si>
  <si>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</si>
  <si>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</si>
  <si>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</si>
  <si>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</si>
  <si>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</si>
  <si>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</si>
  <si>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</si>
  <si>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</si>
  <si>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</si>
  <si>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</si>
  <si>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</si>
  <si>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</si>
  <si>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</si>
  <si>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</si>
  <si>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</si>
  <si>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</si>
  <si>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</si>
  <si>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</si>
  <si>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</si>
  <si>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</si>
  <si>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</si>
  <si>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</si>
  <si>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</si>
  <si>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</si>
  <si>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</si>
  <si>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</si>
  <si>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</si>
  <si>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</si>
  <si>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</si>
  <si>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</si>
  <si>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</si>
  <si>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</si>
  <si>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</si>
  <si>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</si>
  <si>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</si>
  <si>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</si>
  <si>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</si>
  <si>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</si>
  <si>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</si>
  <si>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</si>
  <si>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</si>
  <si>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</si>
  <si>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</si>
  <si>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</si>
  <si>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</si>
  <si>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</si>
  <si>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</si>
  <si>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</si>
  <si>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</si>
  <si>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</si>
  <si>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</si>
  <si>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</si>
  <si>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</si>
  <si>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</si>
  <si>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</si>
  <si>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</si>
  <si>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</si>
  <si>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</si>
  <si>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</si>
  <si>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</si>
  <si>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</si>
  <si>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</si>
  <si>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</si>
  <si>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</si>
  <si>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</si>
  <si>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</si>
  <si>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</si>
  <si>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</si>
  <si>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</si>
  <si>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</si>
  <si>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</si>
  <si>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</si>
  <si>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</si>
  <si>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</si>
  <si>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</si>
  <si>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</si>
  <si>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</si>
  <si>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</si>
  <si>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</si>
  <si>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</si>
  <si>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</si>
  <si>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</si>
  <si>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</si>
  <si>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</si>
  <si>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</si>
  <si>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</si>
  <si>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</si>
  <si>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</si>
  <si>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</si>
  <si>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</si>
  <si>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</si>
  <si>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</si>
  <si>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</si>
  <si>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</si>
  <si>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</si>
  <si>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</si>
  <si>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</si>
  <si>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</si>
  <si>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</si>
  <si>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</si>
  <si>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</si>
  <si>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</si>
  <si>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</si>
  <si>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</si>
  <si>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</si>
  <si>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</si>
  <si>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</si>
  <si>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</si>
  <si>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</si>
  <si>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</si>
  <si>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</si>
  <si>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</si>
  <si>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</si>
  <si>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</si>
  <si>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</si>
  <si>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</si>
  <si>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</si>
  <si>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</si>
  <si>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</si>
  <si>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</si>
  <si>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</si>
  <si>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</si>
  <si>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</si>
  <si>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</si>
  <si>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</si>
  <si>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</si>
  <si>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</si>
  <si>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</si>
  <si>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</si>
  <si>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</si>
  <si>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</si>
  <si>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</si>
  <si>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</si>
  <si>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</si>
  <si>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</si>
  <si>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</si>
  <si>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</si>
  <si>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</si>
  <si>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</si>
  <si>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</si>
  <si>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</si>
  <si>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</si>
  <si>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</si>
  <si>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</si>
  <si>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</si>
  <si>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</si>
  <si>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</si>
  <si>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</si>
  <si>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</si>
  <si>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</si>
  <si>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</si>
  <si>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</si>
  <si>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</si>
  <si>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</si>
  <si>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</si>
  <si>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</si>
  <si>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</si>
  <si>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</si>
  <si>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</si>
  <si>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</si>
  <si>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</si>
  <si>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</si>
  <si>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</si>
  <si>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</si>
  <si>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</si>
  <si>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</si>
  <si>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</si>
  <si>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</si>
  <si>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</si>
  <si>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</si>
  <si>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</si>
  <si>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</si>
  <si>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</si>
  <si>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</si>
  <si>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</si>
  <si>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</si>
  <si>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</si>
  <si>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</si>
  <si>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</si>
  <si>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</si>
  <si>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</si>
  <si>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</si>
  <si>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</si>
  <si>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</si>
  <si>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</si>
  <si>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</si>
  <si>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</si>
  <si>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</si>
  <si>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</si>
  <si>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</si>
  <si>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</si>
  <si>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</si>
  <si>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</si>
  <si>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</si>
  <si>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</si>
  <si>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</si>
  <si>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</si>
  <si>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</si>
  <si>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</si>
  <si>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</si>
  <si>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</si>
  <si>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</si>
  <si>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</si>
  <si>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</si>
  <si>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</si>
  <si>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</si>
  <si>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</si>
  <si>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</si>
  <si>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</si>
  <si>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</si>
  <si>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</si>
  <si>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</si>
  <si>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</si>
  <si>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</si>
  <si>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</si>
  <si>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</si>
  <si>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</si>
  <si>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</si>
  <si>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</si>
  <si>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</si>
  <si>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</si>
  <si>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</si>
  <si>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</si>
  <si>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</si>
  <si>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</si>
  <si>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</si>
  <si>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</si>
  <si>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</si>
  <si>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</si>
  <si>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</si>
  <si>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</si>
  <si>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</si>
  <si>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</si>
  <si>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</si>
  <si>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</si>
  <si>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</si>
  <si>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</si>
  <si>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</si>
  <si>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</si>
  <si>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</si>
  <si>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</si>
  <si>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</si>
  <si>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</si>
  <si>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</si>
  <si>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</si>
  <si>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</si>
  <si>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</si>
  <si>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</si>
  <si>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</si>
  <si>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</si>
  <si>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</si>
  <si>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</si>
  <si>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</si>
  <si>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</si>
  <si>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</si>
  <si>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</si>
  <si>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</si>
  <si>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</si>
  <si>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</si>
  <si>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</si>
  <si>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</si>
  <si>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</si>
  <si>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</si>
  <si>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</si>
  <si>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</si>
  <si>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</si>
  <si>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</si>
  <si>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</si>
  <si>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</si>
  <si>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</si>
  <si>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</si>
  <si>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</si>
  <si>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</si>
  <si>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</si>
  <si>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</si>
  <si>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</si>
  <si>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</si>
  <si>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</si>
  <si>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</si>
  <si>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</si>
  <si>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</si>
  <si>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</si>
  <si>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</si>
  <si>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</si>
  <si>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</si>
  <si>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</si>
  <si>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</si>
  <si>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</si>
  <si>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</si>
  <si>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</si>
  <si>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</si>
  <si>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</si>
  <si>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</si>
  <si>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</si>
  <si>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</si>
  <si>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</si>
  <si>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</si>
  <si>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</si>
  <si>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</si>
  <si>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</si>
  <si>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</si>
  <si>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</si>
  <si>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</si>
  <si>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</si>
  <si>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</si>
  <si>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</si>
  <si>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</si>
  <si>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</si>
  <si>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</si>
  <si>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</si>
  <si>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</si>
  <si>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</si>
  <si>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</si>
  <si>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</si>
  <si>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</si>
  <si>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</si>
  <si>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</si>
  <si>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</si>
  <si>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</si>
  <si>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</si>
  <si>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</si>
  <si>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</si>
  <si>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</si>
  <si>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</si>
  <si>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</si>
  <si>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</si>
  <si>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</si>
  <si>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</si>
  <si>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</si>
  <si>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</si>
  <si>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</si>
  <si>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</si>
  <si>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</si>
  <si>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</si>
  <si>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</si>
  <si>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</si>
  <si>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</si>
  <si>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</si>
  <si>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</si>
  <si>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</si>
  <si>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</si>
  <si>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</si>
  <si>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</si>
  <si>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</si>
  <si>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</si>
  <si>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</si>
  <si>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</si>
  <si>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</si>
  <si>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</si>
  <si>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</si>
  <si>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</si>
  <si>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</si>
  <si>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</si>
  <si>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</si>
  <si>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</si>
  <si>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</si>
  <si>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</si>
  <si>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</si>
  <si>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</si>
  <si>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</si>
  <si>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</si>
  <si>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</si>
  <si>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</si>
  <si>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</si>
  <si>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</si>
  <si>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</si>
  <si>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</si>
  <si>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</si>
  <si>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</si>
  <si>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</si>
  <si>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</si>
  <si>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</si>
  <si>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</si>
  <si>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</si>
  <si>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</si>
  <si>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</si>
  <si>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</si>
  <si>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</si>
  <si>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</si>
  <si>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</si>
  <si>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</si>
  <si>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</si>
  <si>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</si>
  <si>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</si>
  <si>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</si>
  <si>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</si>
  <si>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</si>
  <si>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</si>
  <si>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</si>
  <si>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</si>
  <si>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</si>
  <si>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</si>
  <si>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</si>
  <si>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</si>
  <si>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</si>
  <si>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</si>
  <si>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</si>
  <si>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</si>
  <si>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</si>
  <si>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</si>
  <si>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</si>
  <si>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</si>
  <si>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</si>
  <si>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</si>
  <si>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</si>
  <si>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</si>
  <si>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</si>
  <si>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</si>
  <si>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</si>
  <si>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</si>
  <si>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</si>
  <si>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</si>
  <si>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</si>
  <si>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</si>
  <si>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</si>
  <si>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</si>
  <si>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</si>
  <si>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</si>
  <si>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</si>
  <si>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</si>
  <si>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</si>
  <si>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</si>
  <si>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</si>
  <si>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</si>
  <si>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</si>
  <si>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</si>
  <si>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</si>
  <si>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</si>
  <si>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</si>
  <si>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</si>
  <si>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</si>
  <si>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</si>
  <si>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</si>
  <si>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</si>
  <si>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</si>
  <si>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</si>
  <si>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</si>
  <si>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</si>
  <si>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</si>
  <si>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</si>
  <si>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</si>
  <si>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</si>
  <si>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</si>
  <si>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</si>
  <si>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</si>
  <si>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</si>
  <si>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</si>
  <si>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</si>
  <si>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</si>
  <si>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</si>
  <si>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</si>
  <si>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</si>
  <si>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</si>
  <si>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</si>
  <si>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</si>
  <si>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</si>
  <si>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</si>
  <si>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</si>
  <si>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</si>
  <si>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</si>
  <si>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</si>
  <si>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</si>
  <si>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</si>
  <si>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</si>
  <si>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</si>
  <si>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</si>
  <si>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</si>
  <si>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</si>
  <si>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</si>
  <si>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</si>
  <si>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</si>
  <si>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</si>
  <si>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</si>
  <si>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</si>
  <si>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</si>
  <si>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</si>
  <si>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</si>
  <si>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</si>
  <si>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</si>
  <si>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</si>
  <si>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</si>
  <si>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</si>
  <si>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</si>
  <si>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</si>
  <si>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</si>
  <si>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</si>
  <si>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</si>
  <si>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</si>
  <si>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</si>
  <si>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</si>
  <si>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</si>
  <si>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</si>
  <si>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</si>
  <si>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</si>
  <si>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</si>
  <si>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</si>
  <si>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</si>
  <si>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</si>
  <si>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</si>
  <si>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</si>
  <si>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</si>
  <si>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</si>
  <si>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</si>
  <si>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</si>
  <si>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</si>
  <si>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</si>
  <si>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</si>
  <si>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</si>
  <si>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</si>
  <si>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</si>
  <si>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</si>
  <si>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</si>
  <si>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</si>
  <si>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</si>
  <si>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</si>
  <si>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</si>
  <si>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</si>
  <si>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</si>
  <si>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</si>
  <si>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</si>
  <si>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</si>
  <si>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</si>
  <si>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</si>
  <si>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</si>
  <si>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</si>
  <si>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</si>
  <si>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</si>
  <si>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</si>
  <si>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</si>
  <si>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</si>
  <si>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</si>
  <si>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</si>
  <si>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</si>
  <si>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</si>
  <si>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</si>
  <si>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</si>
  <si>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</si>
  <si>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</si>
  <si>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</si>
  <si>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</si>
  <si>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</si>
  <si>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</si>
  <si>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</si>
  <si>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</si>
  <si>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</si>
  <si>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</si>
  <si>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</si>
  <si>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</si>
  <si>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</si>
  <si>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</si>
  <si>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</si>
  <si>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</si>
  <si>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</si>
  <si>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</si>
  <si>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</si>
  <si>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</si>
  <si>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</si>
  <si>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</si>
  <si>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</si>
  <si>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</si>
  <si>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</si>
  <si>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</si>
  <si>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</si>
  <si>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</si>
  <si>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</si>
  <si>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</si>
  <si>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</si>
  <si>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</si>
  <si>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</si>
  <si>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</si>
  <si>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</si>
  <si>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</si>
  <si>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</si>
  <si>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</si>
  <si>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</si>
  <si>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</si>
  <si>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</si>
  <si>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</si>
  <si>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</si>
  <si>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</si>
  <si>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</si>
  <si>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</si>
  <si>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</si>
  <si>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</si>
  <si>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</si>
  <si>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</si>
  <si>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</si>
  <si>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</si>
  <si>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</si>
  <si>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</si>
  <si>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</si>
  <si>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</si>
  <si>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</si>
  <si>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</si>
  <si>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</si>
  <si>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</si>
  <si>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</si>
  <si>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</si>
  <si>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</si>
  <si>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</si>
  <si>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</si>
  <si>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</si>
  <si>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</si>
  <si>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</si>
  <si>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</si>
  <si>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</si>
  <si>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</si>
  <si>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</si>
  <si>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</si>
  <si>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</si>
  <si>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</si>
  <si>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</si>
  <si>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</si>
  <si>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</si>
  <si>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</si>
  <si>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</si>
  <si>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</si>
  <si>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</si>
  <si>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</si>
  <si>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</si>
  <si>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</si>
  <si>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</si>
  <si>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</si>
  <si>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</si>
  <si>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</si>
  <si>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</si>
  <si>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</si>
  <si>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</si>
  <si>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</si>
  <si>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</si>
  <si>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</si>
  <si>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</si>
  <si>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</si>
  <si>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</si>
  <si>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</si>
  <si>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</si>
  <si>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</si>
  <si>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</si>
  <si>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</si>
  <si>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</si>
  <si>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</si>
  <si>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</si>
  <si>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</si>
  <si>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</si>
  <si>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</si>
  <si>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</si>
  <si>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</si>
  <si>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</si>
  <si>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</si>
  <si>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</si>
  <si>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</si>
  <si>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</si>
  <si>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</si>
  <si>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</si>
  <si>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</si>
  <si>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</si>
  <si>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</si>
  <si>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</si>
  <si>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</si>
  <si>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</si>
  <si>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</si>
  <si>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</si>
  <si>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</si>
  <si>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</si>
  <si>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</si>
  <si>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</si>
  <si>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</si>
  <si>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</si>
  <si>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</si>
  <si>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</si>
  <si>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</si>
  <si>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</si>
  <si>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</si>
  <si>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</si>
  <si>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</si>
  <si>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</si>
  <si>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</si>
  <si>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</si>
  <si>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</si>
  <si>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</si>
  <si>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</si>
  <si>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</si>
  <si>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</si>
  <si>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</si>
  <si>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</si>
  <si>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</si>
  <si>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</si>
  <si>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</si>
  <si>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</si>
  <si>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</si>
  <si>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</si>
  <si>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</si>
  <si>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</si>
  <si>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</si>
  <si>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</si>
  <si>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</si>
  <si>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</si>
  <si>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</si>
  <si>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</si>
  <si>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</si>
  <si>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</si>
  <si>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</si>
  <si>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</si>
  <si>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</si>
  <si>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</si>
  <si>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</si>
  <si>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</si>
  <si>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</si>
  <si>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</si>
  <si>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</si>
  <si>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</si>
  <si>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</si>
  <si>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</si>
  <si>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</si>
  <si>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</si>
  <si>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</si>
  <si>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</si>
  <si>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</si>
  <si>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</si>
  <si>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</si>
  <si>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</si>
  <si>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</si>
  <si>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</si>
  <si>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</si>
  <si>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</si>
  <si>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</si>
  <si>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</si>
  <si>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</si>
  <si>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</si>
  <si>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</si>
  <si>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</si>
  <si>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</si>
  <si>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</si>
  <si>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</si>
  <si>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</si>
  <si>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</si>
  <si>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</si>
  <si>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</si>
  <si>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</si>
  <si>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</si>
  <si>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</si>
  <si>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</si>
  <si>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</si>
  <si>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</si>
  <si>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</si>
  <si>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</si>
  <si>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</si>
  <si>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</si>
  <si>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</si>
  <si>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</si>
  <si>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</si>
  <si>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</si>
  <si>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</si>
  <si>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</si>
  <si>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</si>
  <si>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</si>
  <si>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</si>
  <si>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</si>
  <si>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</si>
  <si>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</si>
  <si>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</si>
  <si>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</si>
  <si>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</si>
  <si>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</si>
  <si>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</si>
  <si>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</si>
  <si>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</si>
  <si>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</si>
  <si>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</si>
  <si>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</si>
  <si>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</si>
  <si>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</si>
  <si>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</si>
  <si>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</si>
  <si>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</si>
  <si>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</si>
  <si>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</si>
  <si>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</si>
  <si>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</si>
  <si>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</si>
  <si>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</si>
  <si>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</si>
  <si>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</si>
  <si>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</si>
  <si>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</si>
  <si>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</si>
  <si>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</si>
  <si>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</si>
  <si>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</si>
  <si>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</si>
  <si>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</si>
  <si>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</si>
  <si>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</si>
  <si>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</si>
  <si>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</si>
  <si>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</si>
  <si>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</si>
  <si>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</si>
  <si>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</si>
  <si>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</si>
  <si>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</si>
  <si>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</si>
  <si>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</si>
  <si>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</si>
  <si>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</si>
  <si>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</si>
  <si>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</si>
  <si>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</si>
  <si>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</si>
  <si>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</si>
  <si>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</si>
  <si>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</si>
  <si>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</si>
  <si>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</si>
  <si>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</si>
  <si>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</si>
  <si>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</si>
  <si>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</si>
  <si>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</si>
  <si>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</si>
  <si>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</si>
  <si>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</si>
  <si>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</si>
  <si>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</si>
  <si>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</si>
  <si>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</si>
  <si>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</si>
  <si>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</si>
  <si>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</si>
  <si>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</si>
  <si>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</si>
  <si>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</si>
  <si>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</si>
  <si>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</si>
  <si>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</si>
  <si>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</si>
  <si>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</si>
  <si>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</si>
  <si>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</si>
  <si>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</si>
  <si>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</si>
  <si>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</si>
  <si>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</si>
  <si>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</si>
  <si>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</si>
  <si>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</si>
  <si>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</si>
  <si>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</si>
  <si>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</si>
  <si>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</si>
  <si>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</si>
  <si>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</si>
  <si>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</si>
  <si>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</si>
  <si>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</si>
  <si>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</si>
  <si>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</si>
  <si>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</si>
  <si>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</si>
  <si>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</si>
  <si>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</si>
  <si>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</si>
  <si>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</si>
  <si>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</si>
  <si>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</si>
  <si>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</si>
  <si>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</si>
  <si>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</si>
  <si>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</si>
  <si>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</si>
  <si>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</si>
  <si>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</si>
  <si>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</si>
  <si>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</si>
  <si>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</si>
  <si>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</si>
  <si>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</si>
  <si>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</si>
  <si>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</si>
  <si>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</si>
  <si>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</si>
  <si>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</si>
  <si>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</si>
  <si>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</si>
  <si>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</si>
  <si>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</si>
  <si>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</si>
  <si>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</si>
  <si>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</si>
  <si>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</si>
  <si>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</si>
  <si>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</si>
  <si>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</si>
  <si>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</si>
  <si>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</si>
  <si>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</si>
  <si>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</si>
  <si>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</si>
  <si>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</si>
  <si>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</si>
  <si>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</si>
  <si>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</si>
  <si>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</si>
  <si>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</si>
  <si>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</si>
  <si>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</si>
  <si>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</si>
  <si>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</si>
  <si>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</si>
  <si>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</si>
  <si>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</si>
  <si>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</si>
  <si>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</si>
  <si>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</si>
  <si>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</si>
  <si>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</si>
  <si>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</si>
  <si>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</si>
  <si>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</si>
  <si>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</si>
  <si>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</si>
  <si>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</si>
  <si>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</si>
  <si>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</si>
  <si>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</si>
  <si>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</si>
  <si>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</si>
  <si>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</si>
  <si>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</si>
  <si>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</si>
  <si>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</si>
  <si>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</si>
  <si>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</si>
  <si>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</si>
  <si>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</si>
  <si>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</si>
  <si>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</si>
  <si>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</si>
  <si>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</si>
  <si>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</si>
  <si>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</si>
  <si>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</si>
  <si>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</si>
  <si>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</si>
  <si>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</si>
  <si>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</si>
  <si>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</si>
  <si>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</si>
  <si>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</si>
  <si>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</si>
  <si>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</si>
  <si>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</si>
  <si>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</si>
  <si>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</si>
  <si>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</si>
  <si>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</si>
  <si>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</si>
  <si>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</si>
  <si>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</si>
  <si>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</si>
  <si>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</si>
  <si>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</si>
  <si>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</si>
  <si>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</si>
  <si>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</si>
  <si>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</si>
  <si>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</si>
  <si>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</si>
  <si>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</si>
  <si>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</si>
  <si>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</si>
  <si>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</si>
  <si>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</si>
  <si>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</si>
  <si>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</si>
  <si>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</si>
  <si>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</si>
  <si>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</si>
  <si>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</si>
  <si>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</si>
  <si>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</si>
  <si>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</si>
  <si>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</si>
  <si>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</si>
  <si>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</si>
  <si>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</si>
  <si>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</si>
  <si>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</si>
  <si>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</si>
  <si>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</si>
  <si>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</si>
  <si>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</si>
  <si>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</si>
  <si>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</si>
  <si>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</si>
  <si>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</si>
  <si>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</si>
  <si>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</si>
  <si>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</si>
  <si>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</si>
  <si>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</si>
  <si>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</si>
  <si>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</si>
  <si>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</si>
  <si>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</si>
  <si>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</si>
  <si>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</si>
  <si>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</si>
  <si>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</si>
  <si>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</si>
  <si>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</si>
  <si>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</si>
  <si>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</si>
  <si>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</si>
  <si>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</si>
  <si>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</si>
  <si>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</si>
  <si>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</si>
  <si>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</si>
  <si>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</si>
  <si>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</si>
  <si>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</si>
  <si>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</si>
  <si>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</si>
  <si>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</si>
  <si>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</si>
  <si>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</si>
  <si>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</si>
  <si>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</si>
  <si>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</si>
  <si>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</si>
  <si>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</si>
  <si>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</si>
  <si>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</si>
  <si>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</si>
  <si>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</si>
  <si>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</si>
  <si>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</si>
  <si>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</si>
  <si>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</si>
  <si>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</si>
  <si>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</si>
  <si>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</si>
  <si>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</si>
  <si>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</si>
  <si>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</si>
  <si>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</si>
  <si>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</si>
  <si>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</si>
  <si>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</si>
  <si>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</si>
  <si>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</si>
  <si>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</si>
  <si>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</si>
  <si>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</si>
  <si>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</si>
  <si>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</si>
  <si>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</si>
  <si>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</si>
  <si>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</si>
  <si>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</si>
  <si>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</si>
  <si>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</si>
  <si>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</si>
  <si>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</si>
  <si>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</si>
  <si>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</si>
  <si>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</si>
  <si>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</si>
  <si>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</si>
  <si>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</si>
  <si>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</si>
  <si>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</si>
  <si>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</si>
  <si>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</si>
  <si>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</si>
  <si>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</si>
  <si>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</si>
  <si>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</si>
  <si>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</si>
  <si>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</si>
  <si>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</si>
  <si>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</si>
  <si>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</si>
  <si>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</si>
  <si>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</si>
  <si>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</si>
  <si>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</si>
  <si>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</si>
  <si>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</si>
  <si>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</si>
  <si>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</si>
  <si>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</si>
  <si>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</si>
  <si>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</si>
  <si>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</si>
  <si>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</si>
  <si>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</si>
  <si>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</si>
  <si>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</si>
  <si>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</si>
  <si>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</si>
  <si>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</si>
  <si>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</si>
  <si>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</si>
  <si>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</si>
  <si>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</si>
  <si>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</si>
  <si>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</si>
  <si>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</si>
  <si>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</si>
  <si>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</si>
  <si>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</si>
  <si>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</si>
  <si>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</si>
  <si>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</si>
  <si>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</si>
  <si>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</si>
  <si>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</si>
  <si>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</si>
  <si>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</si>
  <si>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</si>
  <si>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</si>
  <si>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</si>
  <si>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</si>
  <si>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</si>
  <si>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</si>
  <si>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</si>
  <si>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</si>
  <si>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</si>
  <si>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</si>
  <si>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</si>
  <si>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</si>
  <si>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</si>
  <si>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</si>
  <si>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</si>
  <si>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</si>
  <si>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</si>
  <si>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</si>
  <si>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</si>
  <si>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</si>
  <si>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</si>
  <si>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</si>
  <si>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</si>
  <si>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</si>
  <si>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</si>
  <si>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</si>
  <si>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</si>
  <si>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</si>
  <si>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</si>
  <si>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</si>
  <si>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</si>
  <si>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</si>
  <si>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</si>
  <si>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</si>
  <si>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</si>
  <si>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</si>
  <si>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</si>
  <si>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</si>
  <si>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</si>
  <si>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</si>
  <si>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</si>
  <si>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</si>
  <si>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</si>
  <si>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</si>
  <si>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</si>
  <si>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</si>
  <si>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</si>
  <si>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</si>
  <si>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</si>
  <si>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</si>
  <si>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</si>
  <si>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</si>
  <si>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</si>
  <si>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</si>
  <si>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</si>
  <si>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</si>
  <si>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</si>
  <si>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</si>
  <si>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</si>
  <si>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</si>
  <si>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</si>
  <si>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</si>
  <si>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</si>
  <si>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</si>
  <si>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</si>
  <si>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</si>
  <si>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</si>
  <si>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</si>
  <si>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</si>
  <si>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</si>
  <si>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</si>
  <si>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</si>
  <si>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</si>
  <si>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</si>
  <si>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</si>
  <si>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</si>
  <si>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</si>
  <si>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</si>
  <si>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</si>
  <si>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</si>
  <si>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</si>
  <si>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</si>
  <si>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</si>
  <si>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</si>
  <si>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</si>
  <si>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</si>
  <si>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</si>
  <si>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</si>
  <si>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</si>
  <si>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</si>
  <si>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</si>
  <si>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</si>
  <si>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</si>
  <si>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</si>
  <si>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</si>
  <si>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</si>
  <si>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</si>
  <si>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</si>
  <si>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</si>
  <si>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</si>
  <si>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</si>
  <si>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</si>
  <si>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</si>
  <si>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</si>
  <si>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</si>
  <si>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</si>
  <si>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</si>
  <si>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</si>
  <si>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</si>
  <si>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</si>
  <si>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</si>
  <si>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</si>
  <si>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</si>
  <si>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</si>
  <si>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</si>
  <si>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</si>
  <si>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</si>
  <si>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</si>
  <si>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</si>
  <si>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</si>
  <si>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</si>
  <si>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</si>
  <si>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</si>
  <si>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</si>
  <si>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</si>
  <si>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</si>
  <si>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</si>
  <si>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</si>
  <si>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</si>
  <si>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</si>
  <si>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</si>
  <si>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</si>
  <si>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</si>
  <si>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</si>
  <si>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</si>
  <si>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</si>
  <si>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</si>
  <si>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</si>
  <si>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</si>
  <si>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</si>
  <si>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</si>
  <si>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</si>
  <si>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</si>
  <si>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</si>
  <si>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</si>
  <si>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</si>
  <si>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</si>
  <si>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</si>
  <si>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</si>
  <si>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</si>
  <si>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</si>
  <si>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</si>
  <si>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</si>
  <si>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</si>
  <si>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</si>
  <si>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</si>
  <si>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</si>
  <si>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</si>
  <si>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</si>
  <si>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</si>
  <si>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</si>
  <si>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</si>
  <si>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</si>
  <si>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</si>
  <si>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</si>
  <si>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</si>
  <si>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</si>
  <si>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</si>
  <si>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</si>
  <si>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</si>
  <si>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</si>
  <si>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</si>
  <si>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</si>
  <si>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</si>
  <si>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</si>
  <si>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</si>
  <si>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</si>
  <si>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</si>
  <si>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</si>
  <si>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</si>
  <si>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</si>
  <si>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</si>
  <si>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</si>
  <si>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</si>
  <si>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</si>
  <si>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</si>
  <si>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</si>
  <si>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</si>
  <si>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</si>
  <si>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</si>
  <si>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</si>
  <si>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</si>
  <si>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</si>
  <si>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</si>
  <si>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</si>
  <si>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</si>
  <si>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</si>
  <si>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</si>
  <si>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</si>
  <si>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</si>
  <si>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</si>
  <si>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</si>
  <si>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</si>
  <si>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</si>
  <si>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</si>
  <si>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</si>
  <si>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</si>
  <si>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</si>
  <si>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</si>
  <si>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</si>
  <si>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</si>
  <si>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</si>
  <si>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</si>
  <si>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</si>
  <si>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</si>
  <si>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</si>
  <si>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</si>
  <si>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</si>
  <si>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</si>
  <si>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</si>
  <si>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</si>
  <si>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</si>
  <si>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</si>
  <si>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</si>
  <si>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</si>
  <si>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</si>
  <si>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</si>
  <si>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</si>
  <si>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</si>
  <si>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</si>
  <si>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</si>
  <si>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</si>
  <si>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</si>
  <si>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</si>
  <si>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</si>
  <si>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</si>
  <si>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</si>
  <si>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</si>
  <si>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</si>
  <si>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</si>
  <si>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</si>
  <si>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</si>
  <si>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</si>
  <si>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</si>
  <si>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</si>
  <si>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</si>
  <si>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</si>
  <si>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</si>
  <si>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</si>
  <si>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</si>
  <si>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</si>
  <si>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</si>
  <si>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</si>
  <si>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</si>
  <si>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</si>
  <si>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</si>
  <si>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</si>
  <si>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</si>
  <si>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</si>
  <si>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</si>
  <si>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</si>
  <si>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</si>
  <si>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</si>
  <si>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</si>
  <si>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</si>
  <si>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</si>
  <si>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</si>
  <si>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</si>
  <si>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</si>
  <si>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</si>
  <si>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</si>
  <si>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</si>
  <si>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</si>
  <si>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</si>
  <si>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</si>
  <si>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</si>
  <si>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</si>
  <si>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</si>
  <si>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</si>
  <si>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</si>
  <si>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</si>
  <si>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</si>
  <si>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</si>
  <si>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</si>
  <si>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</si>
  <si>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</si>
  <si>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</si>
  <si>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</si>
  <si>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</si>
  <si>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</si>
  <si>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</si>
  <si>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</si>
  <si>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</si>
  <si>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</si>
  <si>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</si>
  <si>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</si>
  <si>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</si>
  <si>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</si>
  <si>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</si>
  <si>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</si>
  <si>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</si>
  <si>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</si>
  <si>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</si>
  <si>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</si>
  <si>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</si>
  <si>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</si>
  <si>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</si>
  <si>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</si>
  <si>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</si>
  <si>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</si>
  <si>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</si>
  <si>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</si>
  <si>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</si>
  <si>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</si>
  <si>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</si>
  <si>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</si>
  <si>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</si>
  <si>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</si>
  <si>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</si>
  <si>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</si>
  <si>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</si>
  <si>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</si>
  <si>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</si>
  <si>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</si>
  <si>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</si>
  <si>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</si>
  <si>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</si>
  <si>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</si>
  <si>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</si>
  <si>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</si>
  <si>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</si>
  <si>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</si>
  <si>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</si>
  <si>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</si>
  <si>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</si>
  <si>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</si>
  <si>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</si>
  <si>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</si>
  <si>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</si>
  <si>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</si>
  <si>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</si>
  <si>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</si>
  <si>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</si>
  <si>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</si>
  <si>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</si>
  <si>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</si>
  <si>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</si>
  <si>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</si>
  <si>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</si>
  <si>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</si>
  <si>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</si>
  <si>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</si>
  <si>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</si>
  <si>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</si>
  <si>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</si>
  <si>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</si>
  <si>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</si>
  <si>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</si>
  <si>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</si>
  <si>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</si>
  <si>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</si>
  <si>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</si>
  <si>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</si>
  <si>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</si>
  <si>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</si>
  <si>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</si>
  <si>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</si>
  <si>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</si>
  <si>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</si>
  <si>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</si>
  <si>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</si>
  <si>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</si>
  <si>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</si>
  <si>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</si>
  <si>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</si>
  <si>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</si>
  <si>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</si>
  <si>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</si>
  <si>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</si>
  <si>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</si>
  <si>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</si>
  <si>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</si>
  <si>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</si>
  <si>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</si>
  <si>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</si>
  <si>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</si>
  <si>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</si>
  <si>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</si>
  <si>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</si>
  <si>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</si>
  <si>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</si>
  <si>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</si>
  <si>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</si>
  <si>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</si>
  <si>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</si>
  <si>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</si>
  <si>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</si>
  <si>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</si>
  <si>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</si>
  <si>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</si>
  <si>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</si>
  <si>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</si>
  <si>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</si>
  <si>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</si>
  <si>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</si>
  <si>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</si>
  <si>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</si>
  <si>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</si>
  <si>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</si>
  <si>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</si>
  <si>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</si>
  <si>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</si>
  <si>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</si>
  <si>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</si>
  <si>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</si>
  <si>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</si>
  <si>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</si>
  <si>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</si>
  <si>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</si>
  <si>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</si>
  <si>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</si>
  <si>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</si>
  <si>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</si>
  <si>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</si>
  <si>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</si>
  <si>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</si>
  <si>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</si>
  <si>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</si>
  <si>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</si>
  <si>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</si>
  <si>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</si>
  <si>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</si>
  <si>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</si>
  <si>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</si>
  <si>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</si>
  <si>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</si>
  <si>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</si>
  <si>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</si>
  <si>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</si>
  <si>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</si>
  <si>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</si>
  <si>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</si>
  <si>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</si>
  <si>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</si>
  <si>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</si>
  <si>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</si>
  <si>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</si>
  <si>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</si>
  <si>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</si>
  <si>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</si>
  <si>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</si>
  <si>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</si>
  <si>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</si>
  <si>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</si>
  <si>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</si>
  <si>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</si>
  <si>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</si>
  <si>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</si>
  <si>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</si>
  <si>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</si>
  <si>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</si>
  <si>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</si>
  <si>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</si>
  <si>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</si>
  <si>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</si>
  <si>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</si>
  <si>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</si>
  <si>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</si>
  <si>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</si>
  <si>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</si>
  <si>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</si>
  <si>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</si>
  <si>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</si>
  <si>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</si>
  <si>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</si>
  <si>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</si>
  <si>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</si>
  <si>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</si>
  <si>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</si>
  <si>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</si>
  <si>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</si>
  <si>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</si>
  <si>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</si>
  <si>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</si>
  <si>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</si>
  <si>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</si>
  <si>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</si>
  <si>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</si>
  <si>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</si>
  <si>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</si>
  <si>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</si>
  <si>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</si>
  <si>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</si>
  <si>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</si>
  <si>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</si>
  <si>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</si>
  <si>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</si>
  <si>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</si>
  <si>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</si>
  <si>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</si>
  <si>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</si>
  <si>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</si>
  <si>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</si>
  <si>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</si>
  <si>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</si>
  <si>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</si>
  <si>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</si>
  <si>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</si>
  <si>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</si>
  <si>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</si>
  <si>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</si>
  <si>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</si>
  <si>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</si>
  <si>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</si>
  <si>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</si>
  <si>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</si>
  <si>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</si>
  <si>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</si>
  <si>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</si>
  <si>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</si>
  <si>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</si>
  <si>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</si>
  <si>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</si>
  <si>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</si>
  <si>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</si>
  <si>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</si>
  <si>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</si>
  <si>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</si>
  <si>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</si>
  <si>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</si>
  <si>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</si>
  <si>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</si>
  <si>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</si>
  <si>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</si>
  <si>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</si>
  <si>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</si>
  <si>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</si>
  <si>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</si>
  <si>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</si>
  <si>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</si>
  <si>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</si>
  <si>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</si>
  <si>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</si>
  <si>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</si>
  <si>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</si>
  <si>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</si>
  <si>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</si>
  <si>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</si>
  <si>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</si>
  <si>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</si>
  <si>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</si>
  <si>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</si>
  <si>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</si>
  <si>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</si>
  <si>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</si>
  <si>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</si>
  <si>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</si>
  <si>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</si>
  <si>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</si>
  <si>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</si>
  <si>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</si>
  <si>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</si>
  <si>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</si>
  <si>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</si>
  <si>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</si>
  <si>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</si>
  <si>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</si>
  <si>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</si>
  <si>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</si>
  <si>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</si>
  <si>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</si>
  <si>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</si>
  <si>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</si>
  <si>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</si>
  <si>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</si>
  <si>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</si>
  <si>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</si>
  <si>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</si>
  <si>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</si>
  <si>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</si>
  <si>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</si>
  <si>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</si>
  <si>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</si>
  <si>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</si>
  <si>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</si>
  <si>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</si>
  <si>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</si>
  <si>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</si>
  <si>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</si>
  <si>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</si>
  <si>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</si>
  <si>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</si>
  <si>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</si>
  <si>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</si>
  <si>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</si>
  <si>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</si>
  <si>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</si>
  <si>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</si>
  <si>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</si>
  <si>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</si>
  <si>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</si>
  <si>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</si>
  <si>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</si>
  <si>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</si>
  <si>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</si>
  <si>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</si>
  <si>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</si>
  <si>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</si>
  <si>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</si>
  <si>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</si>
  <si>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</si>
  <si>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</si>
  <si>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</si>
  <si>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</si>
  <si>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</si>
  <si>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</si>
  <si>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</si>
  <si>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</si>
  <si>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</si>
  <si>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</si>
  <si>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</si>
  <si>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</si>
  <si>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</si>
  <si>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</si>
  <si>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</si>
  <si>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</si>
  <si>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</si>
  <si>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</si>
  <si>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</si>
  <si>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</si>
  <si>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</si>
  <si>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</si>
  <si>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</si>
  <si>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</si>
  <si>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</si>
  <si>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</si>
  <si>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</si>
  <si>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</si>
  <si>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</si>
  <si>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</si>
  <si>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</si>
  <si>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</si>
  <si>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</si>
  <si>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</si>
  <si>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</si>
  <si>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</si>
  <si>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</si>
  <si>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</si>
  <si>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</si>
  <si>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</si>
  <si>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</si>
  <si>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</si>
  <si>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</si>
  <si>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</si>
  <si>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</si>
  <si>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</si>
  <si>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</si>
  <si>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</si>
  <si>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</si>
  <si>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</si>
  <si>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</si>
  <si>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</si>
  <si>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</si>
  <si>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</si>
  <si>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</si>
  <si>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</si>
  <si>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</si>
  <si>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</si>
  <si>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</si>
  <si>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</si>
  <si>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</si>
  <si>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</si>
  <si>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</si>
  <si>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</si>
  <si>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</si>
  <si>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</si>
  <si>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</si>
  <si>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</si>
  <si>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</si>
  <si>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</si>
  <si>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</si>
  <si>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</si>
  <si>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</si>
  <si>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</si>
  <si>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</si>
  <si>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</si>
  <si>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</si>
  <si>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</si>
  <si>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</si>
  <si>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</si>
  <si>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</si>
  <si>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</si>
  <si>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</si>
  <si>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</si>
  <si>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</si>
  <si>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</si>
  <si>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</si>
  <si>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</si>
  <si>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</si>
  <si>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</si>
  <si>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</si>
  <si>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</si>
  <si>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</si>
  <si>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</si>
  <si>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</si>
  <si>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</si>
  <si>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</si>
  <si>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</si>
  <si>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</si>
  <si>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</si>
  <si>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</si>
  <si>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</si>
  <si>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</si>
  <si>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</si>
  <si>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</si>
  <si>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</si>
  <si>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</si>
  <si>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</si>
  <si>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</si>
  <si>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</si>
  <si>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</si>
  <si>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</si>
  <si>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</si>
  <si>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</si>
  <si>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</si>
  <si>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</si>
  <si>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</si>
  <si>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</si>
  <si>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</si>
  <si>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</si>
  <si>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</si>
  <si>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</si>
  <si>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</si>
  <si>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</si>
  <si>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</si>
  <si>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</si>
  <si>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</si>
  <si>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</si>
  <si>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</si>
  <si>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</si>
  <si>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</si>
  <si>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</si>
  <si>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</si>
  <si>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</si>
  <si>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</si>
  <si>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</si>
  <si>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</si>
  <si>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</si>
  <si>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</si>
  <si>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</si>
  <si>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</si>
  <si>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</si>
  <si>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</si>
  <si>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</si>
  <si>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</si>
  <si>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</si>
  <si>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</si>
  <si>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</si>
  <si>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</si>
  <si>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</si>
  <si>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</si>
  <si>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</si>
  <si>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</si>
  <si>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</si>
  <si>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</si>
  <si>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</si>
  <si>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</si>
  <si>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</si>
  <si>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</si>
  <si>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</si>
  <si>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</si>
  <si>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</si>
  <si>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</si>
  <si>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</si>
  <si>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</si>
  <si>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</si>
  <si>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</si>
  <si>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</si>
  <si>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</si>
  <si>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</si>
  <si>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</si>
  <si>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</si>
  <si>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</si>
  <si>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</si>
  <si>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</si>
  <si>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</si>
  <si>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</si>
  <si>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</si>
  <si>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</si>
  <si>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</si>
  <si>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</si>
  <si>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</si>
  <si>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</si>
  <si>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</si>
  <si>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</si>
  <si>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</si>
  <si>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</si>
  <si>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</si>
  <si>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</si>
  <si>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</si>
  <si>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</si>
  <si>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</si>
  <si>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</si>
  <si>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</si>
  <si>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</si>
  <si>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</si>
  <si>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</si>
  <si>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</si>
  <si>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</si>
  <si>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</si>
  <si>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</si>
  <si>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</si>
  <si>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</si>
  <si>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</si>
  <si>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</si>
  <si>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</si>
  <si>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</si>
  <si>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</si>
  <si>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</si>
  <si>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</si>
  <si>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</si>
  <si>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</si>
  <si>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</si>
  <si>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</si>
  <si>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</si>
  <si>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</si>
  <si>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</si>
  <si>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</si>
  <si>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</si>
  <si>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</si>
  <si>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</si>
  <si>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</si>
  <si>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</si>
  <si>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</si>
  <si>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</si>
  <si>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</si>
  <si>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</si>
  <si>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</si>
  <si>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</si>
  <si>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</si>
  <si>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</si>
  <si>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</si>
  <si>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</si>
  <si>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</si>
  <si>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</si>
  <si>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</si>
  <si>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</si>
  <si>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</si>
  <si>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</si>
  <si>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2019-1-0114-P01DYGJ1</t>
    <phoneticPr fontId="6" type="noConversion"/>
  </si>
  <si>
    <t>崔锴</t>
  </si>
  <si>
    <t>赵雯</t>
  </si>
  <si>
    <t>中铁建设集团房地产有限公司</t>
  </si>
  <si>
    <t>中国农业银行股份有限公司北京房山支行</t>
    <phoneticPr fontId="6" type="noConversion"/>
  </si>
  <si>
    <t>抵押</t>
  </si>
  <si>
    <t>抵押价格</t>
  </si>
  <si>
    <t>企业</t>
  </si>
  <si>
    <t>住宅、商业</t>
    <phoneticPr fontId="6" type="noConversion"/>
  </si>
  <si>
    <t>出让</t>
  </si>
  <si>
    <t>一致</t>
  </si>
  <si>
    <t>符合</t>
  </si>
  <si>
    <t>商业</t>
  </si>
  <si>
    <t>地下仓储</t>
  </si>
  <si>
    <t>否</t>
  </si>
  <si>
    <t>综合项目（居住、综合）</t>
  </si>
  <si>
    <t>无</t>
  </si>
  <si>
    <t>场地平整</t>
  </si>
  <si>
    <t>平整</t>
  </si>
  <si>
    <t>通路</t>
  </si>
  <si>
    <t>通电</t>
  </si>
  <si>
    <t>通上水</t>
  </si>
  <si>
    <t>1#住宅楼</t>
    <phoneticPr fontId="3" type="noConversion"/>
  </si>
  <si>
    <t>2#住宅楼</t>
  </si>
  <si>
    <t>3#住宅楼</t>
  </si>
  <si>
    <t>4#住宅楼</t>
  </si>
  <si>
    <t>5#住宅楼</t>
  </si>
  <si>
    <t>6#住宅楼</t>
  </si>
  <si>
    <t>7#住宅楼</t>
  </si>
  <si>
    <t>8#住宅楼</t>
  </si>
  <si>
    <t>9#住宅楼</t>
  </si>
  <si>
    <t>10#住宅楼</t>
  </si>
  <si>
    <t>11#住宅楼</t>
  </si>
  <si>
    <t>12#住宅楼</t>
  </si>
  <si>
    <t>13#住宅楼</t>
  </si>
  <si>
    <t>14#配套设施</t>
    <phoneticPr fontId="3" type="noConversion"/>
  </si>
  <si>
    <t>地下车库</t>
    <phoneticPr fontId="3" type="noConversion"/>
  </si>
  <si>
    <t>地上</t>
  </si>
  <si>
    <t>平层住宅</t>
  </si>
  <si>
    <t>地下</t>
  </si>
  <si>
    <t>仓储</t>
  </si>
  <si>
    <t>戊类库房</t>
  </si>
  <si>
    <t>车库</t>
  </si>
  <si>
    <t>住宅</t>
    <phoneticPr fontId="7" type="noConversion"/>
  </si>
  <si>
    <t>地下仓储</t>
    <phoneticPr fontId="7" type="noConversion"/>
  </si>
  <si>
    <t>地下车库</t>
    <phoneticPr fontId="7" type="noConversion"/>
  </si>
  <si>
    <t>土地（套用方法）</t>
  </si>
  <si>
    <t>按租金收入计税</t>
  </si>
  <si>
    <t>钢混</t>
  </si>
  <si>
    <t>不动产收益法</t>
  </si>
  <si>
    <t>剩余法-待开发</t>
  </si>
  <si>
    <t>比较法-住宅、综合</t>
  </si>
  <si>
    <t>地块名称</t>
  </si>
  <si>
    <t>城市</t>
  </si>
  <si>
    <t>用地性质</t>
  </si>
  <si>
    <t>土地位置</t>
  </si>
  <si>
    <t>出让方式</t>
  </si>
  <si>
    <t>地块编号</t>
  </si>
  <si>
    <t>详细规划</t>
  </si>
  <si>
    <t>建设用地面积(㎡)</t>
  </si>
  <si>
    <t>规划建筑面积(㎡)</t>
  </si>
  <si>
    <t>商业比例</t>
  </si>
  <si>
    <t>保障房类型</t>
  </si>
  <si>
    <t>成交保障房面积(㎡)</t>
  </si>
  <si>
    <t>配建自住房情况</t>
  </si>
  <si>
    <t>推出特殊政策</t>
  </si>
  <si>
    <t>成交特殊政策</t>
  </si>
  <si>
    <t>配建养老设施面积情况</t>
  </si>
  <si>
    <t>成交日期</t>
  </si>
  <si>
    <t>受让单位</t>
  </si>
  <si>
    <t>起始价(万元)</t>
  </si>
  <si>
    <t>成交价(万元)</t>
  </si>
  <si>
    <t>推出楼面价(元/㎡)</t>
  </si>
  <si>
    <t>成交楼面价(元/㎡)</t>
  </si>
  <si>
    <t>成交楼面价(除保障房)(元/㎡)</t>
  </si>
  <si>
    <t>溢价率</t>
  </si>
  <si>
    <t>土地星级</t>
  </si>
  <si>
    <t>北京市丰台区王佐镇魏各庄FT00-0503-0092等地块(丰台区青龙湖国际会都核心区C地块)二类居住及基础教育用地</t>
  </si>
  <si>
    <t>综合用地(含住宅)</t>
  </si>
  <si>
    <t>丰台区王佐镇魏各庄</t>
  </si>
  <si>
    <t>挂牌</t>
  </si>
  <si>
    <t>京土整储挂(丰)[2018]069号</t>
  </si>
  <si>
    <t>R2二类居住用地、A33基础教育用地</t>
  </si>
  <si>
    <t>r2=1.1,a33=0.8</t>
  </si>
  <si>
    <t>限地价,限房价,竞自持,报高标准商品住宅建设方案</t>
  </si>
  <si>
    <t>限地价,限房价</t>
  </si>
  <si>
    <t>2019-02-02</t>
  </si>
  <si>
    <t>北京万科企业有限公司和国开东方城镇发展投资有限公司联合体</t>
  </si>
  <si>
    <t>1星</t>
  </si>
  <si>
    <t>北京市房山区青龙湖镇中心区01-0010、0021地块R2二类居住用地、01-0015地块B4综合性商业金融服务业用地</t>
  </si>
  <si>
    <t>房山区青龙湖镇</t>
  </si>
  <si>
    <t>京土整储挂(房)[2018]020号</t>
  </si>
  <si>
    <t>R2二类居住用地、B4综合性商业金融服务业用地</t>
  </si>
  <si>
    <t>2018-10-19</t>
  </si>
  <si>
    <t>京土整储挂(房)[2018]018号</t>
  </si>
  <si>
    <t>R2二类居住用地、B4综合性商业金融服务业用地、S4社会停车场用地</t>
  </si>
  <si>
    <t>限地价,限房价,竞自持,报高标准商品住宅建设方案,90/70</t>
  </si>
  <si>
    <t>限地价,限房价,90/70</t>
  </si>
  <si>
    <t>2018-09-13</t>
  </si>
  <si>
    <t>北京首都开发股份有限公司</t>
  </si>
  <si>
    <t>北京市房山区青龙湖镇FS16-0201-0013地块R2二类居住用地</t>
  </si>
  <si>
    <t>住宅用地</t>
  </si>
  <si>
    <t>京土整储挂(房)[2018]012号</t>
  </si>
  <si>
    <t>R2二类居住用地</t>
  </si>
  <si>
    <t>2018-07-04</t>
  </si>
  <si>
    <t>深圳市新威佳辰投资咨询有限公司</t>
  </si>
  <si>
    <t>房山区青龙湖镇东部局部FS16-0201-0012等地块二类居住及基础教育用地</t>
  </si>
  <si>
    <t>京土整储挂(房)[2017]039号</t>
  </si>
  <si>
    <t>限地价,限房价,竞自持,90/70</t>
  </si>
  <si>
    <t>2017-06-22</t>
  </si>
  <si>
    <t>北京青龙湖腾翔房地产开发有限公司、北京万科企业有限公司、北京龙湖中佰置业有限公司和北京首都开发股份有限公司联合体</t>
  </si>
  <si>
    <t>丰台区王佐镇青龙湖地区FT00-0503-0053等地块</t>
  </si>
  <si>
    <t>丰台区王佐镇青龙湖地区</t>
  </si>
  <si>
    <t>京土整储挂(丰)[2017]014号</t>
  </si>
  <si>
    <t>R2二类居住用地、B4综合性商业金融服务业用地、A61机构养老设施用地、A33基础教育用地、S4社会停车场用地</t>
  </si>
  <si>
    <t>2017-04-11</t>
  </si>
  <si>
    <t>国开东方城镇发展投资有限公司和北京万科企业有限公司联合体</t>
  </si>
  <si>
    <t>北京市房山区青龙湖水库北库二期项目用地</t>
  </si>
  <si>
    <t>商业/办公用地</t>
  </si>
  <si>
    <t>京土整储挂(房)[2011]108号</t>
  </si>
  <si>
    <t>C25旅游业用地、S3社会停车场库用地</t>
  </si>
  <si>
    <t>2011-10-11</t>
  </si>
  <si>
    <t>北京星华智本投资有限公司</t>
  </si>
  <si>
    <t>房山区青龙湖水库北库一期项目用地</t>
  </si>
  <si>
    <t>京土整储挂(房)[2011]018号</t>
  </si>
  <si>
    <t>旅游业用地</t>
  </si>
  <si>
    <t>2011-03-09</t>
  </si>
  <si>
    <t>北京青田房地产经纪有限公司和林新武联合体</t>
  </si>
  <si>
    <t>3星</t>
  </si>
  <si>
    <r>
      <rPr>
        <sz val="11"/>
        <color theme="9" tint="-0.249977111117893"/>
        <rFont val="宋体"/>
        <family val="3"/>
        <charset val="134"/>
      </rPr>
      <t>丰台区王佐镇青龙湖地区</t>
    </r>
    <r>
      <rPr>
        <sz val="11"/>
        <color theme="9" tint="-0.249977111117893"/>
        <rFont val="Arial"/>
        <family val="2"/>
      </rPr>
      <t/>
    </r>
    <phoneticPr fontId="26" type="noConversion"/>
  </si>
  <si>
    <t>丰台区王佐镇</t>
    <phoneticPr fontId="3" type="noConversion"/>
  </si>
  <si>
    <t>房山区青龙湖镇</t>
    <phoneticPr fontId="3" type="noConversion"/>
  </si>
  <si>
    <t>房山区青龙湖镇</t>
    <phoneticPr fontId="3" type="noConversion"/>
  </si>
  <si>
    <t>正常</t>
  </si>
  <si>
    <t>楼面地价</t>
  </si>
  <si>
    <t>70</t>
    <phoneticPr fontId="26" type="noConversion"/>
  </si>
  <si>
    <t>一般</t>
  </si>
  <si>
    <t>较差</t>
  </si>
  <si>
    <t>较好</t>
  </si>
  <si>
    <t>六通</t>
  </si>
  <si>
    <t>七通</t>
  </si>
  <si>
    <t>多面临街</t>
  </si>
  <si>
    <t>单面临街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</si>
  <si>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</si>
  <si>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</si>
  <si>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</si>
  <si>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</si>
  <si>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</si>
  <si>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</si>
  <si>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</si>
  <si>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</si>
  <si>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</si>
  <si>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</si>
  <si>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</si>
  <si>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</si>
  <si>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</si>
  <si>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</si>
  <si>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</si>
  <si>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</si>
  <si>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</si>
  <si>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</si>
  <si>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</si>
  <si>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</si>
  <si>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</si>
  <si>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</si>
  <si>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五通</t>
  </si>
  <si>
    <t>四通</t>
  </si>
  <si>
    <t>三通</t>
  </si>
  <si>
    <t>房山区青龙湖中心区01-0010、0021地块R2二类居住用地、01-0015地块B4综合性商业金融服务业用地</t>
    <phoneticPr fontId="6" type="noConversion"/>
  </si>
  <si>
    <t>中铁建设集团房地产有限公司</t>
    <phoneticPr fontId="6" type="noConversion"/>
  </si>
  <si>
    <t>自定义</t>
  </si>
  <si>
    <t>住宅、商业</t>
  </si>
  <si>
    <t>住宅、商业</t>
    <phoneticPr fontId="26" type="noConversion"/>
  </si>
  <si>
    <t>住宅</t>
    <phoneticPr fontId="26" type="noConversion"/>
  </si>
  <si>
    <t>北京市房山区青龙湖镇FS16-0201-0005地块R2二类居住用地、FS16-0201-0004地块B4综合性商业金融服务业用地、FS16-0201-0003地块S4社会停车场用地</t>
    <phoneticPr fontId="228" type="noConversion"/>
  </si>
  <si>
    <r>
      <rPr>
        <sz val="11"/>
        <color theme="9" tint="-0.249977111117893"/>
        <rFont val="宋体"/>
        <family val="3"/>
        <charset val="134"/>
      </rPr>
      <t>北京市房山区青龙湖镇</t>
    </r>
    <r>
      <rPr>
        <sz val="11"/>
        <color theme="9" tint="-0.249977111117893"/>
        <rFont val="Arial"/>
        <family val="2"/>
      </rPr>
      <t>FS16-0201-0005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FS16-0201-0004</t>
    </r>
    <r>
      <rPr>
        <sz val="11"/>
        <color theme="9" tint="-0.249977111117893"/>
        <rFont val="宋体"/>
        <family val="3"/>
        <charset val="134"/>
      </rPr>
      <t>地块</t>
    </r>
    <r>
      <rPr>
        <sz val="11"/>
        <color theme="9" tint="-0.249977111117893"/>
        <rFont val="Arial"/>
        <family val="2"/>
      </rPr>
      <t>B4</t>
    </r>
    <r>
      <rPr>
        <sz val="11"/>
        <color theme="9" tint="-0.249977111117893"/>
        <rFont val="宋体"/>
        <family val="3"/>
        <charset val="134"/>
      </rPr>
      <t>综合性商业金融服务业用地</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</si>
</sst>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0" fillId="6" borderId="0" xfId="0" applyFill="1" applyAlignment="1"/>
    <xf numFmtId="0" fontId="147"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71" fillId="17" borderId="7" xfId="0" applyNumberFormat="1" applyFont="1" applyFill="1" applyBorder="1" applyAlignment="1" applyProtection="1">
      <alignment horizontal="center" vertical="center" wrapText="1"/>
    </xf>
    <xf numFmtId="177" fontId="71" fillId="17" borderId="12" xfId="2" applyNumberFormat="1" applyFont="1" applyFill="1" applyBorder="1" applyAlignment="1" applyProtection="1">
      <alignment horizontal="center" vertical="center"/>
      <protection locked="0"/>
    </xf>
    <xf numFmtId="182" fontId="76" fillId="17" borderId="51" xfId="0" applyNumberFormat="1" applyFont="1" applyFill="1" applyBorder="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10</xdr:row>
      <xdr:rowOff>0</xdr:rowOff>
    </xdr:from>
    <xdr:to>
      <xdr:col>6</xdr:col>
      <xdr:colOff>1616706</xdr:colOff>
      <xdr:row>38</xdr:row>
      <xdr:rowOff>75591</xdr:rowOff>
    </xdr:to>
    <xdr:pic>
      <xdr:nvPicPr>
        <xdr:cNvPr id="2" name="图片 1"/>
        <xdr:cNvPicPr>
          <a:picLocks noChangeAspect="1"/>
        </xdr:cNvPicPr>
      </xdr:nvPicPr>
      <xdr:blipFill>
        <a:blip xmlns:r="http://schemas.openxmlformats.org/officeDocument/2006/relationships" r:embed="rId1"/>
        <a:stretch>
          <a:fillRect/>
        </a:stretch>
      </xdr:blipFill>
      <xdr:spPr>
        <a:xfrm>
          <a:off x="2057400" y="1743075"/>
          <a:ext cx="5114286" cy="4876191"/>
        </a:xfrm>
        <a:prstGeom prst="rect">
          <a:avLst/>
        </a:prstGeom>
      </xdr:spPr>
    </xdr:pic>
    <xdr:clientData/>
  </xdr:twoCellAnchor>
  <xdr:twoCellAnchor editAs="oneCell">
    <xdr:from>
      <xdr:col>11</xdr:col>
      <xdr:colOff>0</xdr:colOff>
      <xdr:row>10</xdr:row>
      <xdr:rowOff>0</xdr:rowOff>
    </xdr:from>
    <xdr:to>
      <xdr:col>18</xdr:col>
      <xdr:colOff>104162</xdr:colOff>
      <xdr:row>38</xdr:row>
      <xdr:rowOff>18448</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1743075"/>
          <a:ext cx="4904762"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738;&#40857;&#28246;002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738;&#40857;&#28246;001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ow r="14">
          <cell r="B14">
            <v>39144.94</v>
          </cell>
          <cell r="C14">
            <v>17067.11</v>
          </cell>
          <cell r="D14">
            <v>46869</v>
          </cell>
          <cell r="G14">
            <v>46869</v>
          </cell>
        </row>
      </sheetData>
      <sheetData sheetId="16">
        <row r="37">
          <cell r="B37">
            <v>4273.22</v>
          </cell>
          <cell r="E37">
            <v>289</v>
          </cell>
        </row>
        <row r="38">
          <cell r="B38">
            <v>10977.72</v>
          </cell>
          <cell r="E38">
            <v>556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2)"/>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G5">
            <v>28306.020000000004</v>
          </cell>
        </row>
      </sheetData>
      <sheetData sheetId="11" refreshError="1"/>
      <sheetData sheetId="12" refreshError="1"/>
      <sheetData sheetId="13" refreshError="1"/>
      <sheetData sheetId="14" refreshError="1"/>
      <sheetData sheetId="15">
        <row r="14">
          <cell r="C14">
            <v>13313.62</v>
          </cell>
          <cell r="D14">
            <v>22949</v>
          </cell>
          <cell r="G14">
            <v>22949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北京市房山区青龙湖中心区01-0010、0021地块R2二类居住用地、01-0015地块B4综合性商业金融服务业用地出让国有建设用地使用权抵押价格预评估</v>
      </c>
      <c r="AX2" s="2874"/>
      <c r="AZ2" s="2874"/>
      <c r="BA2" s="2875"/>
      <c r="BC2" s="2875"/>
    </row>
    <row r="3" spans="1:55" s="2876" customFormat="1">
      <c r="A3" s="2855" t="s">
        <v>2662</v>
      </c>
      <c r="B3" s="2858" t="str">
        <f>'预评函-封皮'!B40</f>
        <v>中铁建设集团房地产有限公司</v>
      </c>
    </row>
    <row r="4" spans="1:55" s="2857" customFormat="1">
      <c r="A4" s="2855" t="s">
        <v>2663</v>
      </c>
      <c r="B4" s="2856" t="str">
        <f>'预评函-封皮'!B46</f>
        <v>崔锴、赵雯</v>
      </c>
      <c r="N4" s="2857" t="str">
        <f>'预评函-1'!A28</f>
        <v/>
      </c>
    </row>
    <row r="5" spans="1:55" s="2870" customFormat="1" ht="15" thickBot="1">
      <c r="A5" s="2877" t="s">
        <v>2664</v>
      </c>
      <c r="B5" s="2878" t="str">
        <f>'预评函-封皮'!B49</f>
        <v>康正预评字2019-1-0114-P01DYGJ1号</v>
      </c>
    </row>
    <row r="6" spans="1:55" s="2879" customFormat="1" ht="15" thickTop="1">
      <c r="A6" s="2871" t="s">
        <v>2706</v>
      </c>
      <c r="B6" s="2872" t="str">
        <f>'预评函-1'!A4</f>
        <v>受贵公司委托，我公司对北京市房山区青龙湖中心区01-0010、0021地块R2二类居住用地、01-0015地块B4综合性商业金融服务业用地出让国有建设用地使用权抵押价格进行了预评估。</v>
      </c>
      <c r="AM6" s="2880"/>
    </row>
    <row r="7" spans="1:55" s="2854" customFormat="1">
      <c r="A7" s="2855" t="s">
        <v>2658</v>
      </c>
      <c r="B7" s="2856" t="str">
        <f>'预评函-1'!A6</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24151.66平方米。根据《建设工程规划许可证》[]、《出让合同》[]，估价对象规划建筑面积为48217.25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2019年3月22日</v>
      </c>
    </row>
    <row r="11" spans="1:55" s="2854" customFormat="1">
      <c r="A11" s="2855" t="s">
        <v>2666</v>
      </c>
      <c r="B11" s="2856" t="str">
        <f>'预评函-1'!A14</f>
        <v>根据《国有土地使用证》[]，本次评估估价对象证载（地类）用途为住宅、商业。</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根据委托估价方介绍及评估专业人员现场勘查，本次评估估价对象实际土地开发程度为红线外市政基础设施达“七通”（即通路、通电、通上水、、、、）、宗地红线内场地平整。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根据《国有土地使用证》[]，估价对象（分摊）出让国有建设用地使用权面积为24151.66平方米。根据《建设工程规划许可证》[]、《出让合同》[]，估价对象规划建筑面积为48217.25平方米。</v>
      </c>
    </row>
    <row r="16" spans="1:55" s="2854" customFormat="1">
      <c r="A16" s="2855" t="s">
        <v>2670</v>
      </c>
      <c r="B16" s="2856" t="str">
        <f>'预评函-1'!A22</f>
        <v>本次估价对象为出让国有建设用地使用权，《国有土地使用证》[]证载土地终止日期为住宅2088年12月2日、商业2058年12月2日、2068年12月2日、地下车库2068年12月2日、地下仓储2068年12月2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估价期日：2019年3月22日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住宅、商业</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红线外七通、宗地红线内场地平整</v>
      </c>
    </row>
    <row r="39" spans="1:2">
      <c r="A39" s="2855" t="s">
        <v>2720</v>
      </c>
      <c r="B39" s="2856" t="str">
        <f>'预评函-2'!L5</f>
        <v>红线外七通、宗地红线内场地平整</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24151.66</v>
      </c>
    </row>
    <row r="44" spans="1:2">
      <c r="A44" s="2855" t="s">
        <v>2741</v>
      </c>
      <c r="B44" s="2856" t="str">
        <f>'预评函-2'!O3</f>
        <v>规划建筑面积/㎡</v>
      </c>
    </row>
    <row r="45" spans="1:2">
      <c r="A45" s="2855" t="s">
        <v>2723</v>
      </c>
      <c r="B45" s="2856">
        <f>'预评函-2'!O5</f>
        <v>48217.250000000007</v>
      </c>
    </row>
    <row r="46" spans="1:2">
      <c r="A46" s="2855" t="s">
        <v>2724</v>
      </c>
      <c r="B46" s="2856">
        <f ca="1">'预评函-2'!P5</f>
        <v>22383</v>
      </c>
    </row>
    <row r="47" spans="1:2">
      <c r="A47" s="2855" t="s">
        <v>2725</v>
      </c>
      <c r="B47" s="2856">
        <f ca="1">'预评函-2'!Q5</f>
        <v>11212</v>
      </c>
    </row>
    <row r="48" spans="1:2">
      <c r="A48" s="2855" t="s">
        <v>2726</v>
      </c>
      <c r="B48" s="2856">
        <f ca="1">'预评函-2'!R5</f>
        <v>54059</v>
      </c>
    </row>
    <row r="49" spans="1:2">
      <c r="A49" s="2855" t="s">
        <v>2742</v>
      </c>
      <c r="B49" s="2856" t="str">
        <f>'预评函-2'!A6</f>
        <v>抵押价格</v>
      </c>
    </row>
    <row r="50" spans="1:2">
      <c r="A50" s="2855" t="s">
        <v>2727</v>
      </c>
      <c r="B50" s="2856">
        <f ca="1">'预评函-2'!R6</f>
        <v>54059</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2.基础设施条件：估价对象实际开发程度为红线外七通、宗地红线内场地平整；本次评估设定开发程度为红线外七通、宗地红线内场地平整。</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崔锴</v>
      </c>
    </row>
    <row r="70" spans="1:2">
      <c r="A70" s="2855" t="s">
        <v>2691</v>
      </c>
      <c r="B70" s="2862">
        <f ca="1">'预评函-3'!B20</f>
        <v>2010110070</v>
      </c>
    </row>
    <row r="71" spans="1:2">
      <c r="A71" s="2855" t="s">
        <v>2692</v>
      </c>
      <c r="B71" s="2856" t="str">
        <f>'预评函-3'!A21</f>
        <v>赵雯</v>
      </c>
    </row>
    <row r="72" spans="1:2" s="2870" customFormat="1" ht="15" thickBot="1">
      <c r="A72" s="2877" t="s">
        <v>2692</v>
      </c>
      <c r="B72" s="2883">
        <f ca="1">'预评函-3'!B21</f>
        <v>2011110090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9" customWidth="1"/>
    <col min="2" max="2" width="11.375" style="1689" customWidth="1"/>
    <col min="3" max="3" width="12.625" style="1689" customWidth="1"/>
    <col min="4" max="4" width="12.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29" t="str">
        <f>IF(B10="北京市","北京市",C10)&amp;F10&amp;B16&amp;"国有建设用地使用权"&amp;B9&amp;"预评估"</f>
        <v>北京市房山区青龙湖中心区01-0010、0021地块R2二类居住用地、01-0015地块B4综合性商业金融服务业用地出让国有建设用地使用权抵押价格预评估</v>
      </c>
      <c r="C1" s="3230"/>
      <c r="D1" s="3230"/>
      <c r="E1" s="3230"/>
      <c r="F1" s="3230"/>
      <c r="G1" s="3230"/>
      <c r="H1" s="3230"/>
      <c r="I1" s="3231"/>
      <c r="J1" s="1692"/>
      <c r="K1" s="2433" t="str">
        <f>IF(B10="北京市","北京市",C10)&amp;F10&amp;B16&amp;"国有建设用地使用权"&amp;B9</f>
        <v>北京市房山区青龙湖中心区01-0010、0021地块R2二类居住用地、01-0015地块B4综合性商业金融服务业用地出让国有建设用地使用权抵押价格</v>
      </c>
      <c r="L1" s="1721"/>
      <c r="M1" s="1721"/>
      <c r="N1" s="1692"/>
      <c r="O1" s="1693"/>
      <c r="P1" s="1692"/>
      <c r="Q1" s="1692"/>
      <c r="R1" s="1692"/>
      <c r="S1" s="1692"/>
      <c r="T1" s="1692"/>
      <c r="U1" s="1692"/>
    </row>
    <row r="2" spans="1:21">
      <c r="A2" s="1658" t="s">
        <v>1939</v>
      </c>
      <c r="B2" s="1840" t="s">
        <v>2995</v>
      </c>
      <c r="D2" s="1692"/>
      <c r="E2" s="1692"/>
      <c r="F2" s="1692"/>
      <c r="G2" s="1692"/>
      <c r="H2" s="1658"/>
      <c r="I2" s="1693"/>
      <c r="J2" s="1692"/>
      <c r="K2" s="2433" t="str">
        <f>IF(B10="北京市","北京市",C10)&amp;F10&amp;B16&amp;"国有建设用地使用权"</f>
        <v>北京市房山区青龙湖中心区01-0010、0021地块R2二类居住用地、01-0015地块B4综合性商业金融服务业用地出让国有建设用地使用权</v>
      </c>
      <c r="L2" s="1721"/>
      <c r="M2" s="1721"/>
      <c r="N2" s="1692"/>
      <c r="O2" s="1693"/>
      <c r="P2" s="1692"/>
      <c r="Q2" s="1692"/>
      <c r="R2" s="1692"/>
      <c r="S2" s="1692"/>
      <c r="T2" s="1692"/>
      <c r="U2" s="1692"/>
    </row>
    <row r="3" spans="1:21">
      <c r="A3" s="1659" t="s">
        <v>1940</v>
      </c>
      <c r="B3" s="1660">
        <v>43530</v>
      </c>
      <c r="C3" s="1661" t="s">
        <v>1996</v>
      </c>
      <c r="D3" s="1660">
        <v>43546</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2996</v>
      </c>
      <c r="C4" s="1844">
        <f ca="1">SUMIF(土地估价师,B4,估价师及机构信息!E3:E24)</f>
        <v>2010110070</v>
      </c>
      <c r="D4" s="1841" t="s">
        <v>2997</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崔锴、赵雯</v>
      </c>
      <c r="L4" s="1721"/>
      <c r="M4" s="1721"/>
      <c r="N4" s="1692"/>
      <c r="O4" s="1693"/>
      <c r="P4" s="1692"/>
      <c r="Q4" s="1692"/>
      <c r="R4" s="1692"/>
      <c r="S4" s="1692"/>
      <c r="T4" s="1692"/>
      <c r="U4" s="1692"/>
    </row>
    <row r="5" spans="1:21" ht="15" thickTop="1">
      <c r="A5" s="1663" t="s">
        <v>1942</v>
      </c>
      <c r="B5" s="1787" t="s">
        <v>3164</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t="s">
        <v>2999</v>
      </c>
      <c r="C6" s="1759"/>
      <c r="D6" s="1666"/>
      <c r="E6" s="1692"/>
      <c r="F6" s="1692"/>
      <c r="G6" s="1692"/>
      <c r="H6" s="1658"/>
      <c r="I6" s="1693"/>
      <c r="J6" s="1692"/>
      <c r="K6" s="3028"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3000</v>
      </c>
      <c r="C8" s="1669"/>
      <c r="D8" s="3235" t="s">
        <v>1945</v>
      </c>
      <c r="E8" s="1842" t="s">
        <v>3001</v>
      </c>
      <c r="F8" s="1670"/>
      <c r="G8" s="1658"/>
      <c r="H8" s="1658"/>
      <c r="I8" s="1705"/>
      <c r="J8" s="1692"/>
      <c r="K8" s="1772"/>
      <c r="L8" s="1721"/>
      <c r="M8" s="1721"/>
      <c r="N8" s="1692"/>
      <c r="O8" s="1693"/>
      <c r="P8" s="1692"/>
      <c r="Q8" s="1692"/>
      <c r="R8" s="1692"/>
      <c r="S8" s="1692"/>
      <c r="T8" s="1692"/>
      <c r="U8" s="1692"/>
    </row>
    <row r="9" spans="1:21" ht="15" thickBot="1">
      <c r="A9" s="1671" t="s">
        <v>1944</v>
      </c>
      <c r="B9" s="1672" t="s">
        <v>3001</v>
      </c>
      <c r="C9" s="1673"/>
      <c r="D9" s="3236"/>
      <c r="E9" s="1672" t="s">
        <v>952</v>
      </c>
      <c r="F9" s="1745"/>
      <c r="G9" s="1740"/>
      <c r="H9" s="1740"/>
      <c r="I9" s="1741"/>
      <c r="J9" s="1692"/>
      <c r="K9" s="1772"/>
      <c r="L9" s="1721"/>
      <c r="M9" s="1721"/>
      <c r="N9" s="1692"/>
      <c r="O9" s="1693"/>
      <c r="P9" s="1692"/>
      <c r="Q9" s="1692"/>
      <c r="R9" s="1692"/>
      <c r="S9" s="1692"/>
      <c r="T9" s="1692"/>
      <c r="U9" s="1692"/>
    </row>
    <row r="10" spans="1:21" ht="15" thickTop="1">
      <c r="A10" s="1742" t="s">
        <v>2000</v>
      </c>
      <c r="B10" s="1717" t="s">
        <v>1946</v>
      </c>
      <c r="C10" s="1674"/>
      <c r="D10" s="1665"/>
      <c r="E10" s="1675" t="s">
        <v>1947</v>
      </c>
      <c r="F10" s="1676" t="s">
        <v>3163</v>
      </c>
      <c r="G10" s="1743"/>
      <c r="H10" s="1744"/>
      <c r="I10" s="1665"/>
      <c r="J10" s="1692"/>
      <c r="K10" s="1772"/>
      <c r="L10" s="1721"/>
      <c r="M10" s="1721"/>
      <c r="N10" s="1692"/>
      <c r="O10" s="1693"/>
      <c r="P10" s="1692"/>
      <c r="Q10" s="1692"/>
      <c r="R10" s="1692"/>
      <c r="S10" s="1692"/>
      <c r="T10" s="1692"/>
      <c r="U10" s="1692"/>
    </row>
    <row r="11" spans="1:21" ht="42.75">
      <c r="A11" s="1695" t="s">
        <v>2001</v>
      </c>
      <c r="B11" s="1696" t="s">
        <v>3002</v>
      </c>
      <c r="C11" s="1677" t="str">
        <f>B5</f>
        <v>中铁建设集团房地产有限公司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2" t="s">
        <v>3003</v>
      </c>
      <c r="C12" s="3233"/>
      <c r="D12" s="3234"/>
      <c r="E12" s="1697" t="s">
        <v>2062</v>
      </c>
      <c r="F12" s="3250" t="s">
        <v>2890</v>
      </c>
      <c r="G12" s="3251"/>
      <c r="H12" s="3251"/>
      <c r="I12" s="3252"/>
      <c r="J12" s="1692"/>
      <c r="K12" s="1772"/>
      <c r="L12" s="1721"/>
      <c r="M12" s="1721"/>
      <c r="N12" s="1692"/>
      <c r="O12" s="1693"/>
      <c r="P12" s="1692"/>
      <c r="Q12" s="1692"/>
      <c r="R12" s="1692"/>
      <c r="S12" s="1692"/>
      <c r="T12" s="1692"/>
      <c r="U12" s="1692"/>
    </row>
    <row r="13" spans="1:21">
      <c r="A13" s="1685" t="s">
        <v>2060</v>
      </c>
      <c r="B13" s="3232"/>
      <c r="C13" s="3233"/>
      <c r="D13" s="3234"/>
      <c r="E13" s="1697" t="s">
        <v>2062</v>
      </c>
      <c r="F13" s="3250" t="s">
        <v>2891</v>
      </c>
      <c r="G13" s="3251"/>
      <c r="H13" s="3251"/>
      <c r="I13" s="3252"/>
      <c r="J13" s="1692"/>
      <c r="K13" s="1772"/>
      <c r="L13" s="1721"/>
      <c r="M13" s="1721"/>
      <c r="N13" s="1692"/>
      <c r="O13" s="1693"/>
      <c r="P13" s="1692"/>
      <c r="Q13" s="1692"/>
      <c r="R13" s="1692"/>
      <c r="S13" s="1692"/>
      <c r="T13" s="1692"/>
      <c r="U13" s="1692"/>
    </row>
    <row r="14" spans="1:21">
      <c r="A14" s="1659" t="s">
        <v>2063</v>
      </c>
      <c r="B14" s="1697"/>
      <c r="C14" s="1843" t="s">
        <v>3005</v>
      </c>
      <c r="D14" s="1731" t="str">
        <f>IF(C14="不一致","是否符合证载地类范围","")</f>
        <v/>
      </c>
      <c r="E14" s="1697"/>
      <c r="F14" s="1788" t="s">
        <v>3006</v>
      </c>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2.75">
      <c r="A16" s="1678" t="s">
        <v>1948</v>
      </c>
      <c r="B16" s="1679" t="s">
        <v>3004</v>
      </c>
      <c r="C16" s="1697" t="s">
        <v>1949</v>
      </c>
      <c r="D16" s="2624" t="s">
        <v>1950</v>
      </c>
      <c r="E16" s="1720" t="s">
        <v>3007</v>
      </c>
      <c r="F16" s="1720"/>
      <c r="G16" s="1720" t="s">
        <v>35</v>
      </c>
      <c r="H16" s="1720" t="s">
        <v>3008</v>
      </c>
      <c r="I16" s="1684" t="s">
        <v>1955</v>
      </c>
      <c r="J16" s="1692"/>
      <c r="K16" s="2434" t="str">
        <f>IF(D17="","",D16&amp;TEXT(D17,"yyyy年m月d日;;"))</f>
        <v>住宅2088年12月2日</v>
      </c>
      <c r="L16" s="1697" t="str">
        <f>IF(OR(K16="",M16=""),"","、")</f>
        <v>、</v>
      </c>
      <c r="M16" s="2434" t="str">
        <f>IF(E17="","",E16&amp;TEXT(E17,"yyyy年m月d日;;"))</f>
        <v>商业2058年12月2日</v>
      </c>
      <c r="N16" s="1697" t="str">
        <f>IF(OR(M16="",O16=""),"","、")</f>
        <v>、</v>
      </c>
      <c r="O16" s="2434" t="str">
        <f>IF(F17="","",F16&amp;TEXT(F17,"yyyy年m月d日;;"))</f>
        <v>2068年12月2日</v>
      </c>
      <c r="P16" s="1697" t="str">
        <f>IF(OR(O16="",Q16=""),"","、")</f>
        <v>、</v>
      </c>
      <c r="Q16" s="2434" t="str">
        <f>IF(G17="","",G16&amp;TEXT(G17,"yyyy年m月d日;;"))</f>
        <v>地下车库2068年12月2日</v>
      </c>
      <c r="R16" s="1697" t="str">
        <f>IF(OR(Q16="",S16=""),"","、")</f>
        <v>、</v>
      </c>
      <c r="S16" s="2434" t="str">
        <f>IF(H17="","",H16&amp;TEXT(H17,"yyyy年m月d日;;"))</f>
        <v>地下仓储2068年12月2日</v>
      </c>
      <c r="T16" s="1697" t="str">
        <f>IF(OR(S16="",U16=""),"","、")</f>
        <v/>
      </c>
      <c r="U16" s="2434" t="str">
        <f>IF(I17="","",I16&amp;TEXT(I17,"yyyy年m月d日;;"))</f>
        <v/>
      </c>
    </row>
    <row r="17" spans="1:21">
      <c r="A17" s="1761"/>
      <c r="B17" s="1680"/>
      <c r="C17" s="1681" t="s">
        <v>1956</v>
      </c>
      <c r="D17" s="1698">
        <v>69004</v>
      </c>
      <c r="E17" s="1698">
        <v>58046</v>
      </c>
      <c r="F17" s="1698">
        <v>61699</v>
      </c>
      <c r="G17" s="1698">
        <v>61699</v>
      </c>
      <c r="H17" s="1698">
        <v>61699</v>
      </c>
      <c r="I17" s="1698"/>
      <c r="J17" s="1692"/>
      <c r="K17" s="2433" t="str">
        <f>CONCATENATE(K16,L16,M16,N16,O16,P16,Q16,R16,S16,T16,,U16)</f>
        <v>住宅2088年12月2日、商业2058年12月2日、2068年12月2日、地下车库2068年12月2日、地下仓储2068年12月2日</v>
      </c>
      <c r="L17" s="1721"/>
      <c r="M17" s="1721"/>
      <c r="N17" s="1692"/>
      <c r="O17" s="1693"/>
      <c r="P17" s="1692"/>
      <c r="Q17" s="1692"/>
      <c r="R17" s="1692"/>
      <c r="S17" s="1692"/>
      <c r="T17" s="1692"/>
      <c r="U17" s="1692"/>
    </row>
    <row r="18" spans="1:21">
      <c r="A18" s="1761"/>
      <c r="B18" s="1680"/>
      <c r="C18" s="1681" t="s">
        <v>1957</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69.739999999999995</v>
      </c>
      <c r="E19" s="1683">
        <f>IF(B16="出让",IF(E17="","",ROUNDDOWN(MIN((E17-$D$3)/365,E18),2)),E18)</f>
        <v>39.72</v>
      </c>
      <c r="F19" s="1683">
        <f>IF(B16="出让",IF(F17="","",ROUNDDOWN(MIN((F17-$D$3)/365,F18),2)),F18)</f>
        <v>49.73</v>
      </c>
      <c r="G19" s="1683">
        <f>IF(B16="出让",IF(G17="","",ROUNDDOWN(MIN((G17-$D$3)/365,G18),2)),G18)</f>
        <v>49.73</v>
      </c>
      <c r="H19" s="1683">
        <f>IF(B16="出让",IF(H17="","",ROUNDDOWN(MIN((H17-$D$3)/365,H18),2)),H18)</f>
        <v>49.73</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7"/>
      <c r="E20" s="3248"/>
      <c r="F20" s="3248"/>
      <c r="G20" s="3248"/>
      <c r="H20" s="3248"/>
      <c r="I20" s="3249"/>
      <c r="J20" s="1692"/>
      <c r="K20" s="1772"/>
      <c r="L20" s="1721"/>
      <c r="M20" s="1721"/>
      <c r="N20" s="1692"/>
      <c r="O20" s="1693"/>
      <c r="P20" s="1692"/>
      <c r="Q20" s="1692"/>
      <c r="R20" s="1692"/>
      <c r="S20" s="1692"/>
      <c r="T20" s="1692"/>
      <c r="U20" s="1692"/>
    </row>
    <row r="21" spans="1:21">
      <c r="A21" s="1761" t="s">
        <v>1959</v>
      </c>
      <c r="B21" s="1762" t="s">
        <v>1960</v>
      </c>
      <c r="C21" s="1757">
        <f>'数据-汇总表'!E3</f>
        <v>48217.250000000007</v>
      </c>
      <c r="D21" s="1758" t="s">
        <v>1961</v>
      </c>
      <c r="E21" s="3237" t="s">
        <v>1999</v>
      </c>
      <c r="F21" s="3238"/>
      <c r="G21" s="3238"/>
      <c r="H21" s="3238"/>
      <c r="I21" s="3239"/>
      <c r="J21" s="1692"/>
      <c r="K21" s="1772"/>
      <c r="L21" s="1721"/>
      <c r="M21" s="1721"/>
      <c r="N21" s="1692"/>
      <c r="O21" s="1693"/>
      <c r="P21" s="1692"/>
      <c r="Q21" s="1692"/>
      <c r="R21" s="1692"/>
      <c r="S21" s="1692"/>
      <c r="T21" s="1692"/>
      <c r="U21" s="1692"/>
    </row>
    <row r="22" spans="1:21">
      <c r="A22" s="3118" t="s">
        <v>952</v>
      </c>
      <c r="B22" s="1659" t="s">
        <v>1962</v>
      </c>
      <c r="C22" s="1684">
        <f>'数据-汇总表'!D3</f>
        <v>24151.66</v>
      </c>
      <c r="D22" s="1685" t="s">
        <v>1961</v>
      </c>
      <c r="E22" s="3237" t="s">
        <v>2892</v>
      </c>
      <c r="F22" s="3238"/>
      <c r="G22" s="3238"/>
      <c r="H22" s="3238"/>
      <c r="I22" s="3239"/>
      <c r="J22" s="1692"/>
      <c r="K22" s="1772"/>
      <c r="L22" s="1721"/>
      <c r="M22" s="1721"/>
      <c r="N22" s="1692"/>
      <c r="O22" s="1693"/>
      <c r="P22" s="1692"/>
      <c r="Q22" s="1692"/>
      <c r="R22" s="1692"/>
      <c r="S22" s="1692"/>
      <c r="T22" s="1692"/>
      <c r="U22" s="1692"/>
    </row>
    <row r="23" spans="1:21" ht="29.25" thickBot="1">
      <c r="A23" s="1763" t="s">
        <v>1963</v>
      </c>
      <c r="B23" s="1699" t="s">
        <v>1964</v>
      </c>
      <c r="C23" s="1700" t="s">
        <v>3009</v>
      </c>
      <c r="D23" s="1701" t="s">
        <v>1965</v>
      </c>
      <c r="E23" s="1702" t="s">
        <v>3009</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40" t="s">
        <v>1967</v>
      </c>
      <c r="C24" s="3241"/>
      <c r="D24" s="3242" t="s">
        <v>1968</v>
      </c>
      <c r="E24" s="3243"/>
      <c r="F24" s="1706" t="s">
        <v>1969</v>
      </c>
      <c r="G24" s="1692"/>
      <c r="H24" s="1692"/>
      <c r="I24" s="1705"/>
      <c r="J24" s="1692"/>
      <c r="K24" s="3228"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28"/>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28"/>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14" t="s">
        <v>2002</v>
      </c>
      <c r="B31" s="1762" t="s">
        <v>2003</v>
      </c>
      <c r="C31" s="3253" t="s">
        <v>3010</v>
      </c>
      <c r="D31" s="3254"/>
      <c r="E31" s="1692"/>
      <c r="F31" s="1692"/>
      <c r="G31" s="1692"/>
      <c r="H31" s="1692"/>
      <c r="I31" s="1705"/>
      <c r="J31" s="1692"/>
      <c r="K31" s="2436"/>
      <c r="L31" s="1692"/>
      <c r="M31" s="1692"/>
      <c r="N31" s="1692"/>
      <c r="O31" s="1692"/>
      <c r="P31" s="1692"/>
      <c r="Q31" s="1692"/>
      <c r="R31" s="1692"/>
      <c r="S31" s="1692"/>
      <c r="T31" s="1692"/>
      <c r="U31" s="1692"/>
    </row>
    <row r="32" spans="1:21">
      <c r="A32" s="3214"/>
      <c r="B32" s="1659" t="s">
        <v>2004</v>
      </c>
      <c r="C32" s="1717" t="s">
        <v>3011</v>
      </c>
      <c r="D32" s="1718"/>
      <c r="E32" s="1692"/>
      <c r="F32" s="1692"/>
      <c r="G32" s="1692"/>
      <c r="H32" s="1692"/>
      <c r="I32" s="1705"/>
      <c r="J32" s="1692"/>
      <c r="K32" s="2436"/>
      <c r="L32" s="1692"/>
      <c r="M32" s="1692"/>
      <c r="N32" s="1692"/>
      <c r="O32" s="1692"/>
      <c r="P32" s="1692"/>
      <c r="Q32" s="1692"/>
      <c r="R32" s="1692"/>
      <c r="S32" s="1692"/>
      <c r="T32" s="1692"/>
      <c r="U32" s="1692"/>
    </row>
    <row r="33" spans="1:21">
      <c r="A33" s="3214"/>
      <c r="B33" s="1659" t="s">
        <v>2005</v>
      </c>
      <c r="C33" s="1719" t="s">
        <v>3009</v>
      </c>
      <c r="D33" s="1836"/>
      <c r="E33" s="1692"/>
      <c r="F33" s="1692"/>
      <c r="G33" s="1692"/>
      <c r="H33" s="1692"/>
      <c r="I33" s="1705"/>
      <c r="J33" s="1692"/>
      <c r="K33" s="2436"/>
      <c r="L33" s="1692"/>
      <c r="M33" s="1692"/>
      <c r="N33" s="1692"/>
      <c r="O33" s="1692"/>
      <c r="P33" s="1692"/>
      <c r="Q33" s="1692"/>
      <c r="R33" s="1692"/>
      <c r="S33" s="1692"/>
      <c r="T33" s="1692"/>
      <c r="U33" s="1692"/>
    </row>
    <row r="34" spans="1:21">
      <c r="A34" s="3215"/>
      <c r="B34" s="1659" t="s">
        <v>2006</v>
      </c>
      <c r="C34" s="3216"/>
      <c r="D34" s="3217"/>
      <c r="E34" s="1692"/>
      <c r="F34" s="1692"/>
      <c r="G34" s="1692"/>
      <c r="H34" s="1692"/>
      <c r="I34" s="1705"/>
      <c r="J34" s="1692"/>
      <c r="K34" s="2436"/>
      <c r="L34" s="1692"/>
      <c r="M34" s="1692"/>
      <c r="N34" s="1692"/>
      <c r="O34" s="1692"/>
      <c r="P34" s="1692"/>
      <c r="Q34" s="1692"/>
      <c r="R34" s="1692"/>
      <c r="S34" s="1692"/>
      <c r="T34" s="1692"/>
      <c r="U34" s="1692"/>
    </row>
    <row r="35" spans="1:21">
      <c r="A35" s="3218" t="s">
        <v>847</v>
      </c>
      <c r="B35" s="1720" t="s">
        <v>3012</v>
      </c>
      <c r="C35" s="1774" t="str">
        <f>IF(B35="场地平整","——","具体情况：")</f>
        <v>——</v>
      </c>
      <c r="D35" s="3220"/>
      <c r="E35" s="3221"/>
      <c r="F35" s="3221"/>
      <c r="G35" s="3221"/>
      <c r="H35" s="3221"/>
      <c r="I35" s="3222"/>
      <c r="J35" s="1692"/>
      <c r="K35" s="1773"/>
      <c r="L35" s="1721"/>
      <c r="M35" s="1721"/>
      <c r="N35" s="1692"/>
      <c r="O35" s="1693"/>
      <c r="P35" s="1692"/>
      <c r="Q35" s="1692"/>
      <c r="R35" s="1692"/>
      <c r="S35" s="1692"/>
      <c r="T35" s="1692"/>
      <c r="U35" s="1692"/>
    </row>
    <row r="36" spans="1:21">
      <c r="A36" s="3214"/>
      <c r="B36" s="3223" t="s">
        <v>2055</v>
      </c>
      <c r="C36" s="3224"/>
      <c r="D36" s="1790" t="s">
        <v>3013</v>
      </c>
      <c r="E36" s="3225"/>
      <c r="F36" s="3225"/>
      <c r="G36" s="1685" t="str">
        <f>IF(B35="场地未平整","估价结果处理","")</f>
        <v/>
      </c>
      <c r="H36" s="3226"/>
      <c r="I36" s="3226"/>
      <c r="J36" s="1692"/>
      <c r="K36" s="1773"/>
      <c r="L36" s="1721"/>
      <c r="M36" s="1721"/>
      <c r="N36" s="1692"/>
      <c r="O36" s="1693"/>
      <c r="P36" s="1692"/>
      <c r="Q36" s="1692"/>
      <c r="R36" s="1692"/>
      <c r="S36" s="1692"/>
      <c r="T36" s="1692"/>
      <c r="U36" s="1692"/>
    </row>
    <row r="37" spans="1:21" ht="28.5">
      <c r="A37" s="3214"/>
      <c r="B37" s="3244" t="s">
        <v>848</v>
      </c>
      <c r="C37" s="1722" t="s">
        <v>849</v>
      </c>
      <c r="D37" s="1723">
        <v>43772</v>
      </c>
      <c r="E37" s="1724"/>
      <c r="F37" s="1692"/>
      <c r="G37" s="1692"/>
      <c r="H37" s="1692"/>
      <c r="I37" s="1705"/>
      <c r="J37" s="1692"/>
      <c r="K37" s="1773"/>
      <c r="L37" s="1692"/>
      <c r="M37" s="1692"/>
      <c r="N37" s="1692"/>
      <c r="O37" s="1692"/>
      <c r="P37" s="1692"/>
      <c r="Q37" s="1692"/>
      <c r="R37" s="1692"/>
      <c r="S37" s="1692"/>
      <c r="T37" s="1692"/>
      <c r="U37" s="1692"/>
    </row>
    <row r="38" spans="1:21">
      <c r="A38" s="3214"/>
      <c r="B38" s="3245"/>
      <c r="C38" s="1667" t="s">
        <v>850</v>
      </c>
      <c r="D38" s="1789">
        <f>ROUNDDOWN(MIN(('数据-取费表'!$B$2-D37)/365,D34),1)</f>
        <v>-0.6</v>
      </c>
      <c r="E38" s="1725" t="s">
        <v>851</v>
      </c>
      <c r="F38" s="1692"/>
      <c r="G38" s="1692"/>
      <c r="H38" s="1692"/>
      <c r="I38" s="1705"/>
      <c r="J38" s="1692"/>
      <c r="K38" s="1773"/>
      <c r="L38" s="1692"/>
      <c r="M38" s="1692"/>
      <c r="N38" s="1692"/>
      <c r="O38" s="1692"/>
      <c r="P38" s="1692"/>
      <c r="Q38" s="1692"/>
      <c r="R38" s="1692"/>
      <c r="S38" s="1692"/>
      <c r="T38" s="1692"/>
      <c r="U38" s="1692"/>
    </row>
    <row r="39" spans="1:21">
      <c r="A39" s="3215"/>
      <c r="B39" s="3246"/>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3014</v>
      </c>
      <c r="C40" s="1688" t="s">
        <v>3015</v>
      </c>
      <c r="D40" s="1688" t="s">
        <v>3016</v>
      </c>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27" t="s">
        <v>1986</v>
      </c>
      <c r="T40" s="1729" t="str">
        <f>NUMBERSTRING(7-K40,1)&amp;"通"</f>
        <v>七通</v>
      </c>
      <c r="U40" s="1692"/>
    </row>
    <row r="41" spans="1:21">
      <c r="A41" s="1661"/>
      <c r="B41" s="3219" t="s">
        <v>1722</v>
      </c>
      <c r="C41" s="3219"/>
      <c r="D41" s="3219"/>
      <c r="E41" s="3219"/>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27"/>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t="s">
        <v>1416</v>
      </c>
      <c r="C43" s="1736" t="s">
        <v>1416</v>
      </c>
      <c r="D43" s="1736" t="s">
        <v>1416</v>
      </c>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5" customFormat="1" ht="21" thickBot="1">
      <c r="A45" s="3046" t="s">
        <v>2893</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2334</v>
      </c>
      <c r="BA2" s="2339"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24151.66</v>
      </c>
      <c r="B3" s="22">
        <f>IF(C3="否",G5-AT5,G5)</f>
        <v>48217.250000000007</v>
      </c>
      <c r="C3" s="23" t="s">
        <v>3009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48217.250000000007</v>
      </c>
      <c r="H5" s="27">
        <f t="shared" ref="H5:AT5" si="0">SUM(H13:H641)</f>
        <v>48047.250000000007</v>
      </c>
      <c r="I5" s="27">
        <f t="shared" si="0"/>
        <v>25240.000000000004</v>
      </c>
      <c r="J5" s="27">
        <f t="shared" si="0"/>
        <v>0</v>
      </c>
      <c r="K5" s="27">
        <f t="shared" si="0"/>
        <v>14051.610000000002</v>
      </c>
      <c r="L5" s="27">
        <f t="shared" si="0"/>
        <v>0</v>
      </c>
      <c r="M5" s="27">
        <f t="shared" si="0"/>
        <v>8755.64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v>
      </c>
      <c r="AD5" s="27">
        <f t="shared" si="0"/>
        <v>120</v>
      </c>
      <c r="AE5" s="27">
        <f t="shared" si="0"/>
        <v>0</v>
      </c>
      <c r="AF5" s="27">
        <f t="shared" si="0"/>
        <v>50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48217.250000000007</v>
      </c>
      <c r="BA5" s="29">
        <f t="shared" si="1"/>
        <v>48047.250000000007</v>
      </c>
      <c r="BB5" s="29">
        <f t="shared" si="1"/>
        <v>25240.000000000004</v>
      </c>
      <c r="BC5" s="29">
        <f t="shared" si="1"/>
        <v>14051.610000000002</v>
      </c>
      <c r="BD5" s="29">
        <f t="shared" si="1"/>
        <v>8755.64</v>
      </c>
      <c r="BE5" s="29">
        <f t="shared" si="1"/>
        <v>0</v>
      </c>
      <c r="BF5" s="29">
        <f t="shared" si="1"/>
        <v>0</v>
      </c>
      <c r="BG5" s="29">
        <f t="shared" si="1"/>
        <v>0</v>
      </c>
      <c r="BH5" s="29">
        <f t="shared" si="1"/>
        <v>0</v>
      </c>
      <c r="BI5" s="29">
        <f t="shared" si="1"/>
        <v>0</v>
      </c>
      <c r="BJ5" s="29">
        <f t="shared" si="1"/>
        <v>0</v>
      </c>
      <c r="BK5" s="29">
        <f t="shared" si="1"/>
        <v>0</v>
      </c>
      <c r="BL5" s="29">
        <f t="shared" si="1"/>
        <v>170</v>
      </c>
      <c r="BM5" s="29">
        <f t="shared" si="1"/>
        <v>120</v>
      </c>
      <c r="BN5" s="29">
        <f t="shared" si="1"/>
        <v>50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24151.660000000003</v>
      </c>
      <c r="F6" s="27" t="s">
        <v>1</v>
      </c>
      <c r="G6" s="27" t="s">
        <v>2</v>
      </c>
      <c r="H6" s="33">
        <f>SUMIF(I$12:AB$12,"总值",I6:AB6)</f>
        <v>24066.510000000002</v>
      </c>
      <c r="I6" s="27">
        <f t="shared" ref="I6:AB6" si="2">ROUND($A$3*I5/$B$3,2)</f>
        <v>12642.53</v>
      </c>
      <c r="J6" s="27">
        <f t="shared" si="2"/>
        <v>0</v>
      </c>
      <c r="K6" s="27">
        <f t="shared" si="2"/>
        <v>7038.35</v>
      </c>
      <c r="L6" s="27">
        <f t="shared" si="2"/>
        <v>0</v>
      </c>
      <c r="M6" s="27">
        <f t="shared" si="2"/>
        <v>4385.63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85.15</v>
      </c>
      <c r="AD6" s="27">
        <f t="shared" ref="AD6:AS6" si="3">ROUND($A$3*AD5/$B$3,2)</f>
        <v>60.11</v>
      </c>
      <c r="AE6" s="27">
        <f t="shared" si="3"/>
        <v>0</v>
      </c>
      <c r="AF6" s="27">
        <f t="shared" si="3"/>
        <v>25.04</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24151.66</v>
      </c>
      <c r="AZ6" s="27" t="s">
        <v>3</v>
      </c>
      <c r="BA6" s="27">
        <f>ROUND($AY$6*BA5/$AZ$5,2)</f>
        <v>24066.51</v>
      </c>
      <c r="BB6" s="27">
        <f>ROUND($AY$6*BB5/$AZ$5,2)</f>
        <v>12642.53</v>
      </c>
      <c r="BC6" s="27">
        <f t="shared" ref="BC6:BH6" si="4">ROUND($AY$6*BC5/$AZ$5,2)</f>
        <v>7038.35</v>
      </c>
      <c r="BD6" s="27">
        <f t="shared" si="4"/>
        <v>4385.63</v>
      </c>
      <c r="BE6" s="27">
        <f t="shared" si="4"/>
        <v>0</v>
      </c>
      <c r="BF6" s="27">
        <f t="shared" si="4"/>
        <v>0</v>
      </c>
      <c r="BG6" s="27">
        <f t="shared" si="4"/>
        <v>0</v>
      </c>
      <c r="BH6" s="27">
        <f t="shared" si="4"/>
        <v>0</v>
      </c>
      <c r="BI6" s="27">
        <f t="shared" ref="BI6:BT6" si="5">ROUND($AY$6*BI5/$AZ$5,2)</f>
        <v>0</v>
      </c>
      <c r="BJ6" s="27">
        <f t="shared" si="5"/>
        <v>0</v>
      </c>
      <c r="BK6" s="27">
        <f t="shared" si="5"/>
        <v>0</v>
      </c>
      <c r="BL6" s="27">
        <f t="shared" si="5"/>
        <v>85.15</v>
      </c>
      <c r="BM6" s="27">
        <f t="shared" si="5"/>
        <v>60.11</v>
      </c>
      <c r="BN6" s="27">
        <f t="shared" si="5"/>
        <v>25.04</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3032</v>
      </c>
      <c r="J9" s="51"/>
      <c r="K9" s="2991" t="s">
        <v>3034</v>
      </c>
      <c r="L9" s="51"/>
      <c r="M9" s="2991" t="s">
        <v>3034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923</v>
      </c>
      <c r="J10" s="51"/>
      <c r="K10" s="2993" t="s">
        <v>3035</v>
      </c>
      <c r="L10" s="51"/>
      <c r="M10" s="2993" t="s">
        <v>3037</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3033</v>
      </c>
      <c r="J11" s="71"/>
      <c r="K11" s="2992" t="s">
        <v>3036</v>
      </c>
      <c r="L11" s="71"/>
      <c r="M11" s="70" t="s">
        <v>3037</v>
      </c>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戊类库房</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t="s">
        <v>3017</v>
      </c>
      <c r="D13" s="2989" t="s">
        <v>1679</v>
      </c>
      <c r="E13" s="27">
        <f t="shared" ref="E13:E20" si="6">IF($C$3="是",ROUND($A$3*G13/$B$3,2),ROUND($A$3*(G13-AT13)/$B$3,2))</f>
        <v>2801.83</v>
      </c>
      <c r="F13" s="81"/>
      <c r="G13" s="82">
        <f t="shared" ref="G13:G20" si="7">H13+AC13+AT13</f>
        <v>5593.68</v>
      </c>
      <c r="H13" s="33">
        <f t="shared" ref="H13:H20" si="8">SUMIF(I$12:AB$12,"总值",I13:AB13)</f>
        <v>5593.68</v>
      </c>
      <c r="I13" s="2990">
        <v>3711.17</v>
      </c>
      <c r="J13" s="2990"/>
      <c r="K13" s="2990">
        <v>1882.51</v>
      </c>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1#住宅楼</v>
      </c>
      <c r="AY13" s="995">
        <f t="shared" ref="AY13:AY20" si="11">ROUND($AY$6*AZ13/$AZ$5,2)</f>
        <v>2801.83</v>
      </c>
      <c r="AZ13" s="27">
        <f t="shared" ref="AZ13:AZ20" si="12">BA13+BL13</f>
        <v>5593.68</v>
      </c>
      <c r="BA13" s="27">
        <f t="shared" ref="BA13:BA20" si="13">SUM(BB13:BK13)</f>
        <v>5593.68</v>
      </c>
      <c r="BB13" s="27">
        <f t="shared" ref="BB13:BB20" si="14">IF($D13="是",I13-J13,0)</f>
        <v>3711.17</v>
      </c>
      <c r="BC13" s="27">
        <f t="shared" ref="BC13:BC20" si="15">IF($D13="是",K13-L13,0)</f>
        <v>1882.51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88" t="s">
        <v>3018</v>
      </c>
      <c r="D14" s="2989" t="s">
        <v>1679</v>
      </c>
      <c r="E14" s="27">
        <f t="shared" si="6"/>
        <v>2334.11</v>
      </c>
      <c r="F14" s="81"/>
      <c r="G14" s="82">
        <f t="shared" si="7"/>
        <v>4659.91</v>
      </c>
      <c r="H14" s="33">
        <f t="shared" si="8"/>
        <v>4659.91</v>
      </c>
      <c r="I14" s="2990">
        <v>3097.25</v>
      </c>
      <c r="J14" s="2990"/>
      <c r="K14" s="2990">
        <v>1562.66</v>
      </c>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t="str">
        <f t="shared" si="10"/>
        <v>2#住宅楼</v>
      </c>
      <c r="AY14" s="995">
        <f t="shared" si="11"/>
        <v>2334.11</v>
      </c>
      <c r="AZ14" s="27">
        <f t="shared" si="12"/>
        <v>4659.91</v>
      </c>
      <c r="BA14" s="27">
        <f t="shared" si="13"/>
        <v>4659.91</v>
      </c>
      <c r="BB14" s="27">
        <f t="shared" si="14"/>
        <v>3097.25</v>
      </c>
      <c r="BC14" s="27">
        <f t="shared" si="15"/>
        <v>1562.66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88" t="s">
        <v>3019</v>
      </c>
      <c r="D15" s="2989" t="s">
        <v>1679</v>
      </c>
      <c r="E15" s="27">
        <f t="shared" si="6"/>
        <v>1117.69</v>
      </c>
      <c r="F15" s="81"/>
      <c r="G15" s="82">
        <f t="shared" si="7"/>
        <v>2231.4</v>
      </c>
      <c r="H15" s="33">
        <f t="shared" si="8"/>
        <v>2231.4</v>
      </c>
      <c r="I15" s="2990">
        <v>1241.6300000000001</v>
      </c>
      <c r="J15" s="2990"/>
      <c r="K15" s="2990">
        <v>989.77</v>
      </c>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t="str">
        <f t="shared" si="10"/>
        <v>3#住宅楼</v>
      </c>
      <c r="AY15" s="995">
        <f t="shared" si="11"/>
        <v>1117.69</v>
      </c>
      <c r="AZ15" s="27">
        <f t="shared" si="12"/>
        <v>2231.4</v>
      </c>
      <c r="BA15" s="27">
        <f t="shared" si="13"/>
        <v>2231.4</v>
      </c>
      <c r="BB15" s="27">
        <f t="shared" si="14"/>
        <v>1241.6300000000001</v>
      </c>
      <c r="BC15" s="27">
        <f t="shared" si="15"/>
        <v>989.77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88" t="s">
        <v>3020</v>
      </c>
      <c r="D16" s="2989" t="s">
        <v>1679</v>
      </c>
      <c r="E16" s="27">
        <f t="shared" si="6"/>
        <v>1429.13</v>
      </c>
      <c r="F16" s="81"/>
      <c r="G16" s="82">
        <f t="shared" si="7"/>
        <v>2853.17</v>
      </c>
      <c r="H16" s="33">
        <f t="shared" si="8"/>
        <v>2853.17</v>
      </c>
      <c r="I16" s="2990">
        <v>1860.4</v>
      </c>
      <c r="J16" s="2990"/>
      <c r="K16" s="2990">
        <v>992.77</v>
      </c>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t="str">
        <f t="shared" si="10"/>
        <v>4#住宅楼</v>
      </c>
      <c r="AY16" s="995">
        <f t="shared" si="11"/>
        <v>1429.13</v>
      </c>
      <c r="AZ16" s="27">
        <f t="shared" si="12"/>
        <v>2853.17</v>
      </c>
      <c r="BA16" s="27">
        <f t="shared" si="13"/>
        <v>2853.17</v>
      </c>
      <c r="BB16" s="27">
        <f t="shared" si="14"/>
        <v>1860.4</v>
      </c>
      <c r="BC16" s="27">
        <f t="shared" si="15"/>
        <v>992.77</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88" t="s">
        <v>3021</v>
      </c>
      <c r="D17" s="2989" t="s">
        <v>1679</v>
      </c>
      <c r="E17" s="27">
        <f t="shared" si="6"/>
        <v>2726.15</v>
      </c>
      <c r="F17" s="81"/>
      <c r="G17" s="82">
        <f t="shared" si="7"/>
        <v>5442.58</v>
      </c>
      <c r="H17" s="33">
        <f t="shared" si="8"/>
        <v>5442.58</v>
      </c>
      <c r="I17" s="2990">
        <v>3711.17</v>
      </c>
      <c r="J17" s="2990"/>
      <c r="K17" s="2990">
        <v>1731.41</v>
      </c>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t="str">
        <f t="shared" si="10"/>
        <v>5#住宅楼</v>
      </c>
      <c r="AY17" s="995">
        <f t="shared" si="11"/>
        <v>2726.15</v>
      </c>
      <c r="AZ17" s="27">
        <f t="shared" si="12"/>
        <v>5442.58</v>
      </c>
      <c r="BA17" s="27">
        <f t="shared" si="13"/>
        <v>5442.58</v>
      </c>
      <c r="BB17" s="27">
        <f t="shared" si="14"/>
        <v>3711.17</v>
      </c>
      <c r="BC17" s="27">
        <f t="shared" si="15"/>
        <v>1731.41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88" t="s">
        <v>3022</v>
      </c>
      <c r="D18" s="2989" t="s">
        <v>1679</v>
      </c>
      <c r="E18" s="87">
        <f t="shared" si="6"/>
        <v>1426.7</v>
      </c>
      <c r="F18" s="88"/>
      <c r="G18" s="89">
        <f t="shared" si="7"/>
        <v>2848.31</v>
      </c>
      <c r="H18" s="90">
        <f t="shared" si="8"/>
        <v>2848.31</v>
      </c>
      <c r="I18" s="1394">
        <v>1855.54</v>
      </c>
      <c r="J18" s="91"/>
      <c r="K18" s="1394">
        <v>992.77</v>
      </c>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t="str">
        <f t="shared" si="10"/>
        <v>6#住宅楼</v>
      </c>
      <c r="AY18" s="95">
        <f t="shared" si="11"/>
        <v>1426.7</v>
      </c>
      <c r="AZ18" s="87">
        <f t="shared" si="12"/>
        <v>2848.31</v>
      </c>
      <c r="BA18" s="87">
        <f t="shared" si="13"/>
        <v>2848.31</v>
      </c>
      <c r="BB18" s="87">
        <f t="shared" si="14"/>
        <v>1855.54</v>
      </c>
      <c r="BC18" s="87">
        <f t="shared" si="15"/>
        <v>992.77</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2988" t="s">
        <v>3023</v>
      </c>
      <c r="D19" s="2989" t="s">
        <v>1679</v>
      </c>
      <c r="E19" s="87">
        <f t="shared" si="6"/>
        <v>1426.7</v>
      </c>
      <c r="F19" s="88"/>
      <c r="G19" s="89">
        <f t="shared" si="7"/>
        <v>2848.31</v>
      </c>
      <c r="H19" s="90">
        <f t="shared" si="8"/>
        <v>2848.31</v>
      </c>
      <c r="I19" s="1394">
        <v>1855.54</v>
      </c>
      <c r="J19" s="91"/>
      <c r="K19" s="1394">
        <v>992.77</v>
      </c>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t="str">
        <f t="shared" si="10"/>
        <v>7#住宅楼</v>
      </c>
      <c r="AY19" s="95">
        <f t="shared" si="11"/>
        <v>1426.7</v>
      </c>
      <c r="AZ19" s="87">
        <f t="shared" si="12"/>
        <v>2848.31</v>
      </c>
      <c r="BA19" s="87">
        <f t="shared" si="13"/>
        <v>2848.31</v>
      </c>
      <c r="BB19" s="87">
        <f t="shared" si="14"/>
        <v>1855.54</v>
      </c>
      <c r="BC19" s="87">
        <f t="shared" si="15"/>
        <v>992.77</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2988" t="s">
        <v>3024</v>
      </c>
      <c r="D20" s="2989" t="s">
        <v>1679</v>
      </c>
      <c r="E20" s="87">
        <f t="shared" si="6"/>
        <v>1412.47</v>
      </c>
      <c r="F20" s="88"/>
      <c r="G20" s="89">
        <f t="shared" si="7"/>
        <v>2819.9</v>
      </c>
      <c r="H20" s="90">
        <f t="shared" si="8"/>
        <v>2819.9</v>
      </c>
      <c r="I20" s="1394">
        <v>1855.54</v>
      </c>
      <c r="J20" s="91"/>
      <c r="K20" s="1394">
        <v>964.36</v>
      </c>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t="str">
        <f t="shared" si="10"/>
        <v>8#住宅楼</v>
      </c>
      <c r="AY20" s="95">
        <f t="shared" si="11"/>
        <v>1412.47</v>
      </c>
      <c r="AZ20" s="87">
        <f t="shared" si="12"/>
        <v>2819.9</v>
      </c>
      <c r="BA20" s="87">
        <f t="shared" si="13"/>
        <v>2819.9</v>
      </c>
      <c r="BB20" s="87">
        <f t="shared" si="14"/>
        <v>1855.54</v>
      </c>
      <c r="BC20" s="87">
        <f t="shared" si="15"/>
        <v>964.36</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2988" t="s">
        <v>3025</v>
      </c>
      <c r="D21" s="2989" t="s">
        <v>1679</v>
      </c>
      <c r="E21" s="87">
        <f t="shared" ref="E21:E112" si="33">IF($C$3="是",ROUND($A$3*G21/$B$3,2),ROUND($A$3*(G21-AT21)/$B$3,2))</f>
        <v>2341.13</v>
      </c>
      <c r="F21" s="88"/>
      <c r="G21" s="89">
        <f t="shared" ref="G21:G109" si="34">H21+AC21+AT21</f>
        <v>4673.91</v>
      </c>
      <c r="H21" s="90">
        <f t="shared" ref="H21:H109" si="35">SUMIF(I$12:AB$12,"总值",I21:AB21)</f>
        <v>4673.91</v>
      </c>
      <c r="I21" s="1396">
        <v>3102.1</v>
      </c>
      <c r="J21" s="91"/>
      <c r="K21" s="1396">
        <v>1571.81</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2341.13</v>
      </c>
      <c r="AZ21" s="87">
        <f t="shared" ref="AZ21:AZ109" si="41">BA21+BL21</f>
        <v>4673.91</v>
      </c>
      <c r="BA21" s="87">
        <f t="shared" ref="BA21:BA109" si="42">SUM(BB21:BK21)</f>
        <v>4673.91</v>
      </c>
      <c r="BB21" s="87">
        <f t="shared" ref="BB21:BB109" si="43">IF($D21="是",I21-J21,0)</f>
        <v>3102.1</v>
      </c>
      <c r="BC21" s="87">
        <f t="shared" ref="BC21:BC109" si="44">IF($D21="是",K21-L21,0)</f>
        <v>1571.81</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2988" t="s">
        <v>3026</v>
      </c>
      <c r="D22" s="2989" t="s">
        <v>1679</v>
      </c>
      <c r="E22" s="87">
        <f t="shared" si="33"/>
        <v>665.21</v>
      </c>
      <c r="F22" s="88"/>
      <c r="G22" s="89">
        <f t="shared" si="34"/>
        <v>1328.0500000000002</v>
      </c>
      <c r="H22" s="90">
        <f t="shared" si="35"/>
        <v>1328.0500000000002</v>
      </c>
      <c r="I22" s="1396">
        <v>736.2</v>
      </c>
      <c r="J22" s="91"/>
      <c r="K22" s="1396">
        <v>591.85</v>
      </c>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t="str">
        <f t="shared" si="39"/>
        <v>10#住宅楼</v>
      </c>
      <c r="AY22" s="95">
        <f t="shared" si="40"/>
        <v>665.21</v>
      </c>
      <c r="AZ22" s="87">
        <f t="shared" si="41"/>
        <v>1328.0500000000002</v>
      </c>
      <c r="BA22" s="87">
        <f t="shared" si="42"/>
        <v>1328.0500000000002</v>
      </c>
      <c r="BB22" s="87">
        <f t="shared" si="43"/>
        <v>736.2</v>
      </c>
      <c r="BC22" s="87">
        <f t="shared" si="44"/>
        <v>591.85</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2988" t="s">
        <v>3027</v>
      </c>
      <c r="D23" s="2989" t="s">
        <v>1679</v>
      </c>
      <c r="E23" s="87">
        <f t="shared" si="33"/>
        <v>665.46</v>
      </c>
      <c r="F23" s="88"/>
      <c r="G23" s="89">
        <f t="shared" si="34"/>
        <v>1328.5500000000002</v>
      </c>
      <c r="H23" s="90">
        <f t="shared" si="35"/>
        <v>1328.5500000000002</v>
      </c>
      <c r="I23" s="1396">
        <v>736.2</v>
      </c>
      <c r="J23" s="91"/>
      <c r="K23" s="1396">
        <v>592.35</v>
      </c>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t="str">
        <f t="shared" si="39"/>
        <v>11#住宅楼</v>
      </c>
      <c r="AY23" s="95">
        <f t="shared" si="40"/>
        <v>665.46</v>
      </c>
      <c r="AZ23" s="87">
        <f t="shared" si="41"/>
        <v>1328.5500000000002</v>
      </c>
      <c r="BA23" s="87">
        <f t="shared" si="42"/>
        <v>1328.5500000000002</v>
      </c>
      <c r="BB23" s="87">
        <f t="shared" si="43"/>
        <v>736.2</v>
      </c>
      <c r="BC23" s="87">
        <f t="shared" si="44"/>
        <v>592.35</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2988" t="s">
        <v>3028</v>
      </c>
      <c r="D24" s="2989" t="s">
        <v>1679</v>
      </c>
      <c r="E24" s="87">
        <f t="shared" si="33"/>
        <v>665.83</v>
      </c>
      <c r="F24" s="88"/>
      <c r="G24" s="89">
        <f t="shared" si="34"/>
        <v>1329.29</v>
      </c>
      <c r="H24" s="90">
        <f t="shared" si="35"/>
        <v>1329.29</v>
      </c>
      <c r="I24" s="1396">
        <v>736.2</v>
      </c>
      <c r="J24" s="91"/>
      <c r="K24" s="1396">
        <v>593.09</v>
      </c>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t="str">
        <f t="shared" si="39"/>
        <v>12#住宅楼</v>
      </c>
      <c r="AY24" s="95">
        <f t="shared" si="40"/>
        <v>665.83</v>
      </c>
      <c r="AZ24" s="87">
        <f t="shared" si="41"/>
        <v>1329.29</v>
      </c>
      <c r="BA24" s="87">
        <f t="shared" si="42"/>
        <v>1329.29</v>
      </c>
      <c r="BB24" s="87">
        <f t="shared" si="43"/>
        <v>736.2</v>
      </c>
      <c r="BC24" s="87">
        <f t="shared" si="44"/>
        <v>593.09</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2988" t="s">
        <v>3029</v>
      </c>
      <c r="D25" s="2989" t="s">
        <v>1679</v>
      </c>
      <c r="E25" s="87">
        <f t="shared" si="33"/>
        <v>668.47</v>
      </c>
      <c r="F25" s="88"/>
      <c r="G25" s="89">
        <f t="shared" si="34"/>
        <v>1334.55</v>
      </c>
      <c r="H25" s="90">
        <f t="shared" si="35"/>
        <v>1334.55</v>
      </c>
      <c r="I25" s="1396">
        <v>741.06</v>
      </c>
      <c r="J25" s="91"/>
      <c r="K25" s="1396">
        <v>593.49</v>
      </c>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t="str">
        <f t="shared" si="39"/>
        <v>13#住宅楼</v>
      </c>
      <c r="AY25" s="95">
        <f t="shared" si="40"/>
        <v>668.47</v>
      </c>
      <c r="AZ25" s="87">
        <f t="shared" si="41"/>
        <v>1334.55</v>
      </c>
      <c r="BA25" s="87">
        <f t="shared" si="42"/>
        <v>1334.55</v>
      </c>
      <c r="BB25" s="87">
        <f t="shared" si="43"/>
        <v>741.06</v>
      </c>
      <c r="BC25" s="87">
        <f t="shared" si="44"/>
        <v>593.49</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1393"/>
      <c r="C26" s="2988" t="s">
        <v>3030</v>
      </c>
      <c r="D26" s="2989" t="s">
        <v>1679</v>
      </c>
      <c r="E26" s="87">
        <f t="shared" si="33"/>
        <v>85.15</v>
      </c>
      <c r="F26" s="88"/>
      <c r="G26" s="89">
        <f t="shared" si="34"/>
        <v>170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170</v>
      </c>
      <c r="AD26" s="92">
        <v>120</v>
      </c>
      <c r="AE26" s="92"/>
      <c r="AF26" s="1397">
        <v>50</v>
      </c>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14#配套设施</v>
      </c>
      <c r="AY26" s="95">
        <f t="shared" si="40"/>
        <v>85.15</v>
      </c>
      <c r="AZ26" s="87">
        <f t="shared" si="41"/>
        <v>170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170</v>
      </c>
      <c r="BM26" s="87">
        <f t="shared" si="54"/>
        <v>120</v>
      </c>
      <c r="BN26" s="87">
        <f t="shared" si="55"/>
        <v>50</v>
      </c>
      <c r="BO26" s="87">
        <f t="shared" si="56"/>
        <v>0</v>
      </c>
      <c r="BP26" s="87">
        <f t="shared" si="57"/>
        <v>0</v>
      </c>
      <c r="BQ26" s="87">
        <f t="shared" si="58"/>
        <v>0</v>
      </c>
      <c r="BR26" s="87">
        <f t="shared" si="59"/>
        <v>0</v>
      </c>
      <c r="BS26" s="87">
        <f t="shared" si="60"/>
        <v>0</v>
      </c>
      <c r="BT26" s="96">
        <f t="shared" si="61"/>
        <v>0</v>
      </c>
    </row>
    <row r="27" spans="1:72">
      <c r="A27" s="84"/>
      <c r="B27" s="1393"/>
      <c r="C27" s="1394" t="s">
        <v>3031</v>
      </c>
      <c r="D27" s="2989" t="s">
        <v>1679</v>
      </c>
      <c r="E27" s="87">
        <f t="shared" si="33"/>
        <v>4385.63</v>
      </c>
      <c r="F27" s="88"/>
      <c r="G27" s="89">
        <f t="shared" si="34"/>
        <v>8755.64</v>
      </c>
      <c r="H27" s="90">
        <f t="shared" si="35"/>
        <v>8755.64</v>
      </c>
      <c r="I27" s="1396"/>
      <c r="J27" s="91"/>
      <c r="K27" s="1396"/>
      <c r="L27" s="91"/>
      <c r="M27" s="91">
        <v>8755.64</v>
      </c>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地下车库</v>
      </c>
      <c r="AY27" s="95">
        <f t="shared" si="40"/>
        <v>4385.63</v>
      </c>
      <c r="AZ27" s="87">
        <f t="shared" si="41"/>
        <v>8755.64</v>
      </c>
      <c r="BA27" s="87">
        <f t="shared" si="42"/>
        <v>8755.64</v>
      </c>
      <c r="BB27" s="87">
        <f t="shared" si="43"/>
        <v>0</v>
      </c>
      <c r="BC27" s="87">
        <f t="shared" si="44"/>
        <v>0</v>
      </c>
      <c r="BD27" s="87">
        <f t="shared" si="45"/>
        <v>8755.64</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I31" sqref="I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66" t="s">
        <v>203</v>
      </c>
      <c r="B2" s="3266"/>
      <c r="C2" s="3266"/>
      <c r="D2" s="1974" t="s">
        <v>204</v>
      </c>
      <c r="E2" s="106" t="s">
        <v>205</v>
      </c>
      <c r="F2" s="1983"/>
      <c r="G2" s="1197"/>
      <c r="H2" s="1198"/>
      <c r="I2" s="1199" t="s">
        <v>857</v>
      </c>
      <c r="J2" s="1983"/>
      <c r="K2" s="1983"/>
      <c r="L2" s="1983"/>
    </row>
    <row r="3" spans="1:16" ht="15.75" thickBot="1">
      <c r="A3" s="3267" t="s">
        <v>206</v>
      </c>
      <c r="B3" s="3267"/>
      <c r="C3" s="3267"/>
      <c r="D3" s="107">
        <f>'数据-基础表'!AY6</f>
        <v>24151.66</v>
      </c>
      <c r="E3" s="107">
        <f>'数据-基础表'!AZ5</f>
        <v>48217.250000000007</v>
      </c>
      <c r="F3" s="1983"/>
      <c r="G3" s="279" t="s">
        <v>858</v>
      </c>
      <c r="H3" s="274" t="s">
        <v>859</v>
      </c>
      <c r="I3" s="1975">
        <f>ROUND('数据-基础表'!B3/'数据-基础表'!A3,2)</f>
        <v>2</v>
      </c>
      <c r="J3" s="1983"/>
      <c r="K3" s="1983"/>
      <c r="L3" s="1983"/>
    </row>
    <row r="4" spans="1:16" ht="15">
      <c r="A4" s="3268"/>
      <c r="B4" s="3269"/>
      <c r="C4" s="3270"/>
      <c r="D4" s="108" t="s">
        <v>204</v>
      </c>
      <c r="E4" s="109" t="s">
        <v>205</v>
      </c>
      <c r="F4" s="1983"/>
      <c r="G4" s="1200"/>
      <c r="H4" s="274" t="s">
        <v>860</v>
      </c>
      <c r="I4" s="1975">
        <f>ROUND(SUMIF('数据-基础表'!I9:AS9,"地上",'数据-基础表'!I5:AS5)/'数据-基础表'!A3,2)</f>
        <v>1.05</v>
      </c>
      <c r="J4" s="1983"/>
      <c r="K4" s="1983"/>
      <c r="L4" s="1983"/>
    </row>
    <row r="5" spans="1:16">
      <c r="A5" s="110" t="s">
        <v>207</v>
      </c>
      <c r="B5" s="3271" t="s">
        <v>230</v>
      </c>
      <c r="C5" s="3271"/>
      <c r="D5" s="111">
        <f>ROUND($D$3*E5/$E$3,2)</f>
        <v>12642.53</v>
      </c>
      <c r="E5" s="112">
        <f>SUMIF('数据-基础表'!$11:$11,"住宅",'数据-基础表'!$5:$5)</f>
        <v>25240.000000000004</v>
      </c>
      <c r="F5" s="1983"/>
      <c r="G5" s="279" t="s">
        <v>861</v>
      </c>
      <c r="H5" s="274" t="s">
        <v>859</v>
      </c>
      <c r="I5" s="1975">
        <f>ROUND(E31/D31,2)</f>
        <v>2</v>
      </c>
      <c r="J5" s="1983"/>
      <c r="K5" s="1983"/>
      <c r="L5" s="1983"/>
    </row>
    <row r="6" spans="1:16" ht="15" thickBot="1">
      <c r="A6" s="113"/>
      <c r="B6" s="3271" t="s">
        <v>208</v>
      </c>
      <c r="C6" s="3271"/>
      <c r="D6" s="111">
        <f>ROUND($D$3*E6/$E$3,2)</f>
        <v>11509.13</v>
      </c>
      <c r="E6" s="112">
        <f>E3-E5</f>
        <v>22977.250000000004</v>
      </c>
      <c r="F6" s="1983"/>
      <c r="G6" s="1200"/>
      <c r="H6" s="274" t="s">
        <v>860</v>
      </c>
      <c r="I6" s="1975">
        <f>ROUND(F31/D31,2)</f>
        <v>1.05</v>
      </c>
      <c r="J6" s="1983"/>
      <c r="K6" s="1983"/>
      <c r="L6" s="1983"/>
    </row>
    <row r="7" spans="1:16" ht="15">
      <c r="A7" s="3263"/>
      <c r="B7" s="3264"/>
      <c r="C7" s="3265"/>
      <c r="D7" s="108" t="s">
        <v>204</v>
      </c>
      <c r="E7" s="114" t="s">
        <v>231</v>
      </c>
      <c r="F7" s="1983"/>
      <c r="G7" s="1155" t="s">
        <v>1646</v>
      </c>
      <c r="H7" s="1156"/>
      <c r="I7" s="1845"/>
      <c r="J7" s="1983"/>
      <c r="K7" s="1983"/>
      <c r="L7" s="1983"/>
    </row>
    <row r="8" spans="1:16">
      <c r="A8" s="110" t="s">
        <v>209</v>
      </c>
      <c r="B8" s="115" t="s">
        <v>210</v>
      </c>
      <c r="C8" s="111" t="s">
        <v>211</v>
      </c>
      <c r="D8" s="111">
        <f t="shared" ref="D8:D15" si="0">ROUND($D$3*E8/$E$3,2)</f>
        <v>12642.53</v>
      </c>
      <c r="E8" s="116">
        <f>SUMIF('数据-基础表'!BB10:BK10,"地上",'数据-基础表'!BB5:BK5)</f>
        <v>25240.000000000004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7038.35</v>
      </c>
      <c r="E12" s="116">
        <f>SUMPRODUCT(('数据-基础表'!BB10:BK10="地下")*('数据-基础表'!BB11:BK11="仓储")*('数据-基础表'!BB5:BK5))</f>
        <v>14051.610000000002</v>
      </c>
      <c r="F12" s="1983"/>
      <c r="G12" s="1985"/>
      <c r="H12" s="1985"/>
      <c r="I12" s="1983"/>
      <c r="J12" s="1983"/>
      <c r="K12" s="1983"/>
      <c r="L12" s="1983"/>
    </row>
    <row r="13" spans="1:16">
      <c r="A13" s="117"/>
      <c r="B13" s="118"/>
      <c r="C13" s="2330" t="s">
        <v>2335</v>
      </c>
      <c r="D13" s="111">
        <f t="shared" si="0"/>
        <v>4385.63</v>
      </c>
      <c r="E13" s="116">
        <f>SUMPRODUCT(('数据-基础表'!BB10:BK10="地下")*('数据-基础表'!BB11:BK11="车库")*('数据-基础表'!BB5:BK5))</f>
        <v>8755.64</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24066.510000000002</v>
      </c>
      <c r="E16" s="120">
        <f>SUM(E8:E15)</f>
        <v>48047.250000000007</v>
      </c>
      <c r="F16" s="1983"/>
      <c r="G16" s="1985"/>
      <c r="H16" s="967" t="s">
        <v>219</v>
      </c>
      <c r="I16" s="968"/>
      <c r="J16" s="1983"/>
      <c r="K16" s="3257" t="s">
        <v>2567</v>
      </c>
      <c r="L16" s="3258"/>
      <c r="M16" s="3258"/>
      <c r="N16" s="3258"/>
      <c r="O16" s="3258"/>
      <c r="P16" s="3259"/>
    </row>
    <row r="17" spans="1:19" ht="15">
      <c r="A17" s="121" t="s">
        <v>216</v>
      </c>
      <c r="B17" s="122" t="s">
        <v>217</v>
      </c>
      <c r="C17" s="2297" t="s">
        <v>2314</v>
      </c>
      <c r="D17" s="108" t="s">
        <v>204</v>
      </c>
      <c r="E17" s="124" t="s">
        <v>205</v>
      </c>
      <c r="F17" s="125"/>
      <c r="G17" s="1365"/>
      <c r="H17" s="969" t="s">
        <v>218</v>
      </c>
      <c r="I17" s="970" t="s">
        <v>2313</v>
      </c>
      <c r="J17" s="1983"/>
      <c r="K17" s="3260" t="s">
        <v>2568</v>
      </c>
      <c r="L17" s="3261"/>
      <c r="M17" s="3262"/>
      <c r="N17" s="3260" t="s">
        <v>2569</v>
      </c>
      <c r="O17" s="3261"/>
      <c r="P17" s="3262"/>
      <c r="R17" s="2298" t="s">
        <v>2312</v>
      </c>
      <c r="S17" s="144"/>
    </row>
    <row r="18" spans="1:19" ht="15">
      <c r="A18" s="117"/>
      <c r="B18" s="128"/>
      <c r="C18" s="129"/>
      <c r="D18" s="2620"/>
      <c r="E18" s="130" t="s">
        <v>220</v>
      </c>
      <c r="F18" s="131" t="s">
        <v>221</v>
      </c>
      <c r="G18" s="1366" t="s">
        <v>222</v>
      </c>
      <c r="H18" s="971" t="s">
        <v>223</v>
      </c>
      <c r="I18" s="972"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7" t="s">
        <v>3038</v>
      </c>
      <c r="D19" s="111">
        <f t="shared" ref="D19:D26" si="1">ROUND($D$3*E19/$E$3,2)</f>
        <v>12642.53</v>
      </c>
      <c r="E19" s="134">
        <f t="shared" ref="E19:E26" si="2">SUM(F19:G19)</f>
        <v>25240.000000000004</v>
      </c>
      <c r="F19" s="135">
        <f>'数据-基础表'!I5</f>
        <v>25240.000000000004</v>
      </c>
      <c r="G19" s="1367"/>
      <c r="H19" s="973">
        <f>ROUND($D$3*I19/$E$3,2)</f>
        <v>85.15</v>
      </c>
      <c r="I19" s="116">
        <f>IF($I$17="自定义",P19,M19)</f>
        <v>170</v>
      </c>
      <c r="J19" s="1983"/>
      <c r="K19" s="2586">
        <f t="shared" ref="K19:K26" si="3">ROUND(E$28*E19/E$27,2)</f>
        <v>0</v>
      </c>
      <c r="L19" s="274">
        <f t="shared" ref="L19:L26" si="4">ROUND(IF(COUNTIF(C19,"*住宅*")&gt;0,E$29*E19/E$32,0),2)</f>
        <v>170</v>
      </c>
      <c r="M19" s="2587">
        <f>K19+L19</f>
        <v>170</v>
      </c>
      <c r="N19" s="2588"/>
      <c r="O19" s="2589"/>
      <c r="P19" s="2590">
        <f>N19+O19</f>
        <v>0</v>
      </c>
      <c r="R19" s="274">
        <f t="shared" ref="R19:S26" si="5">D19+H19</f>
        <v>12727.68</v>
      </c>
      <c r="S19" s="2300">
        <f t="shared" si="5"/>
        <v>25410.000000000004</v>
      </c>
    </row>
    <row r="20" spans="1:19">
      <c r="A20" s="138"/>
      <c r="B20" s="115" t="s">
        <v>226</v>
      </c>
      <c r="C20" s="2997" t="s">
        <v>3039</v>
      </c>
      <c r="D20" s="111">
        <f t="shared" si="1"/>
        <v>7038.35</v>
      </c>
      <c r="E20" s="134">
        <f t="shared" si="2"/>
        <v>14051.610000000002</v>
      </c>
      <c r="F20" s="135"/>
      <c r="G20" s="1367">
        <f>'数据-基础表'!K5</f>
        <v>14051.610000000002</v>
      </c>
      <c r="H20" s="973">
        <f t="shared" ref="H20:H26" si="6">ROUND($D$3*I20/$E$3,2)</f>
        <v>0</v>
      </c>
      <c r="I20" s="116">
        <f t="shared" ref="I20:I26" si="7">IF($I$17="自定义",P20,M20)</f>
        <v>0</v>
      </c>
      <c r="J20" s="1983"/>
      <c r="K20" s="2586">
        <f t="shared" si="3"/>
        <v>0</v>
      </c>
      <c r="L20" s="274">
        <f t="shared" si="4"/>
        <v>0</v>
      </c>
      <c r="M20" s="2587">
        <f t="shared" ref="M20:M26" si="8">K20+L20</f>
        <v>0</v>
      </c>
      <c r="N20" s="2588"/>
      <c r="O20" s="2589"/>
      <c r="P20" s="2590">
        <f t="shared" ref="P20:P26" si="9">N20+O20</f>
        <v>0</v>
      </c>
      <c r="R20" s="274">
        <f t="shared" si="5"/>
        <v>7038.35</v>
      </c>
      <c r="S20" s="2300">
        <f t="shared" si="5"/>
        <v>14051.610000000002</v>
      </c>
    </row>
    <row r="21" spans="1:19">
      <c r="A21" s="138"/>
      <c r="B21" s="115" t="s">
        <v>226</v>
      </c>
      <c r="C21" s="2997" t="s">
        <v>3040</v>
      </c>
      <c r="D21" s="111">
        <f t="shared" si="1"/>
        <v>4385.63</v>
      </c>
      <c r="E21" s="134">
        <f t="shared" si="2"/>
        <v>8755.64</v>
      </c>
      <c r="F21" s="135"/>
      <c r="G21" s="1367">
        <f>'数据-基础表'!M5</f>
        <v>8755.64</v>
      </c>
      <c r="H21" s="973">
        <f t="shared" si="6"/>
        <v>0</v>
      </c>
      <c r="I21" s="116">
        <f t="shared" si="7"/>
        <v>0</v>
      </c>
      <c r="J21" s="1983"/>
      <c r="K21" s="2586">
        <f t="shared" si="3"/>
        <v>0</v>
      </c>
      <c r="L21" s="274">
        <f t="shared" si="4"/>
        <v>0</v>
      </c>
      <c r="M21" s="2587">
        <f t="shared" si="8"/>
        <v>0</v>
      </c>
      <c r="N21" s="2588"/>
      <c r="O21" s="2589"/>
      <c r="P21" s="2590">
        <f t="shared" si="9"/>
        <v>0</v>
      </c>
      <c r="R21" s="274">
        <f t="shared" si="5"/>
        <v>4385.63</v>
      </c>
      <c r="S21" s="2300">
        <f t="shared" si="5"/>
        <v>8755.64</v>
      </c>
    </row>
    <row r="22" spans="1:19">
      <c r="A22" s="138"/>
      <c r="B22" s="115" t="s">
        <v>226</v>
      </c>
      <c r="C22" s="1364"/>
      <c r="D22" s="111">
        <f t="shared" si="1"/>
        <v>0</v>
      </c>
      <c r="E22" s="134">
        <f t="shared" si="2"/>
        <v>0</v>
      </c>
      <c r="F22" s="140"/>
      <c r="G22" s="1368"/>
      <c r="H22" s="973">
        <f t="shared" si="6"/>
        <v>0</v>
      </c>
      <c r="I22" s="116">
        <f t="shared" si="7"/>
        <v>0</v>
      </c>
      <c r="J22" s="1983"/>
      <c r="K22" s="2586">
        <f t="shared" si="3"/>
        <v>0</v>
      </c>
      <c r="L22" s="274">
        <f t="shared" si="4"/>
        <v>0</v>
      </c>
      <c r="M22" s="2587">
        <f t="shared" si="8"/>
        <v>0</v>
      </c>
      <c r="N22" s="2588"/>
      <c r="O22" s="2589"/>
      <c r="P22" s="2590">
        <f t="shared" si="9"/>
        <v>0</v>
      </c>
      <c r="R22" s="274">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6">
        <f t="shared" si="3"/>
        <v>0</v>
      </c>
      <c r="L23" s="274">
        <f t="shared" si="4"/>
        <v>0</v>
      </c>
      <c r="M23" s="2587">
        <f t="shared" si="8"/>
        <v>0</v>
      </c>
      <c r="N23" s="2588"/>
      <c r="O23" s="2589"/>
      <c r="P23" s="2590">
        <f t="shared" si="9"/>
        <v>0</v>
      </c>
      <c r="R23" s="274">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6">
        <f t="shared" si="3"/>
        <v>0</v>
      </c>
      <c r="L24" s="274">
        <f t="shared" si="4"/>
        <v>0</v>
      </c>
      <c r="M24" s="2587">
        <f t="shared" si="8"/>
        <v>0</v>
      </c>
      <c r="N24" s="2588"/>
      <c r="O24" s="2589"/>
      <c r="P24" s="2590">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4">
        <f t="shared" si="4"/>
        <v>0</v>
      </c>
      <c r="M25" s="2587">
        <f t="shared" si="8"/>
        <v>0</v>
      </c>
      <c r="N25" s="2588"/>
      <c r="O25" s="2589"/>
      <c r="P25" s="2590">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79">
        <f t="shared" si="4"/>
        <v>0</v>
      </c>
      <c r="M26" s="146">
        <f t="shared" si="8"/>
        <v>0</v>
      </c>
      <c r="N26" s="2592"/>
      <c r="O26" s="2593"/>
      <c r="P26" s="2594">
        <f t="shared" si="9"/>
        <v>0</v>
      </c>
      <c r="R26" s="274">
        <f t="shared" si="5"/>
        <v>0</v>
      </c>
      <c r="S26" s="2300">
        <f t="shared" si="5"/>
        <v>0</v>
      </c>
    </row>
    <row r="27" spans="1:19" ht="29.25" thickBot="1">
      <c r="A27" s="138"/>
      <c r="B27" s="111"/>
      <c r="C27" s="127" t="s">
        <v>215</v>
      </c>
      <c r="D27" s="134">
        <f>SUM(D19:D26)</f>
        <v>24066.510000000002</v>
      </c>
      <c r="E27" s="143">
        <f>IF(SUM(E19:E26)='数据-基础表'!BA5,SUM(E19:E26),IF(F27="地上面积有误","面积有误","地下面积有误"))</f>
        <v>48047.250000000007</v>
      </c>
      <c r="F27" s="134">
        <f>IF(SUM(F19:F26)=E8,SUM(F19:F26),"地上面积有误")</f>
        <v>25240.000000000004</v>
      </c>
      <c r="G27" s="112">
        <f>SUM(G19:G26)</f>
        <v>22807.25</v>
      </c>
      <c r="H27" s="974">
        <f>SUM(H19:H26)</f>
        <v>85.15</v>
      </c>
      <c r="I27" s="975">
        <f>SUM(I19:I26)</f>
        <v>170</v>
      </c>
      <c r="J27" s="1983"/>
      <c r="K27" s="2595">
        <f>SUM(K19:K26)</f>
        <v>0</v>
      </c>
      <c r="L27" s="2596">
        <f>SUM(L19:L26)</f>
        <v>170</v>
      </c>
      <c r="M27" s="2597">
        <f>SUM(M19:M26)</f>
        <v>170</v>
      </c>
      <c r="N27" s="2595">
        <f t="shared" ref="N27:O27" si="10">SUM(N19:N26)</f>
        <v>0</v>
      </c>
      <c r="O27" s="2596">
        <f t="shared" si="10"/>
        <v>0</v>
      </c>
      <c r="P27" s="2598">
        <f>SUM(P19:P26)</f>
        <v>0</v>
      </c>
      <c r="R27" s="2304">
        <f>IF(SUM(R19:R26)=$D$3,SUM(R19:R26),SUM(R19:R26)&amp;"误差"&amp;ROUND(SUM(R19:R26)-$D$3,2))</f>
        <v>24151.66</v>
      </c>
      <c r="S27" s="274">
        <f>IF(SUM(S19:S26)=$E$3,SUM(S19:S26),SUM(S19:S26)&amp;"误差"&amp;ROUND(SUM(S19:S26)-E3,2))</f>
        <v>48217.250000000007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85.15</v>
      </c>
      <c r="E29" s="134">
        <f>SUM(F29:G29)</f>
        <v>170</v>
      </c>
      <c r="F29" s="144">
        <f>'数据-基础表'!BM5+'数据-基础表'!BO5</f>
        <v>120</v>
      </c>
      <c r="G29" s="146">
        <f>'数据-基础表'!BN5+'数据-基础表'!BP5</f>
        <v>50</v>
      </c>
      <c r="H29" s="1983"/>
      <c r="I29" s="1983"/>
      <c r="J29" s="1983"/>
      <c r="K29" s="1983"/>
      <c r="L29" s="1983"/>
    </row>
    <row r="30" spans="1:19">
      <c r="A30" s="138"/>
      <c r="B30" s="111"/>
      <c r="C30" s="147" t="s">
        <v>215</v>
      </c>
      <c r="D30" s="134">
        <f>SUM(D28:D29)</f>
        <v>85.15</v>
      </c>
      <c r="E30" s="134">
        <f>SUM(E28:E29)</f>
        <v>170</v>
      </c>
      <c r="F30" s="134">
        <f>SUM(F28:F29)</f>
        <v>120</v>
      </c>
      <c r="G30" s="112">
        <f>SUM(G28:G29)</f>
        <v>50</v>
      </c>
      <c r="H30" s="1983"/>
      <c r="I30" s="1983"/>
      <c r="J30" s="1983"/>
      <c r="K30" s="1983"/>
      <c r="L30" s="1983"/>
    </row>
    <row r="31" spans="1:19" ht="32.25" customHeight="1" thickBot="1">
      <c r="A31" s="1369"/>
      <c r="B31" s="1370" t="s">
        <v>229</v>
      </c>
      <c r="C31" s="2329" t="s">
        <v>2323</v>
      </c>
      <c r="D31" s="1371">
        <f>D27+D30</f>
        <v>24151.660000000003</v>
      </c>
      <c r="E31" s="1371">
        <f>E27+E30</f>
        <v>48217.250000000007</v>
      </c>
      <c r="F31" s="1372">
        <f>F27+F30</f>
        <v>25360.000000000004</v>
      </c>
      <c r="G31" s="1373">
        <f>G27+G30</f>
        <v>22857.25</v>
      </c>
      <c r="H31" s="1983"/>
      <c r="I31" s="1983"/>
      <c r="J31" s="1983"/>
      <c r="K31" s="1983"/>
      <c r="L31" s="1983"/>
    </row>
    <row r="32" spans="1:19">
      <c r="A32" s="1983"/>
      <c r="B32" s="2341" t="s">
        <v>2322</v>
      </c>
      <c r="C32" s="2625"/>
      <c r="D32" s="1200"/>
      <c r="E32" s="1200">
        <f>SUMIF(C19:C26,"*住宅*",E19:E26)</f>
        <v>25240.000000000004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L26" sqref="L26"/>
    </sheetView>
  </sheetViews>
  <sheetFormatPr defaultColWidth="13.75" defaultRowHeight="12.75"/>
  <cols>
    <col min="1" max="1" width="20.875" style="1215" customWidth="1"/>
    <col min="2" max="3" width="12" style="1202" customWidth="1"/>
    <col min="4" max="4" width="9.125" style="1216" customWidth="1"/>
    <col min="5" max="5" width="19.5" style="1202"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43546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69004</v>
      </c>
      <c r="F6" s="174">
        <f>SUMIF(项目基本情况!D$15:I$15,C6,项目基本情况!D$19:I$19)</f>
        <v>69.739999999999995</v>
      </c>
      <c r="G6" s="175">
        <f>IF(ISERROR(ROUND(POWER(1+H6,D6-F6)*(POWER(1+H6,F6)-1)/(POWER(1+H6,D6)-1),3)),0,ROUND(POWER(1+H6,D6-F6)*(POWER(1+H6,F6)-1)/(POWER(1+H6,D6)-1),3))</f>
        <v>0.999</v>
      </c>
      <c r="H6" s="2998">
        <v>0.04</v>
      </c>
      <c r="I6" s="2998">
        <v>4.4999999999999998E-2</v>
      </c>
      <c r="J6" s="176">
        <v>0.08</v>
      </c>
      <c r="K6" s="179">
        <f>SUMIF('数据-汇总表'!C$19:C$33,'数据-取费表'!A6,'数据-汇总表'!E$19:E$33)</f>
        <v>25240.000000000004</v>
      </c>
      <c r="L6" s="2999">
        <v>5800</v>
      </c>
      <c r="M6" s="177">
        <f t="shared" ref="M6:M14" si="0">ROUND(K6*L6/10000,0)</f>
        <v>14639</v>
      </c>
      <c r="N6" s="3000">
        <v>0</v>
      </c>
      <c r="O6" s="177">
        <f>IF($N$5="成新度","——",ROUND(M6*N6,0))</f>
        <v>0</v>
      </c>
      <c r="P6" s="178">
        <f>IF($N$5="成新度","——",M6-O6)</f>
        <v>14639</v>
      </c>
      <c r="Q6" s="3001">
        <v>0.25</v>
      </c>
      <c r="R6" s="179">
        <f>SUMIF('数据-汇总表'!C$19:C$33,A6,'数据-汇总表'!R$19:R$33)</f>
        <v>12727.68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1">
        <f ca="1">IF(AN6="",0,SUMIF(INDIRECT("'"&amp;AN6&amp;"'"&amp;"!E:E"),$AE$5,INDIRECT("'"&amp;AN6&amp;"'"&amp;"!F:F")))</f>
        <v>0</v>
      </c>
      <c r="AF6" s="141"/>
      <c r="AG6" s="1212">
        <f>IF(AF6="",0,AE6-AF6)</f>
        <v>0</v>
      </c>
      <c r="AH6" s="141"/>
      <c r="AI6" s="187">
        <v>365</v>
      </c>
      <c r="AJ6" s="188"/>
      <c r="AK6" s="189">
        <v>1.4999999999999999E-2</v>
      </c>
      <c r="AL6" s="190">
        <v>2E-3</v>
      </c>
      <c r="AM6" s="3012">
        <v>1.4999999999999999E-2</v>
      </c>
      <c r="AN6" s="2370"/>
      <c r="AO6" s="1999"/>
      <c r="AP6" s="1203">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地下仓储</v>
      </c>
      <c r="B7" s="2336" t="str">
        <f t="shared" ref="B7:B13" si="1">IF(A7=0,"","经营性")</f>
        <v>经营性</v>
      </c>
      <c r="C7" s="173" t="s">
        <v>3035</v>
      </c>
      <c r="D7" s="2307">
        <f>SUMIF(项目基本情况!D$15:I$15,C7,项目基本情况!D$18:I$18)</f>
        <v>50</v>
      </c>
      <c r="E7" s="2308">
        <f>IF(B7="","",SUMIF(项目基本情况!D$15:I$15,C7,项目基本情况!D$17:I$17))</f>
        <v>61699</v>
      </c>
      <c r="F7" s="174">
        <f>SUMIF(项目基本情况!D$15:I$15,C7,项目基本情况!D$19:I$19)</f>
        <v>49.73</v>
      </c>
      <c r="G7" s="175">
        <f t="shared" ref="G7:G11" si="2">IF(ISERROR(ROUND(POWER(1+H7,D7-F7)*(POWER(1+H7,F7)-1)/(POWER(1+H7,D7)-1),3)),0,ROUND(POWER(1+H7,D7-F7)*(POWER(1+H7,F7)-1)/(POWER(1+H7,D7)-1),3))</f>
        <v>0.999</v>
      </c>
      <c r="H7" s="2998">
        <v>4.4999999999999998E-2</v>
      </c>
      <c r="I7" s="2998">
        <v>0.05</v>
      </c>
      <c r="J7" s="176">
        <v>0.08</v>
      </c>
      <c r="K7" s="179">
        <f>SUMIF('数据-汇总表'!C$19:C$33,'数据-取费表'!A7,'数据-汇总表'!E$19:E$33)</f>
        <v>14051.610000000002</v>
      </c>
      <c r="L7" s="2999">
        <f>L6</f>
        <v>5800</v>
      </c>
      <c r="M7" s="177">
        <f t="shared" si="0"/>
        <v>8150</v>
      </c>
      <c r="N7" s="3000">
        <v>0</v>
      </c>
      <c r="O7" s="177">
        <f t="shared" ref="O7:O14" si="3">IF($N$5="成新度","——",ROUND(M7*N7,0))</f>
        <v>0</v>
      </c>
      <c r="P7" s="178">
        <f t="shared" ref="P7:P14" si="4">IF($N$5="成新度","——",M7-O7)</f>
        <v>8150</v>
      </c>
      <c r="Q7" s="3001">
        <v>0.25</v>
      </c>
      <c r="R7" s="179">
        <f>SUMIF('数据-汇总表'!C$19:C$33,A7,'数据-汇总表'!R$19:R$33)</f>
        <v>7038.35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v>1</v>
      </c>
      <c r="Z7" s="183"/>
      <c r="AA7" s="176"/>
      <c r="AB7" s="176"/>
      <c r="AC7" s="2323"/>
      <c r="AD7" s="184"/>
      <c r="AE7" s="971">
        <f t="shared" ref="AE7:AE13" ca="1" si="6">IF(AN7="",0,SUMIF(INDIRECT("'"&amp;AN7&amp;"'"&amp;"!E:E"),$AE$5,INDIRECT("'"&amp;AN7&amp;"'"&amp;"!F:F")))</f>
        <v>0</v>
      </c>
      <c r="AF7" s="141"/>
      <c r="AG7" s="1212">
        <f t="shared" ref="AG7:AG13" si="7">IF(AF7="",0,AE7-AF7)</f>
        <v>0</v>
      </c>
      <c r="AH7" s="141"/>
      <c r="AI7" s="187">
        <v>365</v>
      </c>
      <c r="AJ7" s="188"/>
      <c r="AK7" s="189">
        <v>1.4999999999999999E-2</v>
      </c>
      <c r="AL7" s="190">
        <v>2E-3</v>
      </c>
      <c r="AM7" s="3012">
        <v>1.4999999999999999E-2</v>
      </c>
      <c r="AN7" s="2370"/>
      <c r="AO7" s="1999"/>
      <c r="AP7" s="1203">
        <f t="shared" ref="AP7:AP13" si="8">ROUND(1-1/(1+H7)^F7,3)</f>
        <v>0.88800000000000001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3" t="s">
        <v>3037</v>
      </c>
      <c r="D8" s="2307">
        <f>SUMIF(项目基本情况!D$15:I$15,C8,项目基本情况!D$18:I$18)</f>
        <v>50</v>
      </c>
      <c r="E8" s="2308">
        <f>IF(B8="","",SUMIF(项目基本情况!D$15:I$15,C8,项目基本情况!D$17:I$17))</f>
        <v>61699</v>
      </c>
      <c r="F8" s="174">
        <f>SUMIF(项目基本情况!D$15:I$15,C8,项目基本情况!D$19:I$19)</f>
        <v>49.73</v>
      </c>
      <c r="G8" s="175">
        <f t="shared" si="2"/>
        <v>0.999</v>
      </c>
      <c r="H8" s="2998">
        <v>4.4999999999999998E-2</v>
      </c>
      <c r="I8" s="2998">
        <v>0.05</v>
      </c>
      <c r="J8" s="176">
        <v>0.08</v>
      </c>
      <c r="K8" s="179">
        <f>SUMIF('数据-汇总表'!C$19:C$33,'数据-取费表'!A8,'数据-汇总表'!E$19:E$33)</f>
        <v>8755.64</v>
      </c>
      <c r="L8" s="2999">
        <f>L6</f>
        <v>5800</v>
      </c>
      <c r="M8" s="177">
        <f>ROUND(K8*L8/10000,0)</f>
        <v>5078</v>
      </c>
      <c r="N8" s="3000">
        <v>0</v>
      </c>
      <c r="O8" s="177">
        <f t="shared" si="3"/>
        <v>0</v>
      </c>
      <c r="P8" s="178">
        <f t="shared" si="4"/>
        <v>5078</v>
      </c>
      <c r="Q8" s="3001">
        <v>0.1</v>
      </c>
      <c r="R8" s="179">
        <f>SUMIF('数据-汇总表'!C$19:C$33,A8,'数据-汇总表'!R$19:R$33)</f>
        <v>4385.63</v>
      </c>
      <c r="S8" s="132">
        <f>IF('数据-汇总表'!$I$17="按面积比例",SUMIF('数据-汇总表'!C$19:C$33,A8,'数据-汇总表'!K$19:K$33),SUMIF('数据-汇总表'!C$19:C$33,A8,'数据-汇总表'!N$19:N$33))</f>
        <v>0</v>
      </c>
      <c r="T8" s="2233" t="str">
        <f t="shared" si="5"/>
        <v>0</v>
      </c>
      <c r="U8" s="180">
        <v>1.2</v>
      </c>
      <c r="V8" s="181">
        <v>0.02</v>
      </c>
      <c r="W8" s="181">
        <v>0.1</v>
      </c>
      <c r="X8" s="2320"/>
      <c r="Y8" s="182">
        <v>1</v>
      </c>
      <c r="Z8" s="183"/>
      <c r="AA8" s="176"/>
      <c r="AB8" s="176"/>
      <c r="AC8" s="2323"/>
      <c r="AD8" s="184"/>
      <c r="AE8" s="971">
        <f t="shared" ca="1" si="6"/>
        <v>46.73</v>
      </c>
      <c r="AF8" s="141"/>
      <c r="AG8" s="1212">
        <f t="shared" si="7"/>
        <v>0</v>
      </c>
      <c r="AH8" s="141"/>
      <c r="AI8" s="187">
        <v>365</v>
      </c>
      <c r="AJ8" s="188"/>
      <c r="AK8" s="189">
        <v>1.4999999999999999E-2</v>
      </c>
      <c r="AL8" s="190">
        <v>2E-3</v>
      </c>
      <c r="AM8" s="3012">
        <v>1.4999999999999999E-2</v>
      </c>
      <c r="AN8" s="2370" t="s">
        <v>3044</v>
      </c>
      <c r="AO8" s="1999"/>
      <c r="AP8" s="1203">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f>L8</f>
        <v>5800</v>
      </c>
      <c r="M14" s="177">
        <f t="shared" si="0"/>
        <v>0</v>
      </c>
      <c r="N14" s="194">
        <v>0</v>
      </c>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170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48217.250000000007</v>
      </c>
      <c r="L16" s="206">
        <f>ROUND(M16*10000/SUM(K6:K14),0)</f>
        <v>5800</v>
      </c>
      <c r="M16" s="206">
        <f>SUM(M6:M14)</f>
        <v>27867</v>
      </c>
      <c r="N16" s="207">
        <f>ROUND(SUMPRODUCT(M6:M14,N6:N14)/M16,3)</f>
        <v>0</v>
      </c>
      <c r="O16" s="206">
        <f>SUM(O6:O14)</f>
        <v>0</v>
      </c>
      <c r="P16" s="206">
        <f>SUM(P6:P14)</f>
        <v>27867</v>
      </c>
      <c r="Q16" s="208">
        <f>ROUND(SUMPRODUCT(Q6:Q13,K6:K13)/SUMPRODUCT((Q6:Q13&gt;0)*(K6:K13)),2)</f>
        <v>0.22</v>
      </c>
      <c r="R16" s="2310">
        <f>SUM(R6:R13)</f>
        <v>24151.66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0.91300000000000003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3183">
        <v>3</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150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190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150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0.05</v>
      </c>
      <c r="C33" s="2343"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0.08</v>
      </c>
      <c r="C34" s="2343"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3184">
        <v>0.03</v>
      </c>
      <c r="C37" s="2343"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3185">
        <v>0.03</v>
      </c>
      <c r="C38" s="2343"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799">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7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43"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45"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45"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47"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48"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48"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8">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0" t="s">
        <v>1410</v>
      </c>
      <c r="C53" s="3049" t="s">
        <v>2905</v>
      </c>
      <c r="D53" s="3050"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2" t="s">
        <v>2907</v>
      </c>
      <c r="B54" s="186"/>
      <c r="C54" s="1993">
        <v>30</v>
      </c>
      <c r="D54" s="305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2" t="s">
        <v>2908</v>
      </c>
      <c r="B55" s="186"/>
      <c r="C55" s="1993">
        <v>24</v>
      </c>
      <c r="D55" s="305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2" t="s">
        <v>2909</v>
      </c>
      <c r="B56" s="186"/>
      <c r="C56" s="1993">
        <v>18</v>
      </c>
      <c r="D56" s="305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2" t="s">
        <v>2910</v>
      </c>
      <c r="B57" s="186"/>
      <c r="C57" s="1993">
        <v>12</v>
      </c>
      <c r="D57" s="305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2" t="s">
        <v>2911</v>
      </c>
      <c r="B58" s="186"/>
      <c r="C58" s="1993">
        <v>3</v>
      </c>
      <c r="D58" s="305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2" t="s">
        <v>2912</v>
      </c>
      <c r="B59" s="186">
        <v>1.5</v>
      </c>
      <c r="C59" s="1993">
        <v>1.5</v>
      </c>
      <c r="D59" s="305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2"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2"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2"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3" t="s">
        <v>2916</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2" t="s">
        <v>1664</v>
      </c>
      <c r="B1" s="3273"/>
      <c r="C1" s="3273"/>
      <c r="D1" s="3273"/>
      <c r="E1" s="3273"/>
      <c r="F1" s="3273"/>
      <c r="G1" s="3273"/>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054" t="s">
        <v>2923</v>
      </c>
      <c r="D3" s="2008"/>
      <c r="E3" s="1228" t="s">
        <v>1667</v>
      </c>
      <c r="F3" s="1229" t="s">
        <v>1655</v>
      </c>
      <c r="G3" s="3058" t="s">
        <v>2922</v>
      </c>
      <c r="H3" s="2007"/>
      <c r="I3" s="2007"/>
      <c r="J3" s="2007"/>
      <c r="K3" s="2007"/>
      <c r="L3" s="2007"/>
      <c r="M3" s="2007"/>
      <c r="N3" s="2007"/>
      <c r="O3" s="2007"/>
      <c r="P3" s="2007"/>
      <c r="Q3" s="2007"/>
      <c r="R3" s="2007"/>
    </row>
    <row r="4" spans="1:18" ht="41.25">
      <c r="A4" s="1228"/>
      <c r="B4" s="1230" t="s">
        <v>1668</v>
      </c>
      <c r="C4" s="3055" t="s">
        <v>2924</v>
      </c>
      <c r="D4" s="2008"/>
      <c r="E4" s="1231"/>
      <c r="F4" s="1232" t="s">
        <v>1669</v>
      </c>
      <c r="G4" s="3056" t="s">
        <v>2919</v>
      </c>
      <c r="H4" s="2007"/>
      <c r="I4" s="2007"/>
      <c r="J4" s="2007"/>
      <c r="K4" s="2007"/>
      <c r="L4" s="2007"/>
      <c r="M4" s="2007"/>
      <c r="N4" s="2007"/>
      <c r="O4" s="2007"/>
      <c r="P4" s="2007"/>
      <c r="Q4" s="2007"/>
      <c r="R4" s="2007"/>
    </row>
    <row r="5" spans="1:18" ht="41.25">
      <c r="A5" s="1228"/>
      <c r="B5" s="1230" t="s">
        <v>1670</v>
      </c>
      <c r="C5" s="3055" t="s">
        <v>2925</v>
      </c>
      <c r="D5" s="2008"/>
      <c r="E5" s="1231"/>
      <c r="F5" s="1230" t="s">
        <v>2547</v>
      </c>
      <c r="G5" s="3056" t="s">
        <v>2920</v>
      </c>
      <c r="H5" s="2007"/>
      <c r="I5" s="2007"/>
      <c r="J5" s="2007"/>
      <c r="K5" s="2007"/>
      <c r="L5" s="2007"/>
      <c r="M5" s="2007"/>
      <c r="N5" s="2007"/>
      <c r="O5" s="2007"/>
      <c r="P5" s="2007"/>
      <c r="Q5" s="2007"/>
      <c r="R5" s="2007"/>
    </row>
    <row r="6" spans="1:18" ht="54">
      <c r="A6" s="1228"/>
      <c r="B6" s="1230" t="s">
        <v>1656</v>
      </c>
      <c r="C6" s="3056" t="s">
        <v>2919</v>
      </c>
      <c r="D6" s="2008"/>
      <c r="E6" s="1231"/>
      <c r="F6" s="1230" t="s">
        <v>2548</v>
      </c>
      <c r="G6" s="3056" t="s">
        <v>2917</v>
      </c>
      <c r="H6" s="2007"/>
      <c r="I6" s="2007"/>
      <c r="J6" s="2007"/>
      <c r="K6" s="2007"/>
      <c r="L6" s="2007"/>
      <c r="M6" s="2007"/>
      <c r="N6" s="2007"/>
      <c r="O6" s="2007"/>
      <c r="P6" s="2007"/>
      <c r="Q6" s="2007"/>
      <c r="R6" s="2007"/>
    </row>
    <row r="7" spans="1:18" ht="41.25" thickBot="1">
      <c r="A7" s="1228"/>
      <c r="B7" s="1230" t="s">
        <v>2547</v>
      </c>
      <c r="C7" s="3056" t="s">
        <v>2920</v>
      </c>
      <c r="D7" s="2009"/>
      <c r="E7" s="1233"/>
      <c r="F7" s="1234" t="s">
        <v>1671</v>
      </c>
      <c r="G7" s="3059" t="s">
        <v>2921</v>
      </c>
      <c r="H7" s="2007"/>
      <c r="I7" s="2007"/>
      <c r="J7" s="2007"/>
      <c r="K7" s="2007"/>
      <c r="L7" s="2007"/>
      <c r="M7" s="2007"/>
      <c r="N7" s="2007"/>
      <c r="O7" s="2007"/>
      <c r="P7" s="2007"/>
      <c r="Q7" s="2007"/>
      <c r="R7" s="2007"/>
    </row>
    <row r="8" spans="1:18" ht="27">
      <c r="A8" s="1228"/>
      <c r="B8" s="1230" t="s">
        <v>2548</v>
      </c>
      <c r="C8" s="3056" t="s">
        <v>2917</v>
      </c>
      <c r="D8" s="2009"/>
      <c r="E8" s="2009"/>
      <c r="F8" s="1553"/>
      <c r="G8" s="1553"/>
      <c r="H8" s="2007"/>
      <c r="I8" s="2007"/>
      <c r="J8" s="2007"/>
      <c r="K8" s="2007"/>
      <c r="L8" s="2007"/>
      <c r="M8" s="2007"/>
      <c r="N8" s="2007"/>
      <c r="O8" s="2007"/>
      <c r="P8" s="2007"/>
      <c r="Q8" s="2007"/>
      <c r="R8" s="2007"/>
    </row>
    <row r="9" spans="1:18" ht="40.5">
      <c r="A9" s="1228"/>
      <c r="B9" s="1230" t="s">
        <v>1657</v>
      </c>
      <c r="C9" s="3055" t="s">
        <v>2918</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54">
      <c r="A15" s="2566" t="s">
        <v>1658</v>
      </c>
      <c r="B15" s="1241" t="s">
        <v>1654</v>
      </c>
      <c r="C15" s="1242" t="str">
        <f>C3</f>
        <v>估价对象周边居住用地比例、居住小区规模和社区发展完善程度，综合评价居住社区成熟度一般</v>
      </c>
      <c r="D15" s="2008"/>
      <c r="E15" s="2563" t="s">
        <v>1659</v>
      </c>
      <c r="F15" s="1241" t="s">
        <v>1674</v>
      </c>
      <c r="G15" s="1243" t="str">
        <f>G3</f>
        <v>估价对象位于XX开发区，园区建设成熟度XX，产业集聚程度XX</v>
      </c>
    </row>
    <row r="16" spans="1:18" ht="40.5">
      <c r="A16" s="2567"/>
      <c r="B16" s="1244" t="s">
        <v>1668</v>
      </c>
      <c r="C16" s="1245" t="str">
        <f>C4</f>
        <v>估价对象位于XX商圈，周边商业氛围成熟，人流量大，商业繁华度好</v>
      </c>
      <c r="D16" s="2008"/>
      <c r="E16" s="2564"/>
      <c r="F16" s="1246" t="s">
        <v>1669</v>
      </c>
      <c r="G16" s="1004" t="str">
        <f>G4</f>
        <v>估价对象周边道路状况、公共交通通达情况、停车便捷程度，综合评价交通便捷度较好</v>
      </c>
    </row>
    <row r="17" spans="1:7" ht="40.5">
      <c r="A17" s="2567"/>
      <c r="B17" s="1244" t="s">
        <v>1670</v>
      </c>
      <c r="C17" s="1245" t="str">
        <f>C5</f>
        <v>估价对象位于XX商圈，周边办公楼项目较多，入驻率高，办公集聚程度较好</v>
      </c>
      <c r="D17" s="2009"/>
      <c r="E17" s="2564"/>
      <c r="F17" s="1246" t="s">
        <v>1675</v>
      </c>
      <c r="G17" s="2771"/>
    </row>
    <row r="18" spans="1:7" ht="54">
      <c r="A18" s="2567"/>
      <c r="B18" s="1246" t="s">
        <v>1656</v>
      </c>
      <c r="C18" s="1004" t="str">
        <f>C6</f>
        <v>估价对象周边道路状况、公共交通通达情况、停车便捷程度，综合评价交通便捷度较好</v>
      </c>
      <c r="D18" s="2009"/>
      <c r="E18" s="2564"/>
      <c r="F18" s="1246" t="s">
        <v>1671</v>
      </c>
      <c r="G18" s="1004" t="str">
        <f>G7</f>
        <v>该园区内是否有污染型企业，绿化情况，卫生条件，整体环境状况判断</v>
      </c>
    </row>
    <row r="19" spans="1:7" ht="27">
      <c r="A19" s="2567"/>
      <c r="B19" s="1246" t="s">
        <v>1660</v>
      </c>
      <c r="C19" s="2771"/>
      <c r="D19" s="2008"/>
      <c r="E19" s="2564"/>
      <c r="F19" s="1230" t="s">
        <v>2547</v>
      </c>
      <c r="G19" s="1004" t="str">
        <f>G5</f>
        <v>估价对象所在区域公共配套设施齐备情况</v>
      </c>
    </row>
    <row r="20" spans="1:7" ht="40.5">
      <c r="A20" s="2567"/>
      <c r="B20" s="1246" t="s">
        <v>1661</v>
      </c>
      <c r="C20" s="1245" t="str">
        <f>C9</f>
        <v>区域自然环境：；人文环境；综合评价环境状况一般</v>
      </c>
      <c r="D20" s="2009"/>
      <c r="E20" s="2564"/>
      <c r="F20" s="1230" t="s">
        <v>2548</v>
      </c>
      <c r="G20" s="1004" t="str">
        <f>G6</f>
        <v>估价对象所在区域基础设施水平</v>
      </c>
    </row>
    <row r="21" spans="1:7" ht="27">
      <c r="A21" s="2567"/>
      <c r="B21" s="1230" t="s">
        <v>2547</v>
      </c>
      <c r="C21" s="1004" t="str">
        <f>C7</f>
        <v>估价对象所在区域公共配套设施齐备情况</v>
      </c>
      <c r="D21" s="2008"/>
      <c r="E21" s="2564"/>
      <c r="F21" s="1246" t="s">
        <v>1662</v>
      </c>
      <c r="G21" s="3060"/>
    </row>
    <row r="22" spans="1:7" ht="27">
      <c r="A22" s="2567"/>
      <c r="B22" s="1230" t="s">
        <v>2548</v>
      </c>
      <c r="C22" s="1004" t="str">
        <f>C8</f>
        <v>估价对象所在区域基础设施水平</v>
      </c>
      <c r="D22" s="2008"/>
      <c r="E22" s="2564"/>
      <c r="F22" s="1246" t="s">
        <v>1672</v>
      </c>
      <c r="G22" s="2771"/>
    </row>
    <row r="23" spans="1:7" ht="15" thickBot="1">
      <c r="A23" s="2567"/>
      <c r="B23" s="1246" t="s">
        <v>1662</v>
      </c>
      <c r="C23" s="3060"/>
      <c r="E23" s="2565"/>
      <c r="F23" s="1247" t="s">
        <v>1676</v>
      </c>
      <c r="G23" s="3061"/>
    </row>
    <row r="24" spans="1:7" ht="14.25" thickBot="1">
      <c r="A24" s="2568"/>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8" sqref="H8"/>
    </sheetView>
  </sheetViews>
  <sheetFormatPr defaultColWidth="14.625" defaultRowHeight="13.5"/>
  <cols>
    <col min="1" max="1" width="24.375" customWidth="1"/>
  </cols>
  <sheetData>
    <row r="1" spans="1:9" ht="16.5">
      <c r="A1" s="3018" t="s">
        <v>2845</v>
      </c>
      <c r="B1" s="3018">
        <f>SUM(B14:B23)</f>
        <v>115668.21</v>
      </c>
      <c r="C1" s="3019"/>
      <c r="D1" s="3019"/>
      <c r="E1" s="3019"/>
      <c r="F1" s="3019"/>
    </row>
    <row r="2" spans="1:9" ht="16.5">
      <c r="A2" s="3018" t="s">
        <v>2846</v>
      </c>
      <c r="B2" s="3018">
        <f>SUM(C14:C23)</f>
        <v>54532.390000000007</v>
      </c>
      <c r="C2" s="3019"/>
      <c r="D2" s="3019"/>
      <c r="E2" s="3019"/>
      <c r="F2" s="3019"/>
    </row>
    <row r="3" spans="1:9" ht="16.5">
      <c r="A3" s="3018" t="s">
        <v>2847</v>
      </c>
      <c r="B3" s="3020">
        <f>项目基本情况!D3</f>
        <v>43546</v>
      </c>
      <c r="C3" s="3019"/>
      <c r="D3" s="3019"/>
      <c r="E3" s="3019"/>
      <c r="F3" s="3019"/>
    </row>
    <row r="4" spans="1:9" ht="33">
      <c r="A4" s="3018" t="s">
        <v>2848</v>
      </c>
      <c r="B4" s="3018" t="s">
        <v>2849</v>
      </c>
      <c r="C4" s="3018" t="s">
        <v>2850</v>
      </c>
      <c r="D4" s="3018" t="s">
        <v>2851</v>
      </c>
      <c r="E4" s="3019"/>
      <c r="F4" s="3019"/>
    </row>
    <row r="5" spans="1:9" ht="16.5">
      <c r="A5" s="3018" t="s">
        <v>2852</v>
      </c>
      <c r="B5" s="3018">
        <f ca="1">SUM(D14:D23)</f>
        <v>123877</v>
      </c>
      <c r="C5" s="3018">
        <f ca="1">ROUND(B5*10000/$B$1,0)</f>
        <v>10710</v>
      </c>
      <c r="D5" s="3018">
        <f ca="1">ROUND(B5*10000/$B$2,0)</f>
        <v>22716</v>
      </c>
      <c r="E5" s="3019"/>
      <c r="F5" s="3019"/>
    </row>
    <row r="6" spans="1:9" ht="16.5">
      <c r="A6" s="3018" t="s">
        <v>2853</v>
      </c>
      <c r="B6" s="3018">
        <f ca="1">SUM(G14:G23)</f>
        <v>123877</v>
      </c>
      <c r="C6" s="3018">
        <f t="shared" ref="C6:C8" ca="1" si="0">ROUND(B6*10000/$B$1,0)</f>
        <v>10710</v>
      </c>
      <c r="D6" s="3018">
        <f t="shared" ref="D6:D8" ca="1" si="1">ROUND(B6*10000/$B$2,0)</f>
        <v>22716</v>
      </c>
      <c r="E6" s="3019"/>
      <c r="F6" s="3019"/>
    </row>
    <row r="7" spans="1:9" ht="16.5">
      <c r="A7" s="3018" t="s">
        <v>2854</v>
      </c>
      <c r="B7" s="3018">
        <f>SUM(H14:H23)</f>
        <v>0</v>
      </c>
      <c r="C7" s="3018">
        <f t="shared" si="0"/>
        <v>0</v>
      </c>
      <c r="D7" s="3018">
        <f t="shared" si="1"/>
        <v>0</v>
      </c>
      <c r="E7" s="3019"/>
      <c r="F7" s="3019"/>
    </row>
    <row r="8" spans="1:9" ht="16.5">
      <c r="A8" s="3018" t="s">
        <v>2855</v>
      </c>
      <c r="B8" s="3018">
        <f>SUM(I14:I23)</f>
        <v>0</v>
      </c>
      <c r="C8" s="3018">
        <f t="shared" si="0"/>
        <v>0</v>
      </c>
      <c r="D8" s="3018">
        <f t="shared" si="1"/>
        <v>0</v>
      </c>
      <c r="E8" s="3019"/>
      <c r="F8" s="3019"/>
    </row>
    <row r="9" spans="1:9" ht="16.5">
      <c r="A9" s="3018" t="s">
        <v>2856</v>
      </c>
      <c r="B9" s="3021"/>
      <c r="C9" s="3019"/>
      <c r="D9" s="3019"/>
      <c r="E9" s="3019"/>
      <c r="F9" s="3019"/>
    </row>
    <row r="10" spans="1:9" ht="16.5">
      <c r="A10" s="3018" t="s">
        <v>2857</v>
      </c>
      <c r="B10" s="3021"/>
      <c r="C10" s="3019"/>
      <c r="D10" s="3019"/>
      <c r="E10" s="3019"/>
      <c r="F10" s="3019"/>
    </row>
    <row r="11" spans="1:9" ht="16.5">
      <c r="A11" s="3018" t="s">
        <v>2874</v>
      </c>
      <c r="B11" s="3021"/>
      <c r="C11" s="3019"/>
      <c r="D11" s="3019"/>
      <c r="E11" s="3019"/>
      <c r="F11" s="3019"/>
    </row>
    <row r="12" spans="1:9" ht="16.5">
      <c r="A12" s="3019"/>
      <c r="B12" s="3019"/>
      <c r="C12" s="3019"/>
      <c r="D12" s="3019"/>
      <c r="E12" s="3019"/>
      <c r="F12" s="3019"/>
    </row>
    <row r="13" spans="1:9" ht="33">
      <c r="A13" s="3024" t="s">
        <v>2873</v>
      </c>
      <c r="B13" s="3022" t="s">
        <v>2845</v>
      </c>
      <c r="C13" s="3022" t="s">
        <v>2846</v>
      </c>
      <c r="D13" s="3022" t="s">
        <v>2858</v>
      </c>
      <c r="E13" s="3018" t="s">
        <v>2872</v>
      </c>
      <c r="F13" s="3018" t="s">
        <v>2851</v>
      </c>
      <c r="G13" s="3022" t="s">
        <v>2859</v>
      </c>
      <c r="H13" s="3022" t="s">
        <v>2860</v>
      </c>
      <c r="I13" s="3022" t="s">
        <v>2861</v>
      </c>
    </row>
    <row r="14" spans="1:9" ht="16.5">
      <c r="A14" s="3025" t="s">
        <v>2871</v>
      </c>
      <c r="B14" s="3022">
        <f>结果表!L38</f>
        <v>48217.250000000007</v>
      </c>
      <c r="C14" s="3022">
        <f>结果表!K38</f>
        <v>24151.66</v>
      </c>
      <c r="D14" s="3022">
        <f ca="1">结果表!C42</f>
        <v>54059</v>
      </c>
      <c r="E14" s="3022">
        <f ca="1">ROUND(D14*10000/B14,0)</f>
        <v>11212</v>
      </c>
      <c r="F14" s="3022">
        <f ca="1">ROUND(D14*10000/C14,0)</f>
        <v>22383</v>
      </c>
      <c r="G14" s="3022">
        <f ca="1">结果表!C44</f>
        <v>54059</v>
      </c>
      <c r="H14" s="3022" t="str">
        <f>结果表!C45</f>
        <v>——</v>
      </c>
      <c r="I14" s="3022" t="str">
        <f>结果表!C46</f>
        <v>——</v>
      </c>
    </row>
    <row r="15" spans="1:9" ht="16.5">
      <c r="A15" s="3025" t="s">
        <v>2862</v>
      </c>
      <c r="B15" s="3026">
        <f>[1]系统读取表!$B$14</f>
        <v>39144.94</v>
      </c>
      <c r="C15" s="3026">
        <f>[1]系统读取表!$C$14</f>
        <v>17067.11</v>
      </c>
      <c r="D15" s="3026">
        <f ca="1">[1]系统读取表!$D$14</f>
        <v>46869</v>
      </c>
      <c r="E15" s="3022">
        <f t="shared" ref="E15:E23" ca="1" si="2">ROUND(D15*10000/B15,0)</f>
        <v>11973</v>
      </c>
      <c r="F15" s="3022">
        <f t="shared" ref="F15:F23" ca="1" si="3">ROUND(D15*10000/C15,0)</f>
        <v>27462</v>
      </c>
      <c r="G15" s="3023">
        <f ca="1">[1]系统读取表!$G$14</f>
        <v>46869</v>
      </c>
      <c r="H15" s="3023"/>
      <c r="I15" s="3026"/>
    </row>
    <row r="16" spans="1:9" ht="16.5">
      <c r="A16" s="3025" t="s">
        <v>2863</v>
      </c>
      <c r="B16" s="3026">
        <f>'[2]数据-基础表'!$G$5</f>
        <v>28306.020000000004</v>
      </c>
      <c r="C16" s="3026">
        <f>[2]系统读取表!$C$14</f>
        <v>13313.62</v>
      </c>
      <c r="D16" s="3026">
        <f ca="1">[2]系统读取表!$D$14</f>
        <v>22949</v>
      </c>
      <c r="E16" s="3022">
        <f t="shared" ca="1" si="2"/>
        <v>8107</v>
      </c>
      <c r="F16" s="3022">
        <f t="shared" ca="1" si="3"/>
        <v>17237</v>
      </c>
      <c r="G16" s="3023">
        <f ca="1">[2]系统读取表!$G$14</f>
        <v>22949</v>
      </c>
      <c r="H16" s="3023"/>
      <c r="I16" s="3026"/>
    </row>
    <row r="17" spans="1:9" ht="16.5">
      <c r="A17" s="3025" t="s">
        <v>2864</v>
      </c>
      <c r="B17" s="3026"/>
      <c r="C17" s="3026"/>
      <c r="D17" s="3026"/>
      <c r="E17" s="3022" t="e">
        <f t="shared" si="2"/>
        <v>#DIV/0!</v>
      </c>
      <c r="F17" s="3022" t="e">
        <f t="shared" si="3"/>
        <v>#DIV/0!</v>
      </c>
      <c r="G17" s="3023"/>
      <c r="H17" s="3023"/>
      <c r="I17" s="3026"/>
    </row>
    <row r="18" spans="1:9" ht="16.5">
      <c r="A18" s="3025" t="s">
        <v>2865</v>
      </c>
      <c r="B18" s="3026"/>
      <c r="C18" s="3026"/>
      <c r="D18" s="3026"/>
      <c r="E18" s="3022" t="e">
        <f t="shared" si="2"/>
        <v>#DIV/0!</v>
      </c>
      <c r="F18" s="3022" t="e">
        <f t="shared" si="3"/>
        <v>#DIV/0!</v>
      </c>
      <c r="G18" s="3026"/>
      <c r="H18" s="3026"/>
      <c r="I18" s="3026"/>
    </row>
    <row r="19" spans="1:9" ht="16.5">
      <c r="A19" s="3025" t="s">
        <v>2866</v>
      </c>
      <c r="B19" s="3026"/>
      <c r="C19" s="3026"/>
      <c r="D19" s="3026"/>
      <c r="E19" s="3022" t="e">
        <f t="shared" si="2"/>
        <v>#DIV/0!</v>
      </c>
      <c r="F19" s="3022" t="e">
        <f t="shared" si="3"/>
        <v>#DIV/0!</v>
      </c>
      <c r="G19" s="3026"/>
      <c r="H19" s="3026"/>
      <c r="I19" s="3026"/>
    </row>
    <row r="20" spans="1:9" ht="16.5">
      <c r="A20" s="3025" t="s">
        <v>2867</v>
      </c>
      <c r="B20" s="3026"/>
      <c r="C20" s="3026"/>
      <c r="D20" s="3026"/>
      <c r="E20" s="3022" t="e">
        <f t="shared" si="2"/>
        <v>#DIV/0!</v>
      </c>
      <c r="F20" s="3022" t="e">
        <f t="shared" si="3"/>
        <v>#DIV/0!</v>
      </c>
      <c r="G20" s="3026"/>
      <c r="H20" s="3026"/>
      <c r="I20" s="3026"/>
    </row>
    <row r="21" spans="1:9" ht="16.5">
      <c r="A21" s="3025" t="s">
        <v>2868</v>
      </c>
      <c r="B21" s="3026"/>
      <c r="C21" s="3026"/>
      <c r="D21" s="3026"/>
      <c r="E21" s="3022" t="e">
        <f t="shared" si="2"/>
        <v>#DIV/0!</v>
      </c>
      <c r="F21" s="3022" t="e">
        <f t="shared" si="3"/>
        <v>#DIV/0!</v>
      </c>
      <c r="G21" s="3026"/>
      <c r="H21" s="3026"/>
      <c r="I21" s="3026"/>
    </row>
    <row r="22" spans="1:9" ht="16.5">
      <c r="A22" s="3025" t="s">
        <v>2869</v>
      </c>
      <c r="B22" s="3026"/>
      <c r="C22" s="3026"/>
      <c r="D22" s="3026"/>
      <c r="E22" s="3022" t="e">
        <f t="shared" si="2"/>
        <v>#DIV/0!</v>
      </c>
      <c r="F22" s="3022" t="e">
        <f t="shared" si="3"/>
        <v>#DIV/0!</v>
      </c>
      <c r="G22" s="3026"/>
      <c r="H22" s="3026"/>
      <c r="I22" s="3026"/>
    </row>
    <row r="23" spans="1:9" ht="16.5">
      <c r="A23" s="3025" t="s">
        <v>2870</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M54" sqref="M5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c r="E1" s="1804" t="s">
        <v>2058</v>
      </c>
      <c r="F1" s="1806"/>
      <c r="G1" s="310"/>
      <c r="H1" s="310"/>
      <c r="I1" s="310"/>
      <c r="J1" s="2028"/>
      <c r="K1" s="2028"/>
      <c r="L1" s="2028"/>
      <c r="M1" s="2028"/>
      <c r="N1" s="2028"/>
      <c r="O1" s="2028"/>
      <c r="P1" s="2028"/>
      <c r="Q1" s="2028"/>
      <c r="R1" s="2028"/>
      <c r="S1" s="2028"/>
      <c r="T1" s="2028"/>
      <c r="U1" s="2028"/>
      <c r="V1" s="2028"/>
    </row>
    <row r="2" spans="1:22" ht="21.75" customHeight="1" thickBot="1">
      <c r="A2" s="3310" t="str">
        <f>项目基本情况!K2</f>
        <v>北京市房山区青龙湖中心区01-0010、0021地块R2二类居住用地、01-0015地块B4综合性商业金融服务业用地出让国有建设用地使用权</v>
      </c>
      <c r="B2" s="3311"/>
      <c r="C2" s="3312"/>
      <c r="D2" s="3312"/>
      <c r="E2" s="3312"/>
      <c r="F2" s="3312"/>
      <c r="G2" s="3311"/>
      <c r="H2" s="3311"/>
      <c r="I2" s="3313"/>
      <c r="J2" s="2029"/>
      <c r="K2" s="2028"/>
      <c r="L2" s="2028"/>
      <c r="M2" s="2028"/>
      <c r="N2" s="2028"/>
      <c r="O2" s="2028"/>
      <c r="P2" s="2028"/>
      <c r="Q2" s="2028"/>
      <c r="R2" s="2028"/>
      <c r="S2" s="2028"/>
      <c r="T2" s="2028"/>
      <c r="U2" s="2028"/>
      <c r="V2" s="2028"/>
    </row>
    <row r="3" spans="1:22" ht="14.25">
      <c r="A3" s="3303" t="s">
        <v>298</v>
      </c>
      <c r="B3" s="3304"/>
      <c r="C3" s="3304"/>
      <c r="D3" s="3304"/>
      <c r="E3" s="3304"/>
      <c r="F3" s="3304"/>
      <c r="G3" s="3304"/>
      <c r="H3" s="3304"/>
      <c r="I3" s="3304"/>
      <c r="J3" s="2029"/>
      <c r="K3" s="2028"/>
      <c r="L3" s="2028"/>
      <c r="M3" s="2028"/>
      <c r="N3" s="2028"/>
      <c r="O3" s="2028"/>
      <c r="P3" s="2028"/>
      <c r="Q3" s="2028"/>
      <c r="R3" s="2028"/>
      <c r="S3" s="2028"/>
      <c r="T3" s="2028"/>
      <c r="U3" s="2028"/>
      <c r="V3" s="2028"/>
    </row>
    <row r="4" spans="1:22" ht="14.25">
      <c r="A4" s="257" t="s">
        <v>299</v>
      </c>
      <c r="B4" s="258" t="s">
        <v>300</v>
      </c>
      <c r="C4" s="259" t="s">
        <v>3045</v>
      </c>
      <c r="D4" s="259" t="s">
        <v>3046</v>
      </c>
      <c r="E4" s="3275" t="s">
        <v>301</v>
      </c>
      <c r="F4" s="3276"/>
      <c r="G4" s="3276"/>
      <c r="H4" s="3276"/>
      <c r="I4" s="3305"/>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74" t="s">
        <v>302</v>
      </c>
      <c r="B5" s="3300">
        <v>25</v>
      </c>
      <c r="C5" s="3298"/>
      <c r="D5" s="3302"/>
      <c r="E5" s="260" t="s">
        <v>303</v>
      </c>
      <c r="F5" s="261"/>
      <c r="G5" s="261"/>
      <c r="H5" s="261"/>
      <c r="I5" s="262"/>
      <c r="J5" s="2029"/>
      <c r="K5" s="2028"/>
      <c r="L5" s="2028"/>
      <c r="M5" s="2028"/>
      <c r="N5" s="2028"/>
      <c r="O5" s="2028"/>
      <c r="P5" s="2028"/>
      <c r="Q5" s="2028"/>
      <c r="R5" s="2028"/>
      <c r="S5" s="2028"/>
      <c r="T5" s="2028"/>
      <c r="U5" s="2028"/>
      <c r="V5" s="2028"/>
    </row>
    <row r="6" spans="1:22" ht="14.25">
      <c r="A6" s="3274"/>
      <c r="B6" s="3300"/>
      <c r="C6" s="3301"/>
      <c r="D6" s="3302"/>
      <c r="E6" s="260" t="s">
        <v>304</v>
      </c>
      <c r="F6" s="261"/>
      <c r="G6" s="261"/>
      <c r="H6" s="261"/>
      <c r="I6" s="262"/>
      <c r="J6" s="2029"/>
      <c r="K6" s="2028"/>
      <c r="L6" s="2028"/>
      <c r="M6" s="2028"/>
      <c r="N6" s="2028"/>
      <c r="O6" s="2028"/>
      <c r="P6" s="2028"/>
      <c r="Q6" s="2028"/>
      <c r="R6" s="2028"/>
      <c r="S6" s="2028"/>
      <c r="T6" s="2028"/>
      <c r="U6" s="2028"/>
      <c r="V6" s="2028"/>
    </row>
    <row r="7" spans="1:22" ht="14.25">
      <c r="A7" s="3274"/>
      <c r="B7" s="3300"/>
      <c r="C7" s="3299"/>
      <c r="D7" s="3302"/>
      <c r="E7" s="260" t="s">
        <v>305</v>
      </c>
      <c r="F7" s="261"/>
      <c r="G7" s="261"/>
      <c r="H7" s="261"/>
      <c r="I7" s="262"/>
      <c r="J7" s="2029"/>
      <c r="K7" s="2028"/>
      <c r="L7" s="2028"/>
      <c r="M7" s="2028"/>
      <c r="N7" s="2028"/>
      <c r="O7" s="2028"/>
      <c r="P7" s="2028"/>
      <c r="Q7" s="2028"/>
      <c r="R7" s="2028"/>
      <c r="S7" s="2028"/>
      <c r="T7" s="2028"/>
      <c r="U7" s="2028"/>
      <c r="V7" s="2028"/>
    </row>
    <row r="8" spans="1:22" ht="14.25">
      <c r="A8" s="3274" t="s">
        <v>306</v>
      </c>
      <c r="B8" s="3300">
        <v>15</v>
      </c>
      <c r="C8" s="3298"/>
      <c r="D8" s="3302"/>
      <c r="E8" s="260" t="s">
        <v>307</v>
      </c>
      <c r="F8" s="261"/>
      <c r="G8" s="261"/>
      <c r="H8" s="261"/>
      <c r="I8" s="262"/>
      <c r="J8" s="2029"/>
      <c r="K8" s="2028"/>
      <c r="L8" s="2028"/>
      <c r="M8" s="2028"/>
      <c r="N8" s="2028"/>
      <c r="O8" s="2028"/>
      <c r="P8" s="2028"/>
      <c r="Q8" s="2028"/>
      <c r="R8" s="2028"/>
      <c r="S8" s="2028"/>
      <c r="T8" s="2028"/>
      <c r="U8" s="2028"/>
      <c r="V8" s="2028"/>
    </row>
    <row r="9" spans="1:22" ht="14.25">
      <c r="A9" s="3274"/>
      <c r="B9" s="3300"/>
      <c r="C9" s="3299"/>
      <c r="D9" s="3302"/>
      <c r="E9" s="260" t="s">
        <v>308</v>
      </c>
      <c r="F9" s="261"/>
      <c r="G9" s="261"/>
      <c r="H9" s="261"/>
      <c r="I9" s="262"/>
      <c r="J9" s="2029"/>
      <c r="K9" s="2028"/>
      <c r="L9" s="2028"/>
      <c r="M9" s="2028"/>
      <c r="N9" s="2028"/>
      <c r="O9" s="2028"/>
      <c r="P9" s="2028"/>
      <c r="Q9" s="2028"/>
      <c r="R9" s="2028"/>
      <c r="S9" s="2028"/>
      <c r="T9" s="2028"/>
      <c r="U9" s="2028"/>
      <c r="V9" s="2028"/>
    </row>
    <row r="10" spans="1:22" ht="14.25">
      <c r="A10" s="3274" t="s">
        <v>309</v>
      </c>
      <c r="B10" s="3300">
        <v>15</v>
      </c>
      <c r="C10" s="3298"/>
      <c r="D10" s="3302"/>
      <c r="E10" s="260" t="s">
        <v>310</v>
      </c>
      <c r="F10" s="261"/>
      <c r="G10" s="261"/>
      <c r="H10" s="261"/>
      <c r="I10" s="262"/>
      <c r="J10" s="2029"/>
      <c r="K10" s="2028"/>
      <c r="L10" s="2028"/>
      <c r="M10" s="2028"/>
      <c r="N10" s="2028"/>
      <c r="O10" s="2028"/>
      <c r="P10" s="2028"/>
      <c r="Q10" s="2028"/>
      <c r="R10" s="2028"/>
      <c r="S10" s="2028"/>
      <c r="T10" s="2028"/>
      <c r="U10" s="2028"/>
      <c r="V10" s="2028"/>
    </row>
    <row r="11" spans="1:22" ht="14.25">
      <c r="A11" s="3274"/>
      <c r="B11" s="3300"/>
      <c r="C11" s="3299"/>
      <c r="D11" s="3302"/>
      <c r="E11" s="260" t="s">
        <v>311</v>
      </c>
      <c r="F11" s="261"/>
      <c r="G11" s="261"/>
      <c r="H11" s="261"/>
      <c r="I11" s="262"/>
      <c r="J11" s="2029"/>
      <c r="K11" s="2028"/>
      <c r="L11" s="2028"/>
      <c r="M11" s="2028"/>
      <c r="N11" s="2028"/>
      <c r="O11" s="2028"/>
      <c r="P11" s="2028"/>
      <c r="Q11" s="2028"/>
      <c r="R11" s="2028"/>
      <c r="S11" s="2028"/>
      <c r="T11" s="2028"/>
      <c r="U11" s="2028"/>
      <c r="V11" s="2028"/>
    </row>
    <row r="12" spans="1:22" ht="14.25">
      <c r="A12" s="3274" t="s">
        <v>312</v>
      </c>
      <c r="B12" s="3300">
        <v>15</v>
      </c>
      <c r="C12" s="3298"/>
      <c r="D12" s="3302"/>
      <c r="E12" s="260" t="s">
        <v>313</v>
      </c>
      <c r="F12" s="261"/>
      <c r="G12" s="261"/>
      <c r="H12" s="261"/>
      <c r="I12" s="262"/>
      <c r="J12" s="2029"/>
      <c r="K12" s="2028"/>
      <c r="L12" s="2028"/>
      <c r="M12" s="2028"/>
      <c r="N12" s="2028"/>
      <c r="O12" s="2028"/>
      <c r="P12" s="2028"/>
      <c r="Q12" s="2028"/>
      <c r="R12" s="2028"/>
      <c r="S12" s="2028"/>
      <c r="T12" s="2028"/>
      <c r="U12" s="2028"/>
      <c r="V12" s="2028"/>
    </row>
    <row r="13" spans="1:22" ht="14.25">
      <c r="A13" s="3274"/>
      <c r="B13" s="3300"/>
      <c r="C13" s="3299"/>
      <c r="D13" s="3302"/>
      <c r="E13" s="260" t="s">
        <v>314</v>
      </c>
      <c r="F13" s="261"/>
      <c r="G13" s="261"/>
      <c r="H13" s="261"/>
      <c r="I13" s="262"/>
      <c r="J13" s="2029"/>
      <c r="K13" s="2028"/>
      <c r="L13" s="2028"/>
      <c r="M13" s="2028"/>
      <c r="N13" s="2028"/>
      <c r="O13" s="2028"/>
      <c r="P13" s="2028"/>
      <c r="Q13" s="2028"/>
      <c r="R13" s="2028"/>
      <c r="S13" s="2028"/>
      <c r="T13" s="2028"/>
      <c r="U13" s="2028"/>
      <c r="V13" s="2028"/>
    </row>
    <row r="14" spans="1:22" ht="14.25">
      <c r="A14" s="3274" t="s">
        <v>315</v>
      </c>
      <c r="B14" s="3300">
        <v>30</v>
      </c>
      <c r="C14" s="3298">
        <v>2</v>
      </c>
      <c r="D14" s="3302">
        <v>8</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74"/>
      <c r="B15" s="3300"/>
      <c r="C15" s="3301"/>
      <c r="D15" s="3302"/>
      <c r="E15" s="260" t="s">
        <v>317</v>
      </c>
      <c r="F15" s="261"/>
      <c r="G15" s="261"/>
      <c r="H15" s="261"/>
      <c r="I15" s="262"/>
      <c r="J15" s="2029"/>
      <c r="K15" s="2028"/>
      <c r="L15" s="2028"/>
      <c r="M15" s="2028"/>
      <c r="N15" s="2028"/>
      <c r="O15" s="2028"/>
      <c r="P15" s="2028"/>
      <c r="Q15" s="2028"/>
      <c r="R15" s="2028"/>
      <c r="S15" s="2028"/>
      <c r="T15" s="2028"/>
      <c r="U15" s="2028"/>
      <c r="V15" s="2028"/>
    </row>
    <row r="16" spans="1:22" ht="14.25">
      <c r="A16" s="3274"/>
      <c r="B16" s="3300"/>
      <c r="C16" s="3299"/>
      <c r="D16" s="3302"/>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2</v>
      </c>
      <c r="D17" s="264">
        <f>SUM(D5:D16)</f>
        <v>8</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0.2</v>
      </c>
      <c r="D18" s="266">
        <f>1-C18</f>
        <v>0.8</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67464</v>
      </c>
      <c r="D19" s="270">
        <f ca="1">SUMIF(INDIRECT("'"&amp;D4&amp;"'"&amp;"!A:A"),结果表!B19,INDIRECT("'"&amp;D4&amp;"'"&amp;"!B:B"))</f>
        <v>50708</v>
      </c>
      <c r="E19" s="267" t="s">
        <v>323</v>
      </c>
      <c r="F19" s="268" t="s">
        <v>322</v>
      </c>
      <c r="G19" s="271">
        <f ca="1">ROUND(C19*$C$18+D19*$D$18,0)</f>
        <v>54059</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13992</v>
      </c>
      <c r="D20" s="276">
        <f ca="1">SUMIF(INDIRECT("'"&amp;D4&amp;"'"&amp;"!A:A"),结果表!B20,INDIRECT("'"&amp;D4&amp;"'"&amp;"!B:B"))</f>
        <v>10517</v>
      </c>
      <c r="E20" s="273"/>
      <c r="F20" s="274" t="s">
        <v>325</v>
      </c>
      <c r="G20" s="277">
        <f ca="1">ROUND(C20*$C$18+D20*$D$18,0)</f>
        <v>11212</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27933</v>
      </c>
      <c r="D21" s="151">
        <f ca="1">SUMIF(INDIRECT("'"&amp;D4&amp;"'"&amp;"!A:A"),结果表!B21,INDIRECT("'"&amp;D4&amp;"'"&amp;"!B:B"))</f>
        <v>20996</v>
      </c>
      <c r="E21" s="273"/>
      <c r="F21" s="279" t="s">
        <v>327</v>
      </c>
      <c r="G21" s="281">
        <f ca="1">ROUND(C21*$C$18+D21*$D$18,0)</f>
        <v>22383</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0.33044095606215973</v>
      </c>
      <c r="E22" s="283"/>
      <c r="F22" s="284"/>
      <c r="G22" s="285">
        <f ca="1">ROUND(G19/('数据-汇总表'!D3/666.67),0)</f>
        <v>1492</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80"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81"/>
      <c r="B25" s="1320" t="s">
        <v>331</v>
      </c>
      <c r="C25" s="289">
        <f>IF(B30=0,0,C30)</f>
        <v>0</v>
      </c>
      <c r="D25" s="290"/>
      <c r="E25" s="310"/>
      <c r="F25" s="310"/>
      <c r="G25" s="310"/>
      <c r="H25" s="310"/>
      <c r="I25" s="310"/>
      <c r="J25" s="2028"/>
      <c r="K25" s="1254" t="str">
        <f ca="1">项目基本情况!B16&amp;"国有建设用地使用权价格："&amp;O38&amp;"万元"</f>
        <v>出让国有建设用地使用权价格：54059万元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大写金额：人民币伍亿肆仟零伍拾玖万元整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单位面积地价：22383元/平方米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楼面地价：11212元/平方米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抵押价格：54059万元</v>
      </c>
      <c r="L29" s="1251"/>
      <c r="M29" s="1251"/>
      <c r="N29" s="1251"/>
      <c r="O29" s="1250"/>
      <c r="P29" s="2028"/>
      <c r="V29" s="2028"/>
    </row>
    <row r="30" spans="1:26" ht="18.75" thickBot="1">
      <c r="A30" s="3103" t="s">
        <v>336</v>
      </c>
      <c r="B30" s="308"/>
      <c r="C30" s="308"/>
      <c r="D30" s="309"/>
      <c r="E30" s="3104" t="s">
        <v>2972</v>
      </c>
      <c r="F30" s="310"/>
      <c r="G30" s="310"/>
      <c r="H30" s="310"/>
      <c r="I30" s="310"/>
      <c r="J30" s="2028"/>
      <c r="K30" s="1257" t="str">
        <f ca="1">IF(K29="——","——","大写金额：人民币"&amp;NUMBERSTRING(INT(O39*10000),2)&amp;"元整")</f>
        <v>大写金额：人民币伍亿肆仟零伍拾玖万元整</v>
      </c>
      <c r="L30" s="1251"/>
      <c r="M30" s="1251"/>
      <c r="N30" s="1251"/>
      <c r="O30" s="1250"/>
      <c r="P30" s="2028"/>
      <c r="V30" s="2028"/>
    </row>
    <row r="31" spans="1:26" ht="24" customHeight="1" thickBot="1">
      <c r="A31" s="310"/>
      <c r="B31" s="310"/>
      <c r="C31" s="310"/>
      <c r="D31" s="310"/>
      <c r="E31" s="310"/>
      <c r="F31" s="310"/>
      <c r="G31" s="310"/>
      <c r="H31" s="310"/>
      <c r="I31" s="310"/>
      <c r="J31" s="2028"/>
      <c r="K31" s="2447" t="str">
        <f>IF(项目基本情况!E8="抵押价格","——","抵押担保权已注销时的抵押价格："&amp;O40&amp;"万元")</f>
        <v>——</v>
      </c>
      <c r="L31" s="2443"/>
      <c r="M31" s="2443"/>
      <c r="N31" s="2443"/>
      <c r="O31" s="2444"/>
      <c r="P31" s="2028"/>
      <c r="V31" s="2028"/>
    </row>
    <row r="32" spans="1:26" ht="18.75" thickBot="1">
      <c r="A32" s="267" t="s">
        <v>337</v>
      </c>
      <c r="B32" s="1381" t="s">
        <v>1689</v>
      </c>
      <c r="C32" s="1382">
        <f ca="1">G19-C24</f>
        <v>54059</v>
      </c>
      <c r="D32" s="1383" t="s">
        <v>1690</v>
      </c>
      <c r="E32" s="310"/>
      <c r="F32" s="310"/>
      <c r="G32" s="310"/>
      <c r="H32" s="310"/>
      <c r="I32" s="310"/>
      <c r="J32" s="2028"/>
      <c r="K32" s="2442" t="str">
        <f>IF(K31="——","——","大写金额：人民币"&amp;NUMBERSTRING(INT(O40*10000),2)&amp;"元整")</f>
        <v>——</v>
      </c>
      <c r="L32" s="2445"/>
      <c r="M32" s="2445"/>
      <c r="N32" s="2445"/>
      <c r="O32" s="2446"/>
      <c r="P32" s="2028"/>
      <c r="V32" s="2028"/>
    </row>
    <row r="33" spans="1:26" ht="18.75" thickBot="1">
      <c r="A33" s="297" t="s">
        <v>340</v>
      </c>
      <c r="B33" s="1384" t="s">
        <v>1691</v>
      </c>
      <c r="C33" s="263">
        <f ca="1">ROUND(C32*10000/'数据-汇总表'!E3,0)</f>
        <v>11212</v>
      </c>
      <c r="D33" s="1385" t="s">
        <v>1692</v>
      </c>
      <c r="E33" s="3280"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1693</v>
      </c>
      <c r="C34" s="263">
        <f ca="1">ROUND(C32*10000/'数据-汇总表'!D3,0)</f>
        <v>22383</v>
      </c>
      <c r="D34" s="1387" t="s">
        <v>1692</v>
      </c>
      <c r="E34" s="3321"/>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1492</v>
      </c>
      <c r="D35" s="1390" t="s">
        <v>1694</v>
      </c>
      <c r="E35" s="3322"/>
      <c r="F35" s="300" t="s">
        <v>342</v>
      </c>
      <c r="G35" s="981"/>
      <c r="H35" s="980" t="s">
        <v>343</v>
      </c>
      <c r="I35" s="310"/>
      <c r="J35" s="2028"/>
      <c r="K35" s="3295" t="s">
        <v>350</v>
      </c>
      <c r="L35" s="3295" t="s">
        <v>351</v>
      </c>
      <c r="M35" s="1263" t="s">
        <v>352</v>
      </c>
      <c r="N35" s="3295" t="s">
        <v>353</v>
      </c>
      <c r="O35" s="3295" t="s">
        <v>354</v>
      </c>
      <c r="P35" s="2028"/>
      <c r="V35" s="2028"/>
    </row>
    <row r="36" spans="1:26" ht="16.5" customHeight="1">
      <c r="A36" s="302" t="s">
        <v>344</v>
      </c>
      <c r="B36" s="303" t="s">
        <v>333</v>
      </c>
      <c r="C36" s="304" t="s">
        <v>345</v>
      </c>
      <c r="D36" s="304" t="s">
        <v>346</v>
      </c>
      <c r="E36" s="305" t="s">
        <v>347</v>
      </c>
      <c r="F36" s="310"/>
      <c r="G36" s="310"/>
      <c r="H36" s="310"/>
      <c r="I36" s="310"/>
      <c r="J36" s="2030"/>
      <c r="K36" s="3296"/>
      <c r="L36" s="3296"/>
      <c r="M36" s="1265" t="s">
        <v>355</v>
      </c>
      <c r="N36" s="3296"/>
      <c r="O36" s="3296"/>
      <c r="P36" s="2028"/>
      <c r="V36" s="2028"/>
    </row>
    <row r="37" spans="1:26" ht="16.5" customHeight="1" thickBot="1">
      <c r="A37" s="1259" t="s">
        <v>348</v>
      </c>
      <c r="B37" s="306">
        <f>'数据-汇总表'!G20</f>
        <v>14051.610000000002</v>
      </c>
      <c r="C37" s="293">
        <f>13111*0.2*0.25</f>
        <v>655.55000000000007</v>
      </c>
      <c r="D37" s="293">
        <v>1.0305</v>
      </c>
      <c r="E37" s="294">
        <f>ROUND(B37*C37*D37/10000,0)</f>
        <v>949</v>
      </c>
      <c r="F37" s="310"/>
      <c r="G37" s="310"/>
      <c r="H37" s="310"/>
      <c r="I37" s="310"/>
      <c r="J37" s="2030"/>
      <c r="K37" s="3297"/>
      <c r="L37" s="3297"/>
      <c r="M37" s="1266"/>
      <c r="N37" s="3297"/>
      <c r="O37" s="3297"/>
      <c r="P37" s="2028"/>
      <c r="V37" s="2028"/>
    </row>
    <row r="38" spans="1:26" ht="16.5" customHeight="1" thickBot="1">
      <c r="A38" s="1259" t="s">
        <v>349</v>
      </c>
      <c r="B38" s="306">
        <f>'数据-汇总表'!G21</f>
        <v>8755.64</v>
      </c>
      <c r="C38" s="293">
        <f>13111*0.15*0.25</f>
        <v>491.66249999999997</v>
      </c>
      <c r="D38" s="293">
        <v>1.0305</v>
      </c>
      <c r="E38" s="294">
        <f>ROUND(B38*C38*D38/10000,0)</f>
        <v>444</v>
      </c>
      <c r="F38" s="310"/>
      <c r="G38" s="310"/>
      <c r="H38" s="310"/>
      <c r="I38" s="310"/>
      <c r="J38" s="2030"/>
      <c r="K38" s="1267">
        <f>'数据-汇总表'!D3</f>
        <v>24151.66</v>
      </c>
      <c r="L38" s="1268">
        <f>'数据-汇总表'!E3</f>
        <v>48217.250000000007</v>
      </c>
      <c r="M38" s="1268">
        <f ca="1">C34</f>
        <v>22383</v>
      </c>
      <c r="N38" s="1268">
        <f ca="1">C33</f>
        <v>11212</v>
      </c>
      <c r="O38" s="1269">
        <f ca="1">C32</f>
        <v>54059</v>
      </c>
      <c r="P38" s="2028"/>
      <c r="V38" s="2028"/>
    </row>
    <row r="39" spans="1:26" ht="16.5" customHeight="1" thickBot="1">
      <c r="A39" s="1264"/>
      <c r="B39" s="307"/>
      <c r="C39" s="308"/>
      <c r="D39" s="308"/>
      <c r="E39" s="309"/>
      <c r="F39" s="310"/>
      <c r="G39" s="310"/>
      <c r="H39" s="310"/>
      <c r="I39" s="310"/>
      <c r="J39" s="2030"/>
      <c r="K39" s="3340" t="str">
        <f>MID(A44,3,LEN(A44)-2)</f>
        <v>抵押价格</v>
      </c>
      <c r="L39" s="3341"/>
      <c r="M39" s="3341"/>
      <c r="N39" s="3342"/>
      <c r="O39" s="1392">
        <f ca="1">C44</f>
        <v>54059</v>
      </c>
      <c r="P39" s="2028"/>
      <c r="V39" s="2028"/>
    </row>
    <row r="40" spans="1:26" ht="19.5" thickBot="1">
      <c r="A40" s="104" t="s">
        <v>873</v>
      </c>
      <c r="B40" s="310"/>
      <c r="C40" s="310"/>
      <c r="D40" s="310"/>
      <c r="E40" s="310"/>
      <c r="F40" s="310"/>
      <c r="G40" s="310"/>
      <c r="H40" s="310"/>
      <c r="I40" s="310"/>
      <c r="J40" s="2030"/>
      <c r="K40" s="3340" t="str">
        <f t="shared" ref="K40:K41" si="0">MID(A45,3,LEN(A45)-2)</f>
        <v/>
      </c>
      <c r="L40" s="3341"/>
      <c r="M40" s="3341"/>
      <c r="N40" s="3342"/>
      <c r="O40" s="1392" t="str">
        <f>C45</f>
        <v>——</v>
      </c>
      <c r="P40" s="2028"/>
      <c r="V40" s="2028"/>
    </row>
    <row r="41" spans="1:26" ht="16.5" thickBot="1">
      <c r="A41" s="311" t="s">
        <v>356</v>
      </c>
      <c r="B41" s="312"/>
      <c r="C41" s="313" t="s">
        <v>357</v>
      </c>
      <c r="D41" s="314" t="s">
        <v>358</v>
      </c>
      <c r="E41" s="314" t="s">
        <v>359</v>
      </c>
      <c r="F41" s="315" t="s">
        <v>360</v>
      </c>
      <c r="G41" s="310"/>
      <c r="H41" s="310"/>
      <c r="I41" s="310"/>
      <c r="J41" s="2030"/>
      <c r="K41" s="3340" t="str">
        <f t="shared" si="0"/>
        <v/>
      </c>
      <c r="L41" s="3341"/>
      <c r="M41" s="3341"/>
      <c r="N41" s="3342"/>
      <c r="O41" s="1392" t="str">
        <f>C46</f>
        <v>——</v>
      </c>
      <c r="P41" s="2028"/>
      <c r="V41" s="2028"/>
    </row>
    <row r="42" spans="1:26" ht="29.25">
      <c r="A42" s="3282" t="s">
        <v>2068</v>
      </c>
      <c r="B42" s="3283"/>
      <c r="C42" s="263">
        <f ca="1">C32</f>
        <v>54059</v>
      </c>
      <c r="D42" s="316">
        <f ca="1">C33</f>
        <v>11212</v>
      </c>
      <c r="E42" s="316">
        <f ca="1">C34</f>
        <v>22383</v>
      </c>
      <c r="F42" s="317">
        <f ca="1">C35</f>
        <v>1492</v>
      </c>
      <c r="G42" s="310"/>
      <c r="H42" s="310"/>
      <c r="I42" s="318"/>
      <c r="J42" s="2030"/>
      <c r="K42" s="1270" t="s">
        <v>361</v>
      </c>
      <c r="L42" s="2047" t="s">
        <v>362</v>
      </c>
      <c r="M42" s="1271" t="s">
        <v>363</v>
      </c>
      <c r="N42" s="2048" t="s">
        <v>364</v>
      </c>
      <c r="O42" s="2049" t="s">
        <v>365</v>
      </c>
      <c r="P42" s="2028"/>
      <c r="V42" s="2028"/>
    </row>
    <row r="43" spans="1:26" ht="30">
      <c r="A43" s="3293" t="s">
        <v>2731</v>
      </c>
      <c r="B43" s="3294"/>
      <c r="C43" s="263">
        <f>IF(H33="正常操作",G33+G34+G35,G34+G35)</f>
        <v>0</v>
      </c>
      <c r="D43" s="316" t="s">
        <v>43</v>
      </c>
      <c r="E43" s="316" t="s">
        <v>44</v>
      </c>
      <c r="F43" s="317" t="s">
        <v>44</v>
      </c>
      <c r="G43" s="2844" t="s">
        <v>952</v>
      </c>
      <c r="H43" s="310"/>
      <c r="I43" s="318"/>
      <c r="J43" s="2030"/>
      <c r="K43" s="1272" t="str">
        <f>C4</f>
        <v>剩余法-待开发</v>
      </c>
      <c r="L43" s="1273">
        <f ca="1">IF(L42="估价结果/万元",C19,C20)</f>
        <v>67464</v>
      </c>
      <c r="M43" s="1274">
        <f>C18</f>
        <v>0.2</v>
      </c>
      <c r="N43" s="1275">
        <f ca="1">IF(N42="测算结果/万元",G19,G20)</f>
        <v>54059</v>
      </c>
      <c r="O43" s="1276">
        <f ca="1">IF(O42="最终结果/万元",C32,C33)</f>
        <v>54059</v>
      </c>
      <c r="P43" s="2028"/>
      <c r="V43" s="2028"/>
    </row>
    <row r="44" spans="1:26" ht="30.75" thickBot="1">
      <c r="A44" s="3282" t="str">
        <f>IF(OR(项目基本情况!E8="抵押价格",项目基本情况!E8="已注销及未注销"),"3.抵押价格","——")</f>
        <v>3.抵押价格</v>
      </c>
      <c r="B44" s="3283"/>
      <c r="C44" s="263">
        <f ca="1">IF(A44="——","——",C42-C43)</f>
        <v>54059</v>
      </c>
      <c r="D44" s="316">
        <f ca="1">ROUND(C44*10000/'数据-汇总表'!E3,0)</f>
        <v>11212</v>
      </c>
      <c r="E44" s="316">
        <f ca="1">ROUND(C44*10000/'数据-汇总表'!D3,0)</f>
        <v>22383</v>
      </c>
      <c r="F44" s="317">
        <f ca="1">ROUND(C44/('数据-汇总表'!D3/666.67),0)</f>
        <v>1492</v>
      </c>
      <c r="G44" s="310"/>
      <c r="H44" s="310"/>
      <c r="I44" s="318"/>
      <c r="J44" s="2030"/>
      <c r="K44" s="1277" t="str">
        <f>D4</f>
        <v>比较法-住宅、综合</v>
      </c>
      <c r="L44" s="1278">
        <f ca="1">IF(L42="估价结果/万元",D19,D20)</f>
        <v>50708</v>
      </c>
      <c r="M44" s="1279">
        <f>D18</f>
        <v>0.8</v>
      </c>
      <c r="N44" s="1280"/>
      <c r="O44" s="1281"/>
      <c r="P44" s="2028"/>
      <c r="V44" s="2028"/>
    </row>
    <row r="45" spans="1:26" ht="15">
      <c r="A45" s="3288" t="str">
        <f>IF(项目基本情况!E8="已注销及未注销","4.抵押担保权已注销时的抵押价格",IF(项目基本情况!E8="已注销","3.抵押担保权已注销时的抵押价格","——"))</f>
        <v>——</v>
      </c>
      <c r="B45" s="3289"/>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84" t="str">
        <f>IF(项目基本情况!E9="抵押净值",IF(A45="——","4.抵押净值","5.抵押净值"),"——")</f>
        <v>——</v>
      </c>
      <c r="B46" s="3285"/>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f>B37+B38+[1]结果表!$B$37+[1]结果表!$B$38</f>
        <v>38058.19</v>
      </c>
      <c r="N56" s="2028">
        <f>E37+E38+[1]结果表!$E$37+[1]结果表!$E$38</f>
        <v>2238</v>
      </c>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9" t="s">
        <v>374</v>
      </c>
      <c r="B63" s="3330"/>
      <c r="C63" s="3331"/>
      <c r="D63" s="340">
        <f ca="1">ROUND(C42*F63,0)</f>
        <v>32435</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290" t="s">
        <v>378</v>
      </c>
      <c r="B64" s="3291"/>
      <c r="C64" s="3291"/>
      <c r="D64" s="3291"/>
      <c r="E64" s="3291"/>
      <c r="F64" s="3291"/>
      <c r="G64" s="3292"/>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286" t="s">
        <v>386</v>
      </c>
      <c r="B66" s="3287"/>
      <c r="C66" s="3287"/>
      <c r="D66" s="260">
        <f ca="1">IF(H66="情况1",0,IF(H66="情况2",D70,IF(H66="情况3",D71,IF(H66="情况4",D72))))</f>
        <v>1699</v>
      </c>
      <c r="E66" s="992" t="str">
        <f>IF(H66="情况4","(销售额-原购置价)×税（费）率","销售额×税（费）率")</f>
        <v>销售额×税（费）率</v>
      </c>
      <c r="F66" s="349">
        <f>IF(H66="情况1","免征",'数据-取费表'!B41)</f>
        <v>5.5000000000000007E-2</v>
      </c>
      <c r="G66" s="350" t="s">
        <v>387</v>
      </c>
      <c r="H66" s="191" t="s">
        <v>388</v>
      </c>
      <c r="I66" s="1287"/>
      <c r="J66" s="2034"/>
      <c r="K66" s="1290">
        <v>1</v>
      </c>
      <c r="L66" s="3344" t="s">
        <v>385</v>
      </c>
      <c r="M66" s="3345"/>
      <c r="N66" s="2437"/>
      <c r="O66" s="2438"/>
      <c r="P66" s="2439"/>
      <c r="Q66" s="2028"/>
      <c r="R66" s="2028"/>
      <c r="S66" s="2028"/>
      <c r="T66" s="2028"/>
      <c r="U66" s="2028"/>
      <c r="V66" s="2028"/>
    </row>
    <row r="67" spans="1:22" ht="25.5" customHeight="1">
      <c r="A67" s="351" t="s">
        <v>390</v>
      </c>
      <c r="B67" s="3277" t="s">
        <v>391</v>
      </c>
      <c r="C67" s="3277"/>
      <c r="D67" s="352">
        <v>0</v>
      </c>
      <c r="E67" s="41" t="s">
        <v>392</v>
      </c>
      <c r="F67" s="62" t="s">
        <v>21</v>
      </c>
      <c r="G67" s="3332"/>
      <c r="H67" s="310"/>
      <c r="I67" s="1291"/>
      <c r="J67" s="2035"/>
      <c r="K67" s="1976">
        <v>2</v>
      </c>
      <c r="L67" s="3343" t="s">
        <v>389</v>
      </c>
      <c r="M67" s="3343"/>
      <c r="N67" s="1324">
        <f>'数据-取费表'!B2</f>
        <v>43546</v>
      </c>
      <c r="O67" s="1324"/>
      <c r="P67" s="1324"/>
      <c r="Q67" s="2028"/>
      <c r="R67" s="2028"/>
      <c r="S67" s="2028"/>
      <c r="T67" s="2028"/>
      <c r="U67" s="2028"/>
      <c r="V67" s="2028"/>
    </row>
    <row r="68" spans="1:22" ht="25.5" customHeight="1">
      <c r="A68" s="353"/>
      <c r="B68" s="3277" t="s">
        <v>394</v>
      </c>
      <c r="C68" s="3277"/>
      <c r="D68" s="354"/>
      <c r="E68" s="77"/>
      <c r="F68" s="355"/>
      <c r="G68" s="3333"/>
      <c r="H68" s="310"/>
      <c r="I68" s="1291"/>
      <c r="J68" s="2035"/>
      <c r="K68" s="1976">
        <v>3</v>
      </c>
      <c r="L68" s="3343" t="s">
        <v>393</v>
      </c>
      <c r="M68" s="3343"/>
      <c r="N68" s="1292">
        <f ca="1">C42</f>
        <v>54059</v>
      </c>
      <c r="O68" s="1292"/>
      <c r="P68" s="1292"/>
      <c r="Q68" s="2028"/>
      <c r="R68" s="2028"/>
      <c r="S68" s="2028"/>
      <c r="T68" s="2028"/>
      <c r="U68" s="2028"/>
      <c r="V68" s="2028"/>
    </row>
    <row r="69" spans="1:22" ht="12" customHeight="1">
      <c r="A69" s="356"/>
      <c r="B69" s="3277" t="s">
        <v>395</v>
      </c>
      <c r="C69" s="3277"/>
      <c r="D69" s="357"/>
      <c r="E69" s="73"/>
      <c r="F69" s="355"/>
      <c r="G69" s="3334"/>
      <c r="H69" s="310"/>
      <c r="I69" s="1291"/>
      <c r="J69" s="2035"/>
      <c r="K69" s="1293">
        <v>4</v>
      </c>
      <c r="L69" s="3348" t="s">
        <v>2884</v>
      </c>
      <c r="M69" s="3349"/>
      <c r="N69" s="1294">
        <f ca="1">C44</f>
        <v>54059</v>
      </c>
      <c r="O69" s="1294"/>
      <c r="P69" s="1294"/>
      <c r="Q69" s="2028"/>
      <c r="R69" s="2028"/>
      <c r="S69" s="2028"/>
      <c r="T69" s="2028"/>
      <c r="U69" s="2028"/>
      <c r="V69" s="2028"/>
    </row>
    <row r="70" spans="1:22" ht="24" customHeight="1">
      <c r="A70" s="358" t="s">
        <v>396</v>
      </c>
      <c r="B70" s="3277" t="s">
        <v>397</v>
      </c>
      <c r="C70" s="3277"/>
      <c r="D70" s="357">
        <f ca="1">ROUND(D63*'数据-取费表'!B41/(1+'数据-取费表'!C42),0)</f>
        <v>1699</v>
      </c>
      <c r="E70" s="17" t="s">
        <v>398</v>
      </c>
      <c r="F70" s="359">
        <f>'数据-取费表'!B41</f>
        <v>5.5000000000000007E-2</v>
      </c>
      <c r="G70" s="360"/>
      <c r="H70" s="310"/>
      <c r="I70" s="1291"/>
      <c r="J70" s="2035"/>
      <c r="K70" s="3035"/>
      <c r="L70" s="3036"/>
      <c r="M70" s="3036"/>
      <c r="N70" s="3037" t="s">
        <v>2889</v>
      </c>
      <c r="O70" s="3036"/>
      <c r="P70" s="3038"/>
      <c r="Q70" s="2028"/>
      <c r="R70" s="2028"/>
      <c r="S70" s="2028"/>
      <c r="T70" s="2028"/>
      <c r="U70" s="2028"/>
      <c r="V70" s="2028"/>
    </row>
    <row r="71" spans="1:22" ht="12" customHeight="1">
      <c r="A71" s="358" t="s">
        <v>404</v>
      </c>
      <c r="B71" s="3278" t="s">
        <v>405</v>
      </c>
      <c r="C71" s="3279"/>
      <c r="D71" s="357">
        <f ca="1">ROUND(D63*'数据-取费表'!B41/(1+'数据-取费表'!C42),0)</f>
        <v>1699</v>
      </c>
      <c r="E71" s="17" t="s">
        <v>398</v>
      </c>
      <c r="F71" s="359">
        <f>'数据-取费表'!B41</f>
        <v>5.5000000000000007E-2</v>
      </c>
      <c r="G71" s="360"/>
      <c r="H71" s="310"/>
      <c r="I71" s="1291"/>
      <c r="J71" s="2035"/>
      <c r="K71" s="3034" t="s">
        <v>399</v>
      </c>
      <c r="L71" s="3350" t="s">
        <v>400</v>
      </c>
      <c r="M71" s="3350"/>
      <c r="N71" s="3034" t="s">
        <v>401</v>
      </c>
      <c r="O71" s="3034" t="s">
        <v>402</v>
      </c>
      <c r="P71" s="3034" t="s">
        <v>403</v>
      </c>
      <c r="Q71" s="2028"/>
      <c r="R71" s="2028"/>
      <c r="S71" s="2028"/>
      <c r="T71" s="2028"/>
      <c r="U71" s="2028"/>
      <c r="V71" s="2028"/>
    </row>
    <row r="72" spans="1:22" ht="12" customHeight="1">
      <c r="A72" s="358" t="s">
        <v>407</v>
      </c>
      <c r="B72" s="3278" t="s">
        <v>408</v>
      </c>
      <c r="C72" s="3279"/>
      <c r="D72" s="357">
        <f ca="1">C86</f>
        <v>1589</v>
      </c>
      <c r="E72" s="73" t="s">
        <v>409</v>
      </c>
      <c r="F72" s="359">
        <f>'数据-取费表'!B41</f>
        <v>5.5000000000000007E-2</v>
      </c>
      <c r="G72" s="360"/>
      <c r="H72" s="1297"/>
      <c r="I72" s="1291"/>
      <c r="J72" s="2035"/>
      <c r="K72" s="1976">
        <v>1</v>
      </c>
      <c r="L72" s="3325" t="s">
        <v>406</v>
      </c>
      <c r="M72" s="3325"/>
      <c r="N72" s="1295">
        <f ca="1">D66</f>
        <v>1699</v>
      </c>
      <c r="O72" s="1859" t="str">
        <f>E66</f>
        <v>销售额×税（费）率</v>
      </c>
      <c r="P72" s="1296">
        <f>F66</f>
        <v>5.5000000000000007E-2</v>
      </c>
      <c r="Q72" s="2028"/>
      <c r="R72" s="2028"/>
      <c r="S72" s="2028"/>
      <c r="T72" s="2028"/>
      <c r="U72" s="2028"/>
      <c r="V72" s="2028"/>
    </row>
    <row r="73" spans="1:22" ht="24" customHeight="1">
      <c r="A73" s="3319" t="s">
        <v>411</v>
      </c>
      <c r="B73" s="3287"/>
      <c r="C73" s="3287"/>
      <c r="D73" s="361">
        <f>IF(H73="个人住宅",0,ROUND(D63*I73,0))</f>
        <v>0</v>
      </c>
      <c r="E73" s="17" t="s">
        <v>412</v>
      </c>
      <c r="F73" s="359" t="str">
        <f>IF(H73="正常",I73,"免征")</f>
        <v>免征</v>
      </c>
      <c r="G73" s="360"/>
      <c r="H73" s="191" t="s">
        <v>2456</v>
      </c>
      <c r="I73" s="359">
        <f>'数据-取费表'!B49</f>
        <v>5.0000000000000001E-4</v>
      </c>
      <c r="J73" s="2035"/>
      <c r="K73" s="1976">
        <v>2</v>
      </c>
      <c r="L73" s="3325" t="s">
        <v>410</v>
      </c>
      <c r="M73" s="3325"/>
      <c r="N73" s="1295">
        <f t="shared" ref="N73:P74" si="1">D73</f>
        <v>0</v>
      </c>
      <c r="O73" s="1859" t="str">
        <f t="shared" si="1"/>
        <v>销售额×税（费）率</v>
      </c>
      <c r="P73" s="1296" t="str">
        <f t="shared" si="1"/>
        <v>免征</v>
      </c>
      <c r="Q73" s="2028"/>
      <c r="R73" s="2028"/>
      <c r="S73" s="2028"/>
      <c r="T73" s="2028"/>
      <c r="U73" s="2028"/>
      <c r="V73" s="2028"/>
    </row>
    <row r="74" spans="1:22" ht="24.75">
      <c r="A74" s="3319" t="s">
        <v>415</v>
      </c>
      <c r="B74" s="3287"/>
      <c r="C74" s="3287"/>
      <c r="D74" s="361">
        <f ca="1">IF(H74="个人住宅",D75,D76)</f>
        <v>17732</v>
      </c>
      <c r="E74" s="17" t="s">
        <v>416</v>
      </c>
      <c r="F74" s="359" t="str">
        <f>IF(H74="正常",F76,"免征")</f>
        <v>——</v>
      </c>
      <c r="G74" s="982" t="s">
        <v>417</v>
      </c>
      <c r="H74" s="362" t="s">
        <v>413</v>
      </c>
      <c r="I74" s="42"/>
      <c r="J74" s="2035"/>
      <c r="K74" s="1976">
        <v>3</v>
      </c>
      <c r="L74" s="3325" t="s">
        <v>414</v>
      </c>
      <c r="M74" s="3325"/>
      <c r="N74" s="1295">
        <f t="shared" ca="1" si="1"/>
        <v>17732</v>
      </c>
      <c r="O74" s="1859" t="str">
        <f t="shared" si="1"/>
        <v>增值额×税（费）率</v>
      </c>
      <c r="P74" s="1298" t="str">
        <f t="shared" si="1"/>
        <v>——</v>
      </c>
      <c r="Q74" s="2028"/>
      <c r="R74" s="2028"/>
      <c r="S74" s="2028"/>
      <c r="T74" s="2028"/>
      <c r="U74" s="2028"/>
      <c r="V74" s="2028"/>
    </row>
    <row r="75" spans="1:22" ht="24">
      <c r="A75" s="358" t="s">
        <v>418</v>
      </c>
      <c r="B75" s="3275" t="s">
        <v>419</v>
      </c>
      <c r="C75" s="3305"/>
      <c r="D75" s="363">
        <v>0</v>
      </c>
      <c r="E75" s="41" t="s">
        <v>420</v>
      </c>
      <c r="F75" s="364"/>
      <c r="G75" s="360"/>
      <c r="H75" s="42"/>
      <c r="I75" s="42"/>
      <c r="J75" s="2035"/>
      <c r="K75" s="3027">
        <f>IF(H77="非个人房产","",4)</f>
        <v>4</v>
      </c>
      <c r="L75" s="3325" t="str">
        <f>IF(H77="非个人房产","——","个人所得税")</f>
        <v>个人所得税</v>
      </c>
      <c r="M75" s="3325"/>
      <c r="N75" s="1299">
        <f ca="1">D77</f>
        <v>324</v>
      </c>
      <c r="O75" s="1872" t="str">
        <f>E77</f>
        <v>销售额×税（费）率</v>
      </c>
      <c r="P75" s="1300">
        <f>F77</f>
        <v>0.01</v>
      </c>
      <c r="Q75" s="2028"/>
      <c r="R75" s="2028"/>
      <c r="S75" s="2028"/>
      <c r="T75" s="2028"/>
      <c r="U75" s="2028"/>
      <c r="V75" s="2028"/>
    </row>
    <row r="76" spans="1:22" ht="24.75">
      <c r="A76" s="358" t="s">
        <v>396</v>
      </c>
      <c r="B76" s="3275" t="s">
        <v>422</v>
      </c>
      <c r="C76" s="3276"/>
      <c r="D76" s="361">
        <f ca="1">IF(H76="转让取得",C99,C115)</f>
        <v>17732</v>
      </c>
      <c r="E76" s="17" t="s">
        <v>423</v>
      </c>
      <c r="F76" s="53" t="s">
        <v>21</v>
      </c>
      <c r="G76" s="360"/>
      <c r="H76" s="362" t="s">
        <v>424</v>
      </c>
      <c r="I76" s="42"/>
      <c r="J76" s="2035"/>
      <c r="K76" s="3027" t="str">
        <f>IF(项目基本情况!K6="上海银行",IF(K75="",4,K75+1),"")</f>
        <v/>
      </c>
      <c r="L76" s="3336" t="str">
        <f>IF(项目基本情况!K6="上海银行","其他处置费用","")</f>
        <v/>
      </c>
      <c r="M76" s="3337"/>
      <c r="N76" s="1295" t="str">
        <f>IF(项目基本情况!K6="上海银行",N89,"")</f>
        <v/>
      </c>
      <c r="O76" s="3338" t="str">
        <f>IF(项目基本情况!K6="上海银行","包含处置中涉及的律师、诉讼、拍卖、评估等费用","")</f>
        <v/>
      </c>
      <c r="P76" s="3339"/>
      <c r="Q76" s="2028"/>
      <c r="R76" s="2028"/>
      <c r="S76" s="2028"/>
      <c r="T76" s="2028"/>
      <c r="U76" s="2028"/>
      <c r="V76" s="2028"/>
    </row>
    <row r="77" spans="1:22" ht="26.25" thickBot="1">
      <c r="A77" s="3327" t="s">
        <v>426</v>
      </c>
      <c r="B77" s="3328"/>
      <c r="C77" s="3328"/>
      <c r="D77" s="365">
        <f ca="1">IF(H77="非个人房产","——",IF(H77="个人住宅",0,ROUND(D63*I77,0)))</f>
        <v>324</v>
      </c>
      <c r="E77" s="366" t="str">
        <f>IF(H77="非个人房产","——","销售额×税（费）率")</f>
        <v>销售额×税（费）率</v>
      </c>
      <c r="F77" s="367">
        <f>IF(H77="非个人房产","——",IF(H77="个人住宅","免征",I77))</f>
        <v>0.01</v>
      </c>
      <c r="G77" s="983" t="s">
        <v>417</v>
      </c>
      <c r="H77" s="362" t="s">
        <v>2885</v>
      </c>
      <c r="I77" s="368">
        <v>0.01</v>
      </c>
      <c r="J77" s="2035"/>
      <c r="K77" s="3326">
        <f>IF(AND(K75="",K76=""),4,IF(项目基本情况!K6="上海银行",K76+1,K75+1))</f>
        <v>5</v>
      </c>
      <c r="L77" s="3325" t="s">
        <v>2886</v>
      </c>
      <c r="M77" s="3033" t="s">
        <v>421</v>
      </c>
      <c r="N77" s="1301"/>
      <c r="O77" s="1302">
        <f ca="1">SUMIF(N72:N76,"&lt;9e307")</f>
        <v>19755</v>
      </c>
      <c r="P77" s="1303"/>
      <c r="Q77" s="3031">
        <f ca="1">O77/N69</f>
        <v>0.36543406278325535</v>
      </c>
      <c r="R77" s="2028"/>
      <c r="S77" s="2028"/>
      <c r="T77" s="2028"/>
      <c r="U77" s="2028"/>
      <c r="V77" s="2028"/>
    </row>
    <row r="78" spans="1:22" ht="12" customHeight="1">
      <c r="A78" s="1304"/>
      <c r="B78" s="310"/>
      <c r="C78" s="310"/>
      <c r="D78" s="310"/>
      <c r="E78" s="42"/>
      <c r="F78" s="42"/>
      <c r="G78" s="42"/>
      <c r="H78" s="1002"/>
      <c r="I78" s="310"/>
      <c r="J78" s="2035"/>
      <c r="K78" s="3326"/>
      <c r="L78" s="3325"/>
      <c r="M78" s="3033" t="s">
        <v>425</v>
      </c>
      <c r="N78" s="1301"/>
      <c r="O78" s="1302" t="str">
        <f ca="1">NUMBERSTRING(INT(O77*10000),2)&amp;"元整"</f>
        <v>壹亿玖仟柒佰伍拾伍万元整</v>
      </c>
      <c r="P78" s="1303"/>
      <c r="Q78" s="2028"/>
      <c r="R78" s="2028"/>
      <c r="S78" s="2028"/>
      <c r="T78" s="2028"/>
      <c r="U78" s="2028"/>
      <c r="V78" s="2028"/>
    </row>
    <row r="79" spans="1:22" ht="13.5" thickBot="1">
      <c r="A79" s="3320" t="s">
        <v>427</v>
      </c>
      <c r="B79" s="3320"/>
      <c r="C79" s="3320"/>
      <c r="D79" s="3320"/>
      <c r="E79" s="3320"/>
      <c r="F79" s="42"/>
      <c r="G79" s="42"/>
      <c r="H79" s="1002"/>
      <c r="I79" s="310"/>
      <c r="J79" s="2035"/>
      <c r="K79" s="3346">
        <f>K77+1</f>
        <v>6</v>
      </c>
      <c r="L79" s="3325" t="s">
        <v>2887</v>
      </c>
      <c r="M79" s="3033" t="s">
        <v>421</v>
      </c>
      <c r="N79" s="1301"/>
      <c r="O79" s="1302">
        <f ca="1">N69-O77</f>
        <v>34304</v>
      </c>
      <c r="P79" s="1303"/>
      <c r="Q79" s="2028"/>
      <c r="R79" s="2028"/>
      <c r="S79" s="2028"/>
      <c r="T79" s="2028"/>
      <c r="U79" s="2028"/>
      <c r="V79" s="2028"/>
    </row>
    <row r="80" spans="1:22" ht="25.5">
      <c r="A80" s="3315" t="s">
        <v>428</v>
      </c>
      <c r="B80" s="3316"/>
      <c r="C80" s="993"/>
      <c r="D80" s="993" t="s">
        <v>429</v>
      </c>
      <c r="E80" s="369" t="s">
        <v>430</v>
      </c>
      <c r="F80" s="42"/>
      <c r="G80" s="42"/>
      <c r="H80" s="1002"/>
      <c r="I80" s="310"/>
      <c r="J80" s="2028"/>
      <c r="K80" s="3347"/>
      <c r="L80" s="3325"/>
      <c r="M80" s="3033" t="s">
        <v>425</v>
      </c>
      <c r="N80" s="1301"/>
      <c r="O80" s="1302" t="str">
        <f ca="1">NUMBERSTRING(INT(O79*10000),2)&amp;"元整"</f>
        <v>叁亿肆仟叁佰零肆万元整</v>
      </c>
      <c r="P80" s="1303"/>
      <c r="Q80" s="2028"/>
      <c r="R80" s="2028"/>
      <c r="S80" s="2028"/>
      <c r="T80" s="2028"/>
      <c r="U80" s="2028"/>
      <c r="V80" s="2028"/>
    </row>
    <row r="81" spans="1:26" ht="13.5" thickBot="1">
      <c r="A81" s="380" t="s">
        <v>1824</v>
      </c>
      <c r="B81" s="370" t="s">
        <v>431</v>
      </c>
      <c r="C81" s="371">
        <f ca="1">ROUND((C82+C83)/(1+'数据-取费表'!C42),0)</f>
        <v>30890</v>
      </c>
      <c r="D81" s="372"/>
      <c r="E81" s="373"/>
      <c r="F81" s="42"/>
      <c r="G81" s="42"/>
      <c r="H81" s="1002"/>
      <c r="I81" s="310"/>
      <c r="J81" s="2028"/>
      <c r="K81" s="3027">
        <f>K79+1</f>
        <v>7</v>
      </c>
      <c r="L81" s="3323" t="s">
        <v>2888</v>
      </c>
      <c r="M81" s="3324"/>
      <c r="N81" s="1305"/>
      <c r="O81" s="1306">
        <f ca="1">ROUND(O79*10000/'数据-汇总表'!E3,0)</f>
        <v>7114</v>
      </c>
      <c r="P81" s="1307"/>
      <c r="Q81" s="2028"/>
      <c r="R81" s="2028"/>
      <c r="S81" s="2028"/>
      <c r="T81" s="2028"/>
      <c r="U81" s="2028"/>
      <c r="V81" s="2028"/>
    </row>
    <row r="82" spans="1:26" ht="13.5" thickTop="1">
      <c r="A82" s="374" t="s">
        <v>1825</v>
      </c>
      <c r="B82" s="375" t="s">
        <v>432</v>
      </c>
      <c r="C82" s="376">
        <f ca="1">D63</f>
        <v>32435</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335" t="s">
        <v>2875</v>
      </c>
      <c r="L83" s="3039" t="s">
        <v>2876</v>
      </c>
      <c r="M83" s="3029">
        <f ca="1">IF(N69&gt;10000,N69*0.5%,IF(AND(N69&gt;1000,N69&lt;=10000),N69*1%,IF(AND(N69&gt;100,N69&lt;=1000),N69*3%,IF(AND(N69&gt;10,N69&lt;=100),N69*5%,N69*8%))))</f>
        <v>270.29500000000002</v>
      </c>
      <c r="N83" s="53">
        <f ca="1">ROUND(M83,1)</f>
        <v>270.3</v>
      </c>
      <c r="O83" s="3032"/>
      <c r="P83" s="2028"/>
      <c r="Q83" s="2028"/>
      <c r="R83" s="2028"/>
      <c r="S83" s="2028"/>
      <c r="T83" s="2028"/>
      <c r="U83" s="2028"/>
      <c r="V83" s="2028"/>
    </row>
    <row r="84" spans="1:26" ht="12.75">
      <c r="A84" s="380" t="s">
        <v>1827</v>
      </c>
      <c r="B84" s="381" t="s">
        <v>434</v>
      </c>
      <c r="C84" s="382">
        <v>2000</v>
      </c>
      <c r="D84" s="383" t="s">
        <v>19</v>
      </c>
      <c r="E84" s="3074" t="s">
        <v>2944</v>
      </c>
      <c r="F84" s="42"/>
      <c r="G84" s="42"/>
      <c r="H84" s="1002"/>
      <c r="I84" s="310"/>
      <c r="J84" s="2028"/>
      <c r="K84" s="3335"/>
      <c r="L84" s="3039" t="s">
        <v>2877</v>
      </c>
      <c r="M84" s="3029">
        <f ca="1">IF(N69&gt;2000,N69*0.5%,IF(AND(N69&gt;1000,N69&lt;=2000),N69*0.6%,IF(AND(N69&gt;500,N69&lt;=1000),N69*0.7%,IF(AND(N69&gt;200,N69&lt;=500),N69*0.8%,IF(AND(N69&gt;100,N69&lt;=200),N69*0.9%,IF(AND(N69&gt;50,N69&lt;=100),N69*1%,IF(AND(N69&gt;20,N69&lt;=50),N69*1.5%,IF(AND(N69&gt;10,N69&lt;=20),N69*2%,IF(AND(N69&gt;1,N69&lt;=10),N69*2.5%)))))))))</f>
        <v>270.29500000000002</v>
      </c>
      <c r="N84" s="53">
        <f t="shared" ref="N84:N85" ca="1" si="2">ROUND(M84,1)</f>
        <v>270.3</v>
      </c>
      <c r="O84" s="2028" t="s">
        <v>2878</v>
      </c>
      <c r="P84" s="2028"/>
      <c r="Q84" s="2028"/>
      <c r="R84" s="2028"/>
      <c r="S84" s="2028"/>
      <c r="T84" s="2028"/>
      <c r="U84" s="2028"/>
      <c r="V84" s="2028"/>
    </row>
    <row r="85" spans="1:26" ht="12.75">
      <c r="A85" s="380" t="s">
        <v>1828</v>
      </c>
      <c r="B85" s="381" t="s">
        <v>435</v>
      </c>
      <c r="C85" s="384">
        <f ca="1">C81-C84</f>
        <v>28890</v>
      </c>
      <c r="D85" s="377" t="s">
        <v>19</v>
      </c>
      <c r="E85" s="378"/>
      <c r="F85" s="42"/>
      <c r="G85" s="42"/>
      <c r="H85" s="1002"/>
      <c r="I85" s="310"/>
      <c r="J85" s="2028"/>
      <c r="K85" s="3335"/>
      <c r="L85" s="3039" t="s">
        <v>2879</v>
      </c>
      <c r="M85" s="3029">
        <f ca="1">IF(N69&gt;1000,N69*0.1%,IF(AND(N69&gt;500,N69&lt;=1000),N69*0.5%,IF(AND(N69&gt;50,N69&lt;=500),N69*1%,IF(AND(N69&gt;1,N69&lt;=50),N69*1.5%))))</f>
        <v>54.059000000000005</v>
      </c>
      <c r="N85" s="53">
        <f t="shared" ca="1" si="2"/>
        <v>54.1</v>
      </c>
      <c r="O85" s="2028" t="s">
        <v>2878</v>
      </c>
      <c r="P85" s="2028"/>
      <c r="Q85" s="2028"/>
      <c r="R85" s="2028"/>
      <c r="S85" s="2028"/>
      <c r="T85" s="2028"/>
      <c r="U85" s="2028"/>
      <c r="V85" s="2028"/>
    </row>
    <row r="86" spans="1:26" ht="13.5" thickBot="1">
      <c r="A86" s="385" t="s">
        <v>1829</v>
      </c>
      <c r="B86" s="386" t="s">
        <v>436</v>
      </c>
      <c r="C86" s="387">
        <f ca="1">IF(C85&lt;=0,0,ROUND(C85*D86,0))</f>
        <v>1589</v>
      </c>
      <c r="D86" s="388">
        <f>'数据-取费表'!B41</f>
        <v>5.5000000000000007E-2</v>
      </c>
      <c r="E86" s="389"/>
      <c r="F86" s="42"/>
      <c r="G86" s="42"/>
      <c r="H86" s="1002"/>
      <c r="I86" s="310"/>
      <c r="J86" s="2028"/>
      <c r="K86" s="3335"/>
      <c r="L86" s="3039" t="s">
        <v>2880</v>
      </c>
      <c r="M86" s="3029">
        <f ca="1">N69*0.5%</f>
        <v>270.29500000000002</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35"/>
      <c r="L87" s="3039" t="s">
        <v>2882</v>
      </c>
      <c r="M87" s="3029">
        <f ca="1">IF(N69&gt;=10000,(8.25+(N69-10000)*0.01%),IF(AND(N69&gt;=8000,N69&lt;10000),(7.85+(N69-8000)*0.02%),IF(AND(N69&gt;=5000,N69&lt;8000),(6.65+(N69-5000)*0.04%),IF(AND(N69&gt;=2000,N69&lt;5000),(4.25+(PN69-2000)*0.08%),IF(AND(N69&gt;=1000,N69&lt;2000),(2.75+(N69-1000)*0.15%),IF(AND(N69&gt;=100,N69&lt;1000),(0.5+(N69-100)*0.25%),IF(AND(N69&gt;0,N69&lt;100),N69*0.5%)))))))</f>
        <v>12.655899999999999</v>
      </c>
      <c r="N87" s="53">
        <f ca="1">ROUND(M87*0.9,1)</f>
        <v>11.4</v>
      </c>
      <c r="O87" s="3032"/>
      <c r="P87" s="310"/>
      <c r="Q87" s="2028"/>
      <c r="R87" s="2028"/>
      <c r="S87" s="2028"/>
      <c r="T87" s="2028"/>
      <c r="U87" s="2028"/>
      <c r="V87" s="2028"/>
      <c r="W87" s="291"/>
      <c r="X87" s="291"/>
      <c r="Y87" s="291"/>
      <c r="Z87" s="291"/>
    </row>
    <row r="88" spans="1:26" s="1313" customFormat="1" ht="15" thickBot="1">
      <c r="A88" s="3317" t="s">
        <v>437</v>
      </c>
      <c r="B88" s="3318"/>
      <c r="C88" s="3318"/>
      <c r="D88" s="3318"/>
      <c r="E88" s="3318"/>
      <c r="F88" s="3318"/>
      <c r="G88" s="3318"/>
      <c r="H88" s="3318"/>
      <c r="I88" s="1314"/>
      <c r="J88" s="2036"/>
      <c r="K88" s="3335"/>
      <c r="L88" s="3039" t="s">
        <v>2883</v>
      </c>
      <c r="M88" s="3029">
        <f ca="1">IF(N69&gt;10000,N69*0.5%,IF(AND(N69&gt;5000,N69&lt;=10000),N69*1%,IF(AND(N69&gt;1000,N69&lt;=5000),N69*2%,IF(AND(N69&gt;200,N69&lt;=1000),N69*3%,N69*5%))))</f>
        <v>270.29500000000002</v>
      </c>
      <c r="N88" s="53">
        <f ca="1">ROUND(M88,1)</f>
        <v>270.3</v>
      </c>
      <c r="O88" s="3032"/>
      <c r="P88" s="11"/>
      <c r="Q88" s="2033"/>
      <c r="R88" s="2033"/>
      <c r="S88" s="2033"/>
      <c r="T88" s="2033"/>
      <c r="U88" s="2033"/>
      <c r="V88" s="2033"/>
      <c r="W88" s="2037"/>
      <c r="X88" s="2037"/>
      <c r="Y88" s="2037"/>
      <c r="Z88" s="2037"/>
    </row>
    <row r="89" spans="1:26" s="1313" customFormat="1" ht="14.25">
      <c r="A89" s="3315" t="s">
        <v>428</v>
      </c>
      <c r="B89" s="3316"/>
      <c r="C89" s="993"/>
      <c r="D89" s="993" t="s">
        <v>429</v>
      </c>
      <c r="E89" s="390" t="s">
        <v>438</v>
      </c>
      <c r="F89" s="391"/>
      <c r="G89" s="391"/>
      <c r="H89" s="392"/>
      <c r="I89" s="1315"/>
      <c r="J89" s="2038"/>
      <c r="K89" s="3335"/>
      <c r="L89" s="3039" t="s">
        <v>27</v>
      </c>
      <c r="M89" s="3030"/>
      <c r="N89" s="53">
        <f ca="1">ROUND(SUM(N83:N88),0)</f>
        <v>877</v>
      </c>
      <c r="O89" s="3040">
        <f ca="1">N89/N69</f>
        <v>1.6223015594073142E-2</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30890</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2715</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278" t="s">
        <v>447</v>
      </c>
      <c r="F94" s="3277"/>
      <c r="G94" s="3277"/>
      <c r="H94" s="331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154</v>
      </c>
      <c r="D96" s="405">
        <f>'数据-取费表'!B43</f>
        <v>5.000000000000001E-3</v>
      </c>
      <c r="E96" s="3306" t="s">
        <v>2429</v>
      </c>
      <c r="F96" s="3307"/>
      <c r="G96" s="3307"/>
      <c r="H96" s="330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1" t="s">
        <v>451</v>
      </c>
      <c r="C97" s="384">
        <f ca="1">C90-C91</f>
        <v>28175</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1" t="s">
        <v>452</v>
      </c>
      <c r="C98" s="406">
        <f ca="1">IF(C97&lt;=0,0,C97/C91)</f>
        <v>10.377532228360957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6" t="s">
        <v>453</v>
      </c>
      <c r="C99" s="407">
        <f ca="1">ROUND(IF(C97&lt;=0,0,IF(C98&gt;=200%,C97*60%-C91*35%,IF(C98&gt;=100%,C97*50%-C91*15%,IF(C98&gt;=50%,C97*40%-C91*5%,IF(C98&lt;50%,C97*30%,0))))),0)</f>
        <v>15955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17" t="s">
        <v>454</v>
      </c>
      <c r="B101" s="3318"/>
      <c r="C101" s="3318"/>
      <c r="D101" s="3318"/>
      <c r="E101" s="3318"/>
      <c r="F101" s="3318"/>
      <c r="G101" s="3318"/>
      <c r="H101" s="331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5" t="s">
        <v>428</v>
      </c>
      <c r="B102" s="3316"/>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30890</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844</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v>555</v>
      </c>
      <c r="D106" s="405"/>
      <c r="E106" s="416" t="s">
        <v>457</v>
      </c>
      <c r="F106" s="985"/>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5" t="s">
        <v>461</v>
      </c>
      <c r="C109" s="404">
        <f>IF(H109="——",IF(F1="现房",'剩余法-现房'!C18,'剩余法-待开发'!C18),I109)</f>
        <v>55</v>
      </c>
      <c r="D109" s="405"/>
      <c r="E109" s="3309" t="s">
        <v>462</v>
      </c>
      <c r="F109" s="3307"/>
      <c r="G109" s="3307"/>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5" t="s">
        <v>463</v>
      </c>
      <c r="C110" s="404">
        <f>ROUND((C105+C108+C109)*D110,0)</f>
        <v>63</v>
      </c>
      <c r="D110" s="405">
        <v>0.1</v>
      </c>
      <c r="E110" s="3309" t="s">
        <v>464</v>
      </c>
      <c r="F110" s="3307"/>
      <c r="G110" s="3307"/>
      <c r="H110" s="330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5" t="s">
        <v>450</v>
      </c>
      <c r="C111" s="404">
        <f ca="1">ROUND(D63*D111/(1+'数据-取费表'!C42),0)</f>
        <v>154</v>
      </c>
      <c r="D111" s="405">
        <f>'数据-取费表'!B43</f>
        <v>5.000000000000001E-3</v>
      </c>
      <c r="E111" s="3306" t="s">
        <v>2429</v>
      </c>
      <c r="F111" s="3307"/>
      <c r="G111" s="3307"/>
      <c r="H111" s="330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5" t="s">
        <v>465</v>
      </c>
      <c r="C112" s="404">
        <f>ROUND(C108*D112,0)</f>
        <v>0</v>
      </c>
      <c r="D112" s="405">
        <v>0.2</v>
      </c>
      <c r="E112" s="3309" t="s">
        <v>2454</v>
      </c>
      <c r="F112" s="3307"/>
      <c r="G112" s="3307"/>
      <c r="H112" s="330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1" t="s">
        <v>451</v>
      </c>
      <c r="C113" s="384">
        <f ca="1">ROUND(C103-C104,0)</f>
        <v>30046</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1" t="s">
        <v>452</v>
      </c>
      <c r="C114" s="406">
        <f ca="1">IF(C113&lt;=0,0,C113/C104)</f>
        <v>35.599526066350712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6" t="s">
        <v>453</v>
      </c>
      <c r="C115" s="407">
        <f ca="1">ROUND(IF(C113&lt;=0,0,IF(C114&gt;=200%,C113*60%-C104*35%,IF(C114&gt;=100%,C113*50%-C104*15%,IF(C114&gt;=50%,C113*40%-C104*5%,IF(C114&lt;50%,C113*30%,0))))),0)</f>
        <v>17732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4" sqref="C2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1">
        <f>MATCH(B1,'数据-取费表'!A6:A16,0)+5</f>
        <v>9</v>
      </c>
    </row>
    <row r="2" spans="1:31" s="2041" customFormat="1" ht="18" customHeight="1">
      <c r="A2" s="2101" t="s">
        <v>467</v>
      </c>
      <c r="B2" s="2105">
        <f ca="1">C36</f>
        <v>67464</v>
      </c>
      <c r="C2" s="2104"/>
      <c r="D2" s="2104"/>
      <c r="E2" s="2104"/>
      <c r="F2" s="2104"/>
      <c r="G2" s="2104"/>
      <c r="H2" s="2104"/>
      <c r="I2" s="2104"/>
      <c r="J2" s="2104"/>
      <c r="K2" s="2104"/>
    </row>
    <row r="3" spans="1:31" s="2041" customFormat="1" ht="18" customHeight="1">
      <c r="A3" s="2106" t="s">
        <v>1685</v>
      </c>
      <c r="B3" s="2107">
        <f ca="1">ROUND(B2*10000/IF(B1="",'数据-汇总表'!E3,INDIRECT("'数据-取费表'!K"&amp;$K$1)),0)</f>
        <v>13992</v>
      </c>
      <c r="C3" s="2104"/>
      <c r="D3" s="2104"/>
      <c r="E3" s="2104"/>
      <c r="F3" s="2104"/>
      <c r="G3" s="2104"/>
      <c r="H3" s="2104"/>
      <c r="I3" s="2104"/>
      <c r="J3" s="2104"/>
      <c r="K3" s="2104"/>
    </row>
    <row r="4" spans="1:31" s="2041" customFormat="1" ht="18" customHeight="1">
      <c r="A4" s="425" t="s">
        <v>468</v>
      </c>
      <c r="B4" s="426">
        <f ca="1">ROUND(B2*10000/IF(B1="",'数据-汇总表'!D3,INDIRECT("'数据-取费表'!R"&amp;$K$1)),0)</f>
        <v>27933</v>
      </c>
      <c r="C4" s="427"/>
      <c r="D4" s="421"/>
      <c r="E4" s="421"/>
      <c r="F4" s="421"/>
      <c r="G4" s="421"/>
      <c r="H4" s="421"/>
      <c r="I4" s="421"/>
      <c r="J4" s="421"/>
      <c r="K4" s="421"/>
    </row>
    <row r="5" spans="1:31" s="2041" customFormat="1" ht="18" customHeight="1" thickBot="1">
      <c r="A5" s="428"/>
      <c r="B5" s="429">
        <f ca="1">ROUND(B2/(IF(B1="",'数据-汇总表'!D3,INDIRECT("'数据-取费表'!R"&amp;$K$1))/666.67),0)</f>
        <v>1862</v>
      </c>
      <c r="C5" s="430" t="s">
        <v>469</v>
      </c>
      <c r="D5" s="421"/>
      <c r="E5" s="421"/>
      <c r="F5" s="421"/>
      <c r="G5" s="421"/>
      <c r="H5" s="421"/>
      <c r="I5" s="421"/>
      <c r="J5" s="421"/>
      <c r="K5" s="421"/>
    </row>
    <row r="6" spans="1:31" s="2111" customFormat="1" ht="16.5" customHeight="1">
      <c r="A6" s="2806" t="s">
        <v>1843</v>
      </c>
      <c r="B6" s="2807"/>
      <c r="C6" s="2808">
        <f ca="1">SUM(C10:K10)</f>
        <v>153435</v>
      </c>
      <c r="D6" s="2807"/>
      <c r="E6" s="2807"/>
      <c r="F6" s="2807"/>
      <c r="G6" s="2807"/>
      <c r="H6" s="2807"/>
      <c r="I6" s="2807"/>
      <c r="J6" s="2807"/>
      <c r="K6" s="2809"/>
    </row>
    <row r="7" spans="1:31" s="2113" customFormat="1" ht="15">
      <c r="A7" s="2810" t="s">
        <v>470</v>
      </c>
      <c r="B7" s="2811" t="s">
        <v>471</v>
      </c>
      <c r="C7" s="435" t="s">
        <v>923</v>
      </c>
      <c r="D7" s="435" t="s">
        <v>3008</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12">
        <v>38081</v>
      </c>
      <c r="D8" s="2812">
        <v>38081</v>
      </c>
      <c r="E8" s="2812">
        <f ca="1">不动产收益法!B3</f>
        <v>4350</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25240.000000000004</v>
      </c>
      <c r="D9" s="440">
        <f>SUMIF('数据-汇总表'!$C19:$C33,'剩余法-待开发'!D7,'数据-汇总表'!$E19:$E33)</f>
        <v>14051.610000000002</v>
      </c>
      <c r="E9" s="440">
        <f>SUMIF('数据-汇总表'!$C19:$C33,'剩余法-待开发'!E7,'数据-汇总表'!$E19:$E33)</f>
        <v>8755.64</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2">
        <f>ROUND(C8*C9/10000,0)</f>
        <v>96116</v>
      </c>
      <c r="D10" s="3002">
        <f>ROUND(D8*D9/10000,0)</f>
        <v>53510</v>
      </c>
      <c r="E10" s="3002">
        <f ca="1">不动产收益法!B2</f>
        <v>3809</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49">
        <f ca="1">IF(B1="",'数据-取费表'!P16,INDIRECT("'数据-取费表'!p"&amp;$K$1)+INDIRECT("'数据-取费表'!t"&amp;$K$1))</f>
        <v>27867</v>
      </c>
      <c r="D13" s="2822"/>
      <c r="E13" s="2823"/>
      <c r="F13" s="2824"/>
      <c r="G13" s="2790"/>
      <c r="H13" s="2791"/>
      <c r="I13" s="2791"/>
      <c r="J13" s="2791"/>
      <c r="K13" s="2792"/>
    </row>
    <row r="14" spans="1:31" s="2116" customFormat="1" ht="13.5" customHeight="1">
      <c r="A14" s="2820" t="s">
        <v>1850</v>
      </c>
      <c r="B14" s="2821" t="s">
        <v>480</v>
      </c>
      <c r="C14" s="53">
        <f ca="1">ROUND(C13*F14,0)</f>
        <v>1393</v>
      </c>
      <c r="D14" s="2822"/>
      <c r="E14" s="2823"/>
      <c r="F14" s="2825">
        <f>'数据-取费表'!B33</f>
        <v>0.05</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1171</v>
      </c>
      <c r="D15" s="2822"/>
      <c r="E15" s="2823"/>
      <c r="F15" s="2825">
        <f>'数据-取费表'!B34</f>
        <v>0.08</v>
      </c>
      <c r="G15" s="2790" t="s">
        <v>483</v>
      </c>
      <c r="H15" s="2791"/>
      <c r="I15" s="2791"/>
      <c r="J15" s="2791"/>
      <c r="K15" s="2792"/>
    </row>
    <row r="16" spans="1:31" s="2117" customFormat="1" ht="13.5" customHeight="1">
      <c r="A16" s="2820" t="s">
        <v>1852</v>
      </c>
      <c r="B16" s="2821" t="s">
        <v>484</v>
      </c>
      <c r="C16" s="53">
        <f ca="1">ROUND(D16*E16/10000,0)</f>
        <v>964</v>
      </c>
      <c r="D16" s="2822">
        <f ca="1">IF(B1="",'数据-汇总表'!E3,INDIRECT("'数据-取费表'!K"&amp;$K$1)+INDIRECT("'数据-取费表'!S"&amp;$K$1))</f>
        <v>48217.250000000007</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418</v>
      </c>
      <c r="D17" s="474"/>
      <c r="E17" s="2826"/>
      <c r="F17" s="2827">
        <f>'数据-取费表'!B36</f>
        <v>1.4999999999999999E-2</v>
      </c>
      <c r="G17" s="260" t="s">
        <v>486</v>
      </c>
      <c r="H17" s="2793"/>
      <c r="I17" s="2793"/>
      <c r="J17" s="2793"/>
      <c r="K17" s="278"/>
    </row>
    <row r="18" spans="1:14" s="2116" customFormat="1" ht="13.5" customHeight="1">
      <c r="A18" s="2828" t="s">
        <v>1854</v>
      </c>
      <c r="B18" s="2829" t="s">
        <v>487</v>
      </c>
      <c r="C18" s="2830">
        <f ca="1">SUM(C13:C17)</f>
        <v>31813</v>
      </c>
      <c r="D18" s="2831"/>
      <c r="E18" s="467"/>
      <c r="F18" s="467"/>
      <c r="G18" s="2794" t="s">
        <v>2431</v>
      </c>
      <c r="H18" s="2795"/>
      <c r="I18" s="2795"/>
      <c r="J18" s="2795"/>
      <c r="K18" s="2796"/>
    </row>
    <row r="19" spans="1:14" s="2116" customFormat="1" ht="13.5" customHeight="1">
      <c r="A19" s="2828" t="s">
        <v>1855</v>
      </c>
      <c r="B19" s="2829" t="s">
        <v>488</v>
      </c>
      <c r="C19" s="2786">
        <f ca="1">ROUND(D19*E19/10000,0)</f>
        <v>723</v>
      </c>
      <c r="D19" s="2832">
        <f ca="1">D16</f>
        <v>48217.250000000007</v>
      </c>
      <c r="E19" s="2786">
        <f>'数据-取费表'!B32</f>
        <v>150</v>
      </c>
      <c r="F19" s="467"/>
      <c r="G19" s="2790" t="s">
        <v>489</v>
      </c>
      <c r="H19" s="2791"/>
      <c r="I19" s="2795"/>
      <c r="J19" s="2795"/>
      <c r="K19" s="2796"/>
    </row>
    <row r="20" spans="1:14" s="2116" customFormat="1" ht="13.5" customHeight="1">
      <c r="A20" s="2828" t="s">
        <v>1856</v>
      </c>
      <c r="B20" s="2829" t="s">
        <v>490</v>
      </c>
      <c r="C20" s="2786">
        <f ca="1">C21+C22-IF(B1="",'数据-取费表'!B29,IF(G20="已全部缴纳",C21+C22,H20))</f>
        <v>816</v>
      </c>
      <c r="D20" s="2832"/>
      <c r="E20" s="2786"/>
      <c r="F20" s="2833"/>
      <c r="G20" s="3062"/>
      <c r="H20" s="2788"/>
      <c r="I20" s="2789" t="s">
        <v>2652</v>
      </c>
      <c r="J20" s="2795"/>
      <c r="K20" s="2796"/>
    </row>
    <row r="21" spans="1:14" s="2116" customFormat="1" ht="13.5" customHeight="1">
      <c r="A21" s="2820" t="s">
        <v>1857</v>
      </c>
      <c r="B21" s="2821" t="s">
        <v>491</v>
      </c>
      <c r="C21" s="53">
        <f ca="1">ROUND(D21*E21/10000,0)</f>
        <v>379</v>
      </c>
      <c r="D21" s="2822">
        <f ca="1">IF(B1="",'数据-汇总表'!E5,IF(INDIRECT("'数据-取费表'!c"&amp;$K$1)="住宅",INDIRECT("'数据-取费表'!k"&amp;$K$1),0))</f>
        <v>25240.000000000004</v>
      </c>
      <c r="E21" s="53">
        <f>'数据-取费表'!B27</f>
        <v>150</v>
      </c>
      <c r="F21" s="2825"/>
      <c r="G21" s="26"/>
      <c r="H21" s="51"/>
      <c r="I21" s="51"/>
      <c r="J21" s="51"/>
      <c r="K21" s="2797"/>
    </row>
    <row r="22" spans="1:14" s="2116" customFormat="1" ht="13.5" customHeight="1">
      <c r="A22" s="2820" t="s">
        <v>1858</v>
      </c>
      <c r="B22" s="2821" t="s">
        <v>492</v>
      </c>
      <c r="C22" s="53">
        <f ca="1">ROUND(D22*E22/10000,0)</f>
        <v>437</v>
      </c>
      <c r="D22" s="2822">
        <f ca="1">IF(B1="",'数据-汇总表'!E6,IF(INDIRECT("'数据-取费表'!c"&amp;$K$1)="住宅",INDIRECT("'数据-取费表'!s"&amp;$K$1),INDIRECT("'数据-取费表'!k"&amp;$K$1)+INDIRECT("'数据-取费表'!s"&amp;$K$1)))</f>
        <v>22977.250000000004</v>
      </c>
      <c r="E22" s="53">
        <f>'数据-取费表'!B28</f>
        <v>190</v>
      </c>
      <c r="F22" s="2825"/>
      <c r="G22" s="26"/>
      <c r="H22" s="51"/>
      <c r="I22" s="51"/>
      <c r="J22" s="51"/>
      <c r="K22" s="2797"/>
    </row>
    <row r="23" spans="1:14" s="2116" customFormat="1" ht="13.5" customHeight="1">
      <c r="A23" s="2828" t="s">
        <v>1859</v>
      </c>
      <c r="B23" s="3008" t="s">
        <v>2835</v>
      </c>
      <c r="C23" s="2830">
        <f ca="1">ROUND((C18+C19+C20)*F23,0)</f>
        <v>1001</v>
      </c>
      <c r="D23" s="467"/>
      <c r="E23" s="467"/>
      <c r="F23" s="2834">
        <f>'数据-取费表'!B37</f>
        <v>0.03</v>
      </c>
      <c r="G23" s="2790" t="s">
        <v>2432</v>
      </c>
      <c r="H23" s="2791"/>
      <c r="I23" s="2791"/>
      <c r="J23" s="2791"/>
      <c r="K23" s="2792"/>
      <c r="L23" s="2118"/>
      <c r="M23" s="2118"/>
      <c r="N23" s="2118"/>
    </row>
    <row r="24" spans="1:14" s="2116" customFormat="1" ht="13.5" customHeight="1">
      <c r="A24" s="2828" t="s">
        <v>1860</v>
      </c>
      <c r="B24" s="3008" t="s">
        <v>2838</v>
      </c>
      <c r="C24" s="2830">
        <f ca="1">ROUND(C6*F24,0)</f>
        <v>4603</v>
      </c>
      <c r="D24" s="474"/>
      <c r="E24" s="472"/>
      <c r="F24" s="2834">
        <f>'数据-取费表'!B38</f>
        <v>0.03</v>
      </c>
      <c r="G24" s="2799" t="s">
        <v>499</v>
      </c>
      <c r="H24" s="2793"/>
      <c r="I24" s="2793"/>
      <c r="J24" s="2793"/>
      <c r="K24" s="278"/>
      <c r="L24" s="2118"/>
      <c r="M24" s="2118"/>
      <c r="N24" s="2118"/>
    </row>
    <row r="25" spans="1:14" s="2119" customFormat="1" ht="13.5" customHeight="1">
      <c r="A25" s="2828" t="s">
        <v>1861</v>
      </c>
      <c r="B25" s="3008" t="s">
        <v>2836</v>
      </c>
      <c r="C25" s="466">
        <f>ROUND(F25/(1+'数据-取费表'!C42),4)</f>
        <v>2.9000000000000001E-2</v>
      </c>
      <c r="D25" s="461" t="s">
        <v>2830</v>
      </c>
      <c r="E25" s="468"/>
      <c r="F25" s="2834">
        <f>'数据-取费表'!B48+'数据-取费表'!B49</f>
        <v>3.0499999999999999E-2</v>
      </c>
      <c r="G25" s="2798" t="s">
        <v>2290</v>
      </c>
      <c r="H25" s="2791"/>
      <c r="I25" s="2791"/>
      <c r="J25" s="2791"/>
      <c r="K25" s="2792"/>
    </row>
    <row r="26" spans="1:14" s="2118" customFormat="1" ht="13.5" customHeight="1">
      <c r="A26" s="2828" t="s">
        <v>1862</v>
      </c>
      <c r="B26" s="3009" t="s">
        <v>2837</v>
      </c>
      <c r="C26" s="2835">
        <f ca="1">C28</f>
        <v>2808</v>
      </c>
      <c r="D26" s="466">
        <f ca="1">C27</f>
        <v>0.1537</v>
      </c>
      <c r="E26" s="468" t="s">
        <v>495</v>
      </c>
      <c r="F26" s="470">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2" t="s">
        <v>1857</v>
      </c>
      <c r="B27" s="2836" t="s">
        <v>496</v>
      </c>
      <c r="C27" s="2837">
        <f ca="1">ROUND(IF('数据-取费表'!B22&lt;=1,(1+C25)*F26*'数据-取费表'!B24,(1+C25)*(POWER((1+F26),'数据-取费表'!B24)-1)),4)</f>
        <v>0.1537</v>
      </c>
      <c r="D27" s="471"/>
      <c r="E27" s="472"/>
      <c r="F27" s="473"/>
      <c r="G27" s="2551" t="str">
        <f>IF('数据-取费表'!B22&lt;=1,"（1+取得税费率/(1+5%)）×年利率×建设期","（1+取得税费率）/(1+5%)×((1+年利率)^建设期-1)")</f>
        <v>（1+取得税费率）/(1+5%)×((1+年利率)^建设期-1)</v>
      </c>
      <c r="H27" s="2793"/>
      <c r="I27" s="2793"/>
      <c r="J27" s="2793"/>
      <c r="K27" s="278"/>
    </row>
    <row r="28" spans="1:14" s="2120" customFormat="1" ht="13.5" customHeight="1">
      <c r="A28" s="802" t="s">
        <v>1858</v>
      </c>
      <c r="B28" s="2836" t="s">
        <v>2839</v>
      </c>
      <c r="C28" s="2838">
        <f ca="1">ROUND(IF('数据-取费表'!B22&lt;=1,(C18+C19+C20+C23+C24)*F26*'数据-取费表'!B24/2,(C18+C19+C20+C23+C24)*(POWER((1+F26),'数据-取费表'!B24/2)-1)),0)</f>
        <v>2808</v>
      </c>
      <c r="D28" s="471"/>
      <c r="E28" s="472"/>
      <c r="F28" s="473"/>
      <c r="G28" s="2551" t="str">
        <f>IF('数据-取费表'!B22&lt;=1,"（1）-（4）项×年利率×建设期÷2","（1）-（4）项×((1+年利率)^(建设期÷2)-1)")</f>
        <v>（1）-（4）项×((1+年利率)^(建设期÷2)-1)</v>
      </c>
      <c r="H28" s="2793"/>
      <c r="I28" s="2793"/>
      <c r="J28" s="2793"/>
      <c r="K28" s="278"/>
    </row>
    <row r="29" spans="1:14" s="2120" customFormat="1" ht="13.5" customHeight="1">
      <c r="A29" s="2839" t="s">
        <v>1863</v>
      </c>
      <c r="B29" s="2829" t="s">
        <v>497</v>
      </c>
      <c r="C29" s="2830">
        <f ca="1">ROUND(C6*F29/(1+'数据-取费表'!C42),0)</f>
        <v>8037</v>
      </c>
      <c r="D29" s="467"/>
      <c r="E29" s="467"/>
      <c r="F29" s="3010">
        <f>'数据-取费表'!B41</f>
        <v>5.5000000000000007E-2</v>
      </c>
      <c r="G29" s="2799" t="s">
        <v>498</v>
      </c>
      <c r="H29" s="2791"/>
      <c r="I29" s="2791"/>
      <c r="J29" s="2791"/>
      <c r="K29" s="2792"/>
    </row>
    <row r="30" spans="1:14" s="2121" customFormat="1" ht="13.5" customHeight="1">
      <c r="A30" s="1635" t="s">
        <v>1864</v>
      </c>
      <c r="B30" s="2840" t="s">
        <v>500</v>
      </c>
      <c r="C30" s="2835">
        <f ca="1">C31</f>
        <v>49801</v>
      </c>
      <c r="D30" s="476">
        <f ca="1">C32</f>
        <v>0.1827</v>
      </c>
      <c r="E30" s="468" t="s">
        <v>495</v>
      </c>
      <c r="F30" s="470"/>
      <c r="G30" s="2798" t="s">
        <v>2976</v>
      </c>
      <c r="H30" s="2791"/>
      <c r="I30" s="2791"/>
      <c r="J30" s="2791"/>
      <c r="K30" s="2792"/>
    </row>
    <row r="31" spans="1:14" s="2120" customFormat="1" ht="13.5" customHeight="1">
      <c r="A31" s="802" t="s">
        <v>1857</v>
      </c>
      <c r="B31" s="2836"/>
      <c r="C31" s="449">
        <f ca="1">C18+C19+C20+C23+C24+C26+C29</f>
        <v>49801</v>
      </c>
      <c r="D31" s="471"/>
      <c r="E31" s="472"/>
      <c r="F31" s="473"/>
      <c r="G31" s="260"/>
      <c r="H31" s="2793"/>
      <c r="I31" s="2793"/>
      <c r="J31" s="2793"/>
      <c r="K31" s="278"/>
    </row>
    <row r="32" spans="1:14" s="2120" customFormat="1" ht="13.5" customHeight="1">
      <c r="A32" s="802" t="s">
        <v>1858</v>
      </c>
      <c r="B32" s="2836"/>
      <c r="C32" s="53">
        <f ca="1">ROUND(C25+D26,4)</f>
        <v>0.1827</v>
      </c>
      <c r="D32" s="471"/>
      <c r="E32" s="472"/>
      <c r="F32" s="473"/>
      <c r="G32" s="260"/>
      <c r="H32" s="2793"/>
      <c r="I32" s="2793"/>
      <c r="J32" s="2793"/>
      <c r="K32" s="278"/>
    </row>
    <row r="33" spans="1:11" s="2122" customFormat="1" ht="13.5" customHeight="1">
      <c r="A33" s="3007" t="s">
        <v>2834</v>
      </c>
      <c r="B33" s="3005" t="s">
        <v>2832</v>
      </c>
      <c r="C33" s="477">
        <f ca="1">C35</f>
        <v>8570</v>
      </c>
      <c r="D33" s="466">
        <f ca="1">C34</f>
        <v>0.22639999999999999</v>
      </c>
      <c r="E33" s="468" t="s">
        <v>495</v>
      </c>
      <c r="F33" s="478">
        <f ca="1">IF(B1="",'数据-取费表'!Q16,INDIRECT("'数据-取费表'!q"&amp;$K$1))</f>
        <v>0.22</v>
      </c>
      <c r="G33" s="2794"/>
      <c r="H33" s="2795"/>
      <c r="I33" s="2795"/>
      <c r="J33" s="2795"/>
      <c r="K33" s="2796"/>
    </row>
    <row r="34" spans="1:11" s="2123" customFormat="1" ht="13.5" customHeight="1">
      <c r="A34" s="374" t="s">
        <v>1857</v>
      </c>
      <c r="B34" s="2841" t="s">
        <v>501</v>
      </c>
      <c r="C34" s="471">
        <f ca="1">ROUND((1+C25)*F33,4)</f>
        <v>0.22639999999999999</v>
      </c>
      <c r="D34" s="471"/>
      <c r="E34" s="472"/>
      <c r="F34" s="479"/>
      <c r="G34" s="260" t="s">
        <v>2291</v>
      </c>
      <c r="H34" s="2793"/>
      <c r="I34" s="2793"/>
      <c r="J34" s="2793"/>
      <c r="K34" s="278"/>
    </row>
    <row r="35" spans="1:11" s="2123" customFormat="1" ht="13.5" customHeight="1" thickBot="1">
      <c r="A35" s="1636" t="s">
        <v>1858</v>
      </c>
      <c r="B35" s="3006" t="s">
        <v>2840</v>
      </c>
      <c r="C35" s="1628">
        <f ca="1">ROUND((C18+C19+C20+C23+C24)*F33,0)</f>
        <v>8570</v>
      </c>
      <c r="D35" s="1629"/>
      <c r="E35" s="2842"/>
      <c r="F35" s="1630"/>
      <c r="G35" s="2800"/>
      <c r="H35" s="2801"/>
      <c r="I35" s="2801"/>
      <c r="J35" s="2801"/>
      <c r="K35" s="2802"/>
    </row>
    <row r="36" spans="1:11" s="2085" customFormat="1" ht="13.5" customHeight="1" thickBot="1">
      <c r="A36" s="283" t="s">
        <v>1845</v>
      </c>
      <c r="B36" s="2804"/>
      <c r="C36" s="2843">
        <f ca="1">ROUND((C6-C30-C33)/(1+D30+D33),0)</f>
        <v>67464</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787"/>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1849</v>
      </c>
      <c r="B13" s="448" t="s">
        <v>479</v>
      </c>
      <c r="C13" s="449">
        <f ca="1">IF(B1="",'数据-取费表'!M16,INDIRECT("'数据-取费表'!M"&amp;$K$1)+INDIRECT("'数据-取费表'!t"&amp;$K$1))</f>
        <v>27867</v>
      </c>
      <c r="D13" s="450"/>
      <c r="E13" s="364"/>
      <c r="F13" s="451"/>
      <c r="G13" s="443"/>
      <c r="H13" s="446"/>
      <c r="I13" s="446"/>
      <c r="J13" s="446"/>
      <c r="K13" s="447"/>
    </row>
    <row r="14" spans="1:41" s="2116" customFormat="1" ht="13.5" customHeight="1">
      <c r="A14" s="1633" t="s">
        <v>1850</v>
      </c>
      <c r="B14" s="448" t="s">
        <v>480</v>
      </c>
      <c r="C14" s="53">
        <f ca="1">ROUND(C13*F14,0)</f>
        <v>1393</v>
      </c>
      <c r="D14" s="450"/>
      <c r="E14" s="364"/>
      <c r="F14" s="452">
        <f>'数据-取费表'!B33</f>
        <v>0.05</v>
      </c>
      <c r="G14" s="443" t="s">
        <v>502</v>
      </c>
      <c r="H14" s="446"/>
      <c r="I14" s="446"/>
      <c r="J14" s="446"/>
      <c r="K14" s="447"/>
    </row>
    <row r="15" spans="1:41" s="2116" customFormat="1" ht="13.5" customHeight="1">
      <c r="A15" s="1633" t="s">
        <v>1851</v>
      </c>
      <c r="B15" s="448" t="s">
        <v>482</v>
      </c>
      <c r="C15" s="53">
        <f ca="1">ROUND(IF(B1="",SUMIF('数据-取费表'!C:C,"住宅",'数据-取费表'!M:M)*F15,IF(INDIRECT("'数据-取费表'!c"&amp;$K$1)="住宅",INDIRECT("'数据-取费表'!M"&amp;$K$1)*F15,0)),0)</f>
        <v>1171</v>
      </c>
      <c r="D15" s="450"/>
      <c r="E15" s="364"/>
      <c r="F15" s="452">
        <f>'数据-取费表'!B34</f>
        <v>0.08</v>
      </c>
      <c r="G15" s="443" t="s">
        <v>502</v>
      </c>
      <c r="H15" s="446"/>
      <c r="I15" s="446"/>
      <c r="J15" s="446"/>
      <c r="K15" s="447"/>
    </row>
    <row r="16" spans="1:41" s="2117" customFormat="1" ht="13.5" customHeight="1">
      <c r="A16" s="1633" t="s">
        <v>1852</v>
      </c>
      <c r="B16" s="448" t="s">
        <v>484</v>
      </c>
      <c r="C16" s="53">
        <f ca="1">ROUND(D16*E16/10000,0)</f>
        <v>964</v>
      </c>
      <c r="D16" s="450">
        <f ca="1">IF(B1="",'数据-汇总表'!E3,INDIRECT("'数据-取费表'!K"&amp;$K$1)+INDIRECT("'数据-取费表'!S"&amp;$K$1))</f>
        <v>48217.250000000007</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8" t="s">
        <v>485</v>
      </c>
      <c r="C17" s="453">
        <f ca="1">ROUND(C13*F17,0)</f>
        <v>418</v>
      </c>
      <c r="D17" s="454"/>
      <c r="E17" s="453"/>
      <c r="F17" s="455">
        <f>'数据-取费表'!B36</f>
        <v>1.4999999999999999E-2</v>
      </c>
      <c r="G17" s="443" t="s">
        <v>502</v>
      </c>
      <c r="H17" s="456"/>
      <c r="I17" s="456"/>
      <c r="J17" s="456"/>
      <c r="K17" s="457"/>
    </row>
    <row r="18" spans="1:14" s="2119" customFormat="1" ht="13.5" customHeight="1">
      <c r="A18" s="1634" t="s">
        <v>1854</v>
      </c>
      <c r="B18" s="458" t="s">
        <v>487</v>
      </c>
      <c r="C18" s="459">
        <f ca="1">SUM(C13:C17)</f>
        <v>31813</v>
      </c>
      <c r="D18" s="460"/>
      <c r="E18" s="461"/>
      <c r="F18" s="461"/>
      <c r="G18" s="1326" t="s">
        <v>2433</v>
      </c>
      <c r="H18" s="446"/>
      <c r="I18" s="446"/>
      <c r="J18" s="446"/>
      <c r="K18" s="447"/>
    </row>
    <row r="19" spans="1:14" s="2119" customFormat="1" ht="13.5" customHeight="1">
      <c r="A19" s="1634" t="s">
        <v>1855</v>
      </c>
      <c r="B19" s="458" t="s">
        <v>493</v>
      </c>
      <c r="C19" s="459">
        <f ca="1">ROUND(C18*F19,0)</f>
        <v>954</v>
      </c>
      <c r="D19" s="461"/>
      <c r="E19" s="461"/>
      <c r="F19" s="465">
        <f>'数据-取费表'!B37</f>
        <v>0.03</v>
      </c>
      <c r="G19" s="443" t="s">
        <v>503</v>
      </c>
      <c r="H19" s="446"/>
      <c r="I19" s="446"/>
      <c r="J19" s="446"/>
      <c r="K19" s="447"/>
      <c r="L19" s="2121"/>
      <c r="M19" s="2121"/>
      <c r="N19" s="2121"/>
    </row>
    <row r="20" spans="1:14" s="2119" customFormat="1" ht="13.5" customHeight="1">
      <c r="A20" s="1634" t="s">
        <v>1856</v>
      </c>
      <c r="B20" s="458" t="s">
        <v>504</v>
      </c>
      <c r="C20" s="3003">
        <f>F20</f>
        <v>0.03</v>
      </c>
      <c r="D20" s="468" t="s">
        <v>505</v>
      </c>
      <c r="E20" s="468"/>
      <c r="F20" s="485">
        <f>'数据-取费表'!B38</f>
        <v>0.03</v>
      </c>
      <c r="G20" s="1326" t="s">
        <v>506</v>
      </c>
      <c r="H20" s="446"/>
      <c r="I20" s="446"/>
      <c r="J20" s="446"/>
      <c r="K20" s="447"/>
      <c r="L20" s="2121"/>
      <c r="M20" s="2121"/>
      <c r="N20" s="2121"/>
    </row>
    <row r="21" spans="1:14" s="2121" customFormat="1" ht="13.5" customHeight="1">
      <c r="A21" s="1634" t="s">
        <v>1859</v>
      </c>
      <c r="B21" s="460" t="s">
        <v>494</v>
      </c>
      <c r="C21" s="469">
        <f ca="1">C22</f>
        <v>2362</v>
      </c>
      <c r="D21" s="466">
        <f ca="1">C23</f>
        <v>2.2000000000000001E-3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3" t="s">
        <v>1849</v>
      </c>
      <c r="B22" s="1327" t="s">
        <v>2436</v>
      </c>
      <c r="C22" s="486">
        <f ca="1">ROUND(IF('数据-取费表'!B22&lt;=1,(C18+C19)*F21*'数据-取费表'!B20/2,(C18+C19)*(POWER((1+F21),'数据-取费表'!B20/2)-1)),0)</f>
        <v>2362</v>
      </c>
      <c r="D22" s="471"/>
      <c r="E22" s="472"/>
      <c r="F22" s="473"/>
      <c r="G22" s="2546" t="str">
        <f>IF('数据-取费表'!B22&lt;=1,"((1)+(2))×年利率×建设期÷2","((1)+(2))×((1+年利率)^(建设期÷2)-1)")</f>
        <v>((1)+(2))×((1+年利率)^(建设期÷2)-1)</v>
      </c>
      <c r="H22" s="456"/>
      <c r="I22" s="456"/>
      <c r="J22" s="456"/>
      <c r="K22" s="457"/>
    </row>
    <row r="23" spans="1:14" s="2120" customFormat="1" ht="13.5" customHeight="1">
      <c r="A23" s="1633" t="s">
        <v>1850</v>
      </c>
      <c r="B23" s="1327" t="s">
        <v>508</v>
      </c>
      <c r="C23" s="487">
        <f ca="1">ROUND(IF('数据-取费表'!B22&lt;=1,F20*F21*'数据-取费表'!B20/2,F20*(POWER((1+F21),'数据-取费表'!B20/2)-1)),4)</f>
        <v>2.2000000000000001E-3</v>
      </c>
      <c r="D23" s="471"/>
      <c r="E23" s="472"/>
      <c r="F23" s="473"/>
      <c r="G23" s="2546" t="str">
        <f>IF('数据-取费表'!B22&lt;=1,"销售费用率×年利率×建设期÷2","销售费用率×((1+年利率)^(建设期÷2)-1)")</f>
        <v>销售费用率×((1+年利率)^(建设期÷2)-1)</v>
      </c>
      <c r="H23" s="456"/>
      <c r="I23" s="456"/>
      <c r="J23" s="456"/>
      <c r="K23" s="457"/>
    </row>
    <row r="24" spans="1:14" s="2120" customFormat="1" ht="13.5" customHeight="1">
      <c r="A24" s="1634" t="s">
        <v>1860</v>
      </c>
      <c r="B24" s="3005" t="s">
        <v>2833</v>
      </c>
      <c r="C24" s="477">
        <f ca="1">C25</f>
        <v>7209</v>
      </c>
      <c r="D24" s="488">
        <f ca="1">C26</f>
        <v>6.6E-3</v>
      </c>
      <c r="E24" s="468" t="s">
        <v>507</v>
      </c>
      <c r="F24" s="478">
        <f ca="1">IF(B1="",'数据-取费表'!Q16,INDIRECT("'数据-取费表'!q"&amp;$K$1))</f>
        <v>0.22</v>
      </c>
      <c r="G24" s="443"/>
      <c r="H24" s="446"/>
      <c r="I24" s="446"/>
      <c r="J24" s="446"/>
      <c r="K24" s="447"/>
    </row>
    <row r="25" spans="1:14" s="2120" customFormat="1" ht="13.5" customHeight="1">
      <c r="A25" s="1633" t="s">
        <v>1849</v>
      </c>
      <c r="B25" s="1327" t="s">
        <v>2437</v>
      </c>
      <c r="C25" s="489">
        <f ca="1">ROUND((C18+C19)*F24,0)</f>
        <v>7209</v>
      </c>
      <c r="D25" s="471"/>
      <c r="E25" s="472"/>
      <c r="F25" s="479"/>
      <c r="G25" s="1325" t="s">
        <v>2434</v>
      </c>
      <c r="H25" s="456"/>
      <c r="I25" s="456"/>
      <c r="J25" s="456"/>
      <c r="K25" s="457"/>
    </row>
    <row r="26" spans="1:14" s="2120" customFormat="1" ht="13.5" customHeight="1">
      <c r="A26" s="1633" t="s">
        <v>1850</v>
      </c>
      <c r="B26" s="1327" t="s">
        <v>509</v>
      </c>
      <c r="C26" s="490">
        <f ca="1">ROUND(F20*F24,4)</f>
        <v>6.6E-3</v>
      </c>
      <c r="D26" s="471"/>
      <c r="E26" s="480"/>
      <c r="F26" s="479"/>
      <c r="G26" s="1325" t="s">
        <v>510</v>
      </c>
      <c r="H26" s="456"/>
      <c r="I26" s="456"/>
      <c r="J26" s="456"/>
      <c r="K26" s="457"/>
    </row>
    <row r="27" spans="1:14" s="2120" customFormat="1" ht="13.5" customHeight="1">
      <c r="A27" s="1637" t="s">
        <v>1868</v>
      </c>
      <c r="B27" s="458" t="s">
        <v>511</v>
      </c>
      <c r="C27" s="3004">
        <f>ROUND(F27/(1+'数据-取费表'!C42),4)</f>
        <v>5.2400000000000002E-2</v>
      </c>
      <c r="D27" s="461" t="s">
        <v>2831</v>
      </c>
      <c r="E27" s="461"/>
      <c r="F27" s="465">
        <f>'数据-取费表'!B41</f>
        <v>5.5000000000000007E-2</v>
      </c>
      <c r="G27" s="1960" t="s">
        <v>2292</v>
      </c>
      <c r="H27" s="446"/>
      <c r="I27" s="446"/>
      <c r="J27" s="446"/>
      <c r="K27" s="447"/>
    </row>
    <row r="28" spans="1:14" s="2121" customFormat="1" ht="13.5" customHeight="1">
      <c r="A28" s="1637" t="s">
        <v>1869</v>
      </c>
      <c r="B28" s="475" t="s">
        <v>512</v>
      </c>
      <c r="C28" s="469">
        <f ca="1">ROUND((C18+C19+C21+C24)/(1-C20-D21-D24-C27),0)</f>
        <v>46587</v>
      </c>
      <c r="D28" s="476"/>
      <c r="E28" s="468"/>
      <c r="F28" s="470"/>
      <c r="G28" s="1326" t="s">
        <v>2435</v>
      </c>
      <c r="H28" s="446"/>
      <c r="I28" s="446"/>
      <c r="J28" s="446"/>
      <c r="K28" s="447"/>
    </row>
    <row r="29" spans="1:14" s="2121"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61" t="s">
        <v>1866</v>
      </c>
      <c r="B31" s="1329"/>
      <c r="C31" s="499">
        <f>ROUND(C6*F31/(1+'数据-取费表'!C42),0)</f>
        <v>0</v>
      </c>
      <c r="D31" s="1330"/>
      <c r="E31" s="1330"/>
      <c r="F31" s="500">
        <f>'数据-取费表'!B41</f>
        <v>5.5000000000000007E-2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2" t="s">
        <v>2977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6" t="str">
        <f>项目基本情况!B1</f>
        <v>北京市房山区青龙湖中心区01-0010、0021地块R2二类居住用地、01-0015地块B4综合性商业金融服务业用地出让国有建设用地使用权抵押价格预评估</v>
      </c>
      <c r="C37" s="3186"/>
      <c r="D37" s="3186"/>
      <c r="E37" s="3186"/>
      <c r="F37" s="3186"/>
      <c r="G37" s="3186"/>
      <c r="H37" s="3186"/>
      <c r="I37" s="3186"/>
    </row>
    <row r="38" spans="1:9">
      <c r="A38" s="1656"/>
      <c r="B38" s="1656"/>
    </row>
    <row r="39" spans="1:9">
      <c r="A39" s="1654" t="s">
        <v>1902</v>
      </c>
      <c r="B39" s="1654" t="s">
        <v>2047</v>
      </c>
    </row>
    <row r="40" spans="1:9">
      <c r="A40" s="1654"/>
      <c r="B40" s="1654" t="str">
        <f>项目基本情况!B5</f>
        <v>中铁建设集团房地产有限公司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崔锴、赵雯</v>
      </c>
    </row>
    <row r="47" spans="1:9">
      <c r="A47" s="1654"/>
      <c r="B47" s="1654"/>
    </row>
    <row r="48" spans="1:9">
      <c r="A48" s="1654" t="s">
        <v>1902</v>
      </c>
      <c r="B48" s="1654" t="s">
        <v>2049</v>
      </c>
    </row>
    <row r="49" spans="2:2">
      <c r="B49" s="1654" t="str">
        <f>"康正预评字"&amp;项目基本情况!B2&amp;"号"</f>
        <v>康正预评字2019-1-0114-P01DYGJ1号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9" zoomScale="70" zoomScaleNormal="95" zoomScaleSheetLayoutView="70" workbookViewId="0">
      <selection activeCell="N53" sqref="N53"/>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50708</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10517</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20996</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1400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521</v>
      </c>
      <c r="B6" s="512"/>
      <c r="C6" s="3360" t="s">
        <v>522</v>
      </c>
      <c r="D6" s="3361"/>
      <c r="E6" s="3360" t="s">
        <v>523</v>
      </c>
      <c r="F6" s="3361"/>
      <c r="G6" s="3360" t="s">
        <v>524</v>
      </c>
      <c r="H6" s="3361"/>
      <c r="I6" s="3360" t="s">
        <v>525</v>
      </c>
      <c r="J6" s="3361"/>
      <c r="K6" s="513" t="s">
        <v>526</v>
      </c>
      <c r="L6" s="2133"/>
      <c r="M6" s="2132"/>
      <c r="N6" s="2132"/>
      <c r="O6" s="2134"/>
      <c r="P6" s="3362" t="s">
        <v>527</v>
      </c>
      <c r="Q6" s="3363"/>
      <c r="R6" s="3368" t="s">
        <v>523</v>
      </c>
      <c r="S6" s="3369"/>
      <c r="T6" s="3368" t="s">
        <v>524</v>
      </c>
      <c r="U6" s="3369"/>
      <c r="V6" s="3355" t="s">
        <v>525</v>
      </c>
      <c r="W6" s="3355"/>
      <c r="X6" s="1567"/>
      <c r="Y6" s="3368" t="s">
        <v>527</v>
      </c>
      <c r="Z6" s="3369"/>
      <c r="AA6" s="3357" t="s">
        <v>523</v>
      </c>
      <c r="AB6" s="3358" t="s">
        <v>524</v>
      </c>
      <c r="AC6" s="3357" t="s">
        <v>525</v>
      </c>
    </row>
    <row r="7" spans="1:30" ht="61.5" customHeight="1">
      <c r="A7" s="514"/>
      <c r="B7" s="515"/>
      <c r="C7" s="3376" t="str">
        <f>Sheet1!A3</f>
        <v>北京市房山区青龙湖镇中心区01-0010、0021地块R2二类居住用地、01-0015地块B4综合性商业金融服务业用地</v>
      </c>
      <c r="D7" s="3377"/>
      <c r="E7" s="3376" t="str">
        <f>Sheet1!A2</f>
        <v>北京市丰台区王佐镇魏各庄FT00-0503-0092等地块(丰台区青龙湖国际会都核心区C地块)二类居住及基础教育用地</v>
      </c>
      <c r="F7" s="3377"/>
      <c r="G7" s="3376" t="s">
        <v>3170</v>
      </c>
      <c r="H7" s="3377"/>
      <c r="I7" s="3376" t="str">
        <f>Sheet1!A7</f>
        <v>丰台区王佐镇青龙湖地区FT00-0503-0053等地块</v>
      </c>
      <c r="J7" s="3377"/>
      <c r="K7" s="513"/>
      <c r="L7" s="2133"/>
      <c r="M7" s="2132"/>
      <c r="N7" s="2132"/>
      <c r="O7" s="2134"/>
      <c r="P7" s="3364"/>
      <c r="Q7" s="3365"/>
      <c r="R7" s="3370"/>
      <c r="S7" s="3371"/>
      <c r="T7" s="3370"/>
      <c r="U7" s="3371"/>
      <c r="V7" s="3355"/>
      <c r="W7" s="3355"/>
      <c r="X7" s="1567"/>
      <c r="Y7" s="3370"/>
      <c r="Z7" s="3371"/>
      <c r="AA7" s="3358"/>
      <c r="AB7" s="3358"/>
      <c r="AC7" s="3358"/>
    </row>
    <row r="8" spans="1:30" ht="21" thickBot="1">
      <c r="A8" s="514"/>
      <c r="B8" s="515"/>
      <c r="C8" s="3378" t="s">
        <v>3127</v>
      </c>
      <c r="D8" s="3379"/>
      <c r="E8" s="3378" t="s">
        <v>3125</v>
      </c>
      <c r="F8" s="3379"/>
      <c r="G8" s="3380" t="s">
        <v>3126</v>
      </c>
      <c r="H8" s="3375"/>
      <c r="I8" s="3374" t="s">
        <v>3124</v>
      </c>
      <c r="J8" s="3375"/>
      <c r="K8" s="513" t="s">
        <v>528</v>
      </c>
      <c r="L8" s="2133"/>
      <c r="M8" s="2132"/>
      <c r="N8" s="2132"/>
      <c r="O8" s="2134"/>
      <c r="P8" s="3366"/>
      <c r="Q8" s="3367"/>
      <c r="R8" s="3370"/>
      <c r="S8" s="3371"/>
      <c r="T8" s="3372"/>
      <c r="U8" s="3373"/>
      <c r="V8" s="3355"/>
      <c r="W8" s="3355"/>
      <c r="X8" s="1567"/>
      <c r="Y8" s="3372"/>
      <c r="Z8" s="3373"/>
      <c r="AA8" s="3359"/>
      <c r="AB8" s="3359"/>
      <c r="AC8" s="3359"/>
    </row>
    <row r="9" spans="1:30" s="1219" customFormat="1" ht="21" thickBot="1">
      <c r="A9" s="2890"/>
      <c r="B9" s="2897" t="s">
        <v>529</v>
      </c>
      <c r="C9" s="2889">
        <f>'数据-取费表'!B2</f>
        <v>43546</v>
      </c>
      <c r="D9" s="519">
        <v>100</v>
      </c>
      <c r="E9" s="520" t="str">
        <f>Sheet1!R2</f>
        <v>2019-02-02</v>
      </c>
      <c r="F9" s="521">
        <f>SUMIF(72:72,YEAR(E9)&amp;"-"&amp;INT((MONTH(E9)+2)/3),73:73)</f>
        <v>100</v>
      </c>
      <c r="G9" s="522" t="s">
        <v>3093</v>
      </c>
      <c r="H9" s="519">
        <f>SUMIF(72:72,YEAR(G9)&amp;"-"&amp;INT((MONTH(G9)+2)/3),73:73)</f>
        <v>99.5</v>
      </c>
      <c r="I9" s="522" t="str">
        <f>Sheet1!R7</f>
        <v>2017-04-11</v>
      </c>
      <c r="J9" s="519">
        <f>SUMIF(72:72,YEAR(I9)&amp;"-"&amp;INT((MONTH(I9)+2)/3),73:73)</f>
        <v>98</v>
      </c>
      <c r="K9" s="523"/>
      <c r="L9" s="2135"/>
      <c r="M9" s="2132"/>
      <c r="N9" s="2132"/>
      <c r="O9" s="2136"/>
      <c r="P9" s="3386" t="s">
        <v>530</v>
      </c>
      <c r="Q9" s="3388"/>
      <c r="R9" s="1568" t="s">
        <v>8</v>
      </c>
      <c r="S9" s="1569">
        <f t="shared" ref="S9:S17" si="0">F9</f>
        <v>100</v>
      </c>
      <c r="T9" s="1568" t="s">
        <v>8</v>
      </c>
      <c r="U9" s="1569">
        <f t="shared" ref="U9:U17" si="1">H9</f>
        <v>99.5</v>
      </c>
      <c r="V9" s="1568" t="s">
        <v>8</v>
      </c>
      <c r="W9" s="1569">
        <f t="shared" ref="W9:W17" si="2">J9</f>
        <v>98</v>
      </c>
      <c r="X9" s="1570"/>
      <c r="Y9" s="3386" t="s">
        <v>530</v>
      </c>
      <c r="Z9" s="3387"/>
      <c r="AA9" s="1571">
        <f>D9/F9</f>
        <v>1</v>
      </c>
      <c r="AB9" s="1571">
        <f>D9/H9</f>
        <v>1.0050251256281406</v>
      </c>
      <c r="AC9" s="1571">
        <f>D9/J9</f>
        <v>1.0204081632653061</v>
      </c>
    </row>
    <row r="10" spans="1:30" s="1219" customFormat="1" ht="21" thickBot="1">
      <c r="A10" s="2891"/>
      <c r="B10" s="2898" t="s">
        <v>531</v>
      </c>
      <c r="C10" s="855" t="s">
        <v>532</v>
      </c>
      <c r="D10" s="519">
        <v>100</v>
      </c>
      <c r="E10" s="524" t="s">
        <v>3128</v>
      </c>
      <c r="F10" s="521">
        <f>SUMIF(75:75,E10,76:76)-SUMIF(75:75,C10,76:76)+100</f>
        <v>100</v>
      </c>
      <c r="G10" s="524" t="s">
        <v>3128</v>
      </c>
      <c r="H10" s="519">
        <f>SUMIF(75:75,G10,76:76)-SUMIF(75:75,C10,76:76)+100</f>
        <v>100</v>
      </c>
      <c r="I10" s="524" t="s">
        <v>3128</v>
      </c>
      <c r="J10" s="519">
        <f>SUMIF(75:75,I10,76:76)-SUMIF(75:75,C10,76:76)+100</f>
        <v>100</v>
      </c>
      <c r="K10" s="523"/>
      <c r="L10" s="2135"/>
      <c r="M10" s="2132"/>
      <c r="N10" s="2132"/>
      <c r="O10" s="2136"/>
      <c r="P10" s="3386" t="s">
        <v>533</v>
      </c>
      <c r="Q10" s="3387"/>
      <c r="R10" s="1568" t="s">
        <v>8</v>
      </c>
      <c r="S10" s="1569">
        <f t="shared" si="0"/>
        <v>100</v>
      </c>
      <c r="T10" s="1568" t="s">
        <v>8</v>
      </c>
      <c r="U10" s="1569">
        <f t="shared" si="1"/>
        <v>100</v>
      </c>
      <c r="V10" s="1568" t="s">
        <v>8</v>
      </c>
      <c r="W10" s="1569">
        <f t="shared" si="2"/>
        <v>100</v>
      </c>
      <c r="X10" s="1570"/>
      <c r="Y10" s="3386" t="s">
        <v>533</v>
      </c>
      <c r="Z10" s="3387"/>
      <c r="AA10" s="1571">
        <f t="shared" ref="AA10:AA47" si="3">D10/F10</f>
        <v>1</v>
      </c>
      <c r="AB10" s="1571">
        <f t="shared" ref="AB10:AB47" si="4">D10/H10</f>
        <v>1</v>
      </c>
      <c r="AC10" s="1571">
        <f t="shared" ref="AC10:AC47" si="5">D10/J10</f>
        <v>1</v>
      </c>
    </row>
    <row r="11" spans="1:30" s="1219" customFormat="1" ht="20.25">
      <c r="A11" s="2892"/>
      <c r="B11" s="2899" t="s">
        <v>2757</v>
      </c>
      <c r="C11" s="2886" t="s">
        <v>3166</v>
      </c>
      <c r="D11" s="253">
        <v>100</v>
      </c>
      <c r="E11" s="2886" t="s">
        <v>923</v>
      </c>
      <c r="F11" s="3182">
        <f>SUMIF(77:77,E11,78:78)-SUMIF(77:77,C11,78:78)+100</f>
        <v>105</v>
      </c>
      <c r="G11" s="2886" t="s">
        <v>3166</v>
      </c>
      <c r="H11" s="253">
        <f>SUMIF(77:77,G11,78:78)-SUMIF(77:77,C11,78:78)+100</f>
        <v>100</v>
      </c>
      <c r="I11" s="2886" t="s">
        <v>3166</v>
      </c>
      <c r="J11" s="253">
        <f>SUMIF(77:77,I11,78:78)-SUMIF(77:77,C11,78:78)+100</f>
        <v>100</v>
      </c>
      <c r="K11" s="523"/>
      <c r="L11" s="2135"/>
      <c r="M11" s="2132"/>
      <c r="N11" s="2132"/>
      <c r="O11" s="2137"/>
      <c r="P11" s="3354" t="s">
        <v>535</v>
      </c>
      <c r="Q11" s="1150" t="str">
        <f t="shared" ref="Q11:Q17" si="6">B11</f>
        <v>用途</v>
      </c>
      <c r="R11" s="1568" t="s">
        <v>8</v>
      </c>
      <c r="S11" s="1569">
        <f t="shared" si="0"/>
        <v>105</v>
      </c>
      <c r="T11" s="1568" t="s">
        <v>8</v>
      </c>
      <c r="U11" s="1569">
        <f t="shared" si="1"/>
        <v>100</v>
      </c>
      <c r="V11" s="1568" t="s">
        <v>8</v>
      </c>
      <c r="W11" s="1569">
        <f t="shared" si="2"/>
        <v>100</v>
      </c>
      <c r="X11" s="1570"/>
      <c r="Y11" s="3300" t="s">
        <v>536</v>
      </c>
      <c r="Z11" s="1149" t="str">
        <f t="shared" ref="Z11:Z17" si="7">Q11</f>
        <v>用途</v>
      </c>
      <c r="AA11" s="1571">
        <f t="shared" si="3"/>
        <v>0.95238095238095233</v>
      </c>
      <c r="AB11" s="1571">
        <f t="shared" si="4"/>
        <v>1</v>
      </c>
      <c r="AC11" s="1571">
        <f t="shared" si="5"/>
        <v>1</v>
      </c>
    </row>
    <row r="12" spans="1:30" s="1337" customFormat="1" ht="27">
      <c r="A12" s="2893"/>
      <c r="B12" s="2898" t="s">
        <v>2758</v>
      </c>
      <c r="C12" s="909">
        <v>70</v>
      </c>
      <c r="D12" s="254">
        <v>100</v>
      </c>
      <c r="E12" s="528" t="s">
        <v>3130</v>
      </c>
      <c r="F12" s="254">
        <f>ROUND(100/'数据-取费表'!G16,0)</f>
        <v>100</v>
      </c>
      <c r="G12" s="529" t="s">
        <v>3130</v>
      </c>
      <c r="H12" s="254">
        <f>ROUND(100/'数据-取费表'!G16,0)</f>
        <v>100</v>
      </c>
      <c r="I12" s="529" t="s">
        <v>3130</v>
      </c>
      <c r="J12" s="254">
        <f>ROUND(100/'数据-取费表'!G16,0)</f>
        <v>100</v>
      </c>
      <c r="K12" s="530"/>
      <c r="L12" s="2138"/>
      <c r="M12" s="2132"/>
      <c r="N12" s="2132"/>
      <c r="O12" s="2139"/>
      <c r="P12" s="3354"/>
      <c r="Q12" s="1150" t="str">
        <f t="shared" si="6"/>
        <v>土地使用年限（年）</v>
      </c>
      <c r="R12" s="1568" t="s">
        <v>8</v>
      </c>
      <c r="S12" s="1569">
        <f t="shared" si="0"/>
        <v>100</v>
      </c>
      <c r="T12" s="1568" t="s">
        <v>8</v>
      </c>
      <c r="U12" s="1569">
        <f t="shared" si="1"/>
        <v>100</v>
      </c>
      <c r="V12" s="1568" t="s">
        <v>8</v>
      </c>
      <c r="W12" s="1569">
        <f t="shared" si="2"/>
        <v>100</v>
      </c>
      <c r="X12" s="1570"/>
      <c r="Y12" s="3300"/>
      <c r="Z12" s="1149" t="str">
        <f t="shared" si="7"/>
        <v>土地使用年限（年）</v>
      </c>
      <c r="AA12" s="1571">
        <f t="shared" si="3"/>
        <v>1</v>
      </c>
      <c r="AB12" s="1571">
        <f t="shared" si="4"/>
        <v>1</v>
      </c>
      <c r="AC12" s="1571">
        <f t="shared" si="5"/>
        <v>1</v>
      </c>
    </row>
    <row r="13" spans="1:30" ht="21" thickBot="1">
      <c r="A13" s="2894"/>
      <c r="B13" s="2898" t="s">
        <v>2759</v>
      </c>
      <c r="C13" s="533">
        <v>1.35</v>
      </c>
      <c r="D13" s="254">
        <v>100</v>
      </c>
      <c r="E13" s="532">
        <v>1.1000000000000001</v>
      </c>
      <c r="F13" s="254">
        <f>LOOKUP(E13,82:82,83:83)-LOOKUP(C13,82:82,83:83)+100</f>
        <v>100</v>
      </c>
      <c r="G13" s="533">
        <v>1.53</v>
      </c>
      <c r="H13" s="254">
        <f>LOOKUP(G13,82:82,83:83)-LOOKUP(C13,82:82,83:83)+100</f>
        <v>100</v>
      </c>
      <c r="I13" s="532">
        <f>Sheet1!$J$7</f>
        <v>1.0900000000000001</v>
      </c>
      <c r="J13" s="254">
        <f>LOOKUP(I13,82:82,83:83)-LOOKUP(C13,82:82,83:83)+100</f>
        <v>100</v>
      </c>
      <c r="K13" s="534">
        <v>2</v>
      </c>
      <c r="L13" s="2140"/>
      <c r="M13" s="2132"/>
      <c r="N13" s="2132"/>
      <c r="O13" s="2141"/>
      <c r="P13" s="3354"/>
      <c r="Q13" s="1150" t="str">
        <f t="shared" si="6"/>
        <v>容积率</v>
      </c>
      <c r="R13" s="1568" t="s">
        <v>8</v>
      </c>
      <c r="S13" s="1569">
        <f t="shared" si="0"/>
        <v>100</v>
      </c>
      <c r="T13" s="1568" t="s">
        <v>8</v>
      </c>
      <c r="U13" s="1569">
        <f t="shared" si="1"/>
        <v>100</v>
      </c>
      <c r="V13" s="1568" t="s">
        <v>8</v>
      </c>
      <c r="W13" s="1569">
        <f t="shared" si="2"/>
        <v>100</v>
      </c>
      <c r="X13" s="1570"/>
      <c r="Y13" s="3300"/>
      <c r="Z13" s="1149" t="str">
        <f t="shared" si="7"/>
        <v>容积率</v>
      </c>
      <c r="AA13" s="1571">
        <f t="shared" si="3"/>
        <v>1</v>
      </c>
      <c r="AB13" s="1571">
        <f t="shared" si="4"/>
        <v>1</v>
      </c>
      <c r="AC13" s="1571">
        <f t="shared" si="5"/>
        <v>1</v>
      </c>
    </row>
    <row r="14" spans="1:30" s="1219" customFormat="1" ht="21" hidden="1" thickBot="1">
      <c r="A14" s="2891"/>
      <c r="B14" s="2900" t="s">
        <v>2760</v>
      </c>
      <c r="C14" s="2887"/>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54"/>
      <c r="Q14" s="1150" t="str">
        <f t="shared" si="6"/>
        <v>配建</v>
      </c>
      <c r="R14" s="1568" t="s">
        <v>8</v>
      </c>
      <c r="S14" s="1569">
        <f t="shared" si="0"/>
        <v>100</v>
      </c>
      <c r="T14" s="1568" t="s">
        <v>8</v>
      </c>
      <c r="U14" s="1569">
        <f t="shared" si="1"/>
        <v>100</v>
      </c>
      <c r="V14" s="1568" t="s">
        <v>8</v>
      </c>
      <c r="W14" s="1569">
        <f t="shared" si="2"/>
        <v>100</v>
      </c>
      <c r="X14" s="1570"/>
      <c r="Y14" s="3300"/>
      <c r="Z14" s="1149" t="str">
        <f t="shared" si="7"/>
        <v>配建</v>
      </c>
      <c r="AA14" s="1571">
        <f>D14/F14</f>
        <v>1</v>
      </c>
      <c r="AB14" s="1571">
        <f>D14/H14</f>
        <v>1</v>
      </c>
      <c r="AC14" s="1571">
        <f>D14/J14</f>
        <v>1</v>
      </c>
    </row>
    <row r="15" spans="1:30" ht="20.25" hidden="1">
      <c r="A15" s="2895"/>
      <c r="B15" s="2901">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54"/>
      <c r="Q15" s="1150">
        <f t="shared" si="6"/>
        <v>111</v>
      </c>
      <c r="R15" s="1568" t="s">
        <v>8</v>
      </c>
      <c r="S15" s="1569">
        <f t="shared" si="0"/>
        <v>100</v>
      </c>
      <c r="T15" s="1568" t="s">
        <v>8</v>
      </c>
      <c r="U15" s="1569">
        <f t="shared" si="1"/>
        <v>100</v>
      </c>
      <c r="V15" s="1568" t="s">
        <v>8</v>
      </c>
      <c r="W15" s="1569">
        <f t="shared" si="2"/>
        <v>100</v>
      </c>
      <c r="X15" s="1570"/>
      <c r="Y15" s="3300"/>
      <c r="Z15" s="1149">
        <f t="shared" si="7"/>
        <v>111</v>
      </c>
      <c r="AA15" s="1571">
        <f>D15/F15</f>
        <v>1</v>
      </c>
      <c r="AB15" s="1571">
        <f>D15/H15</f>
        <v>1</v>
      </c>
      <c r="AC15" s="1571">
        <f>D15/J15</f>
        <v>1</v>
      </c>
    </row>
    <row r="16" spans="1:30" ht="21" hidden="1" thickBot="1">
      <c r="A16" s="2896"/>
      <c r="B16" s="2902">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54"/>
      <c r="Q16" s="1150">
        <f t="shared" si="6"/>
        <v>111</v>
      </c>
      <c r="R16" s="1568" t="s">
        <v>8</v>
      </c>
      <c r="S16" s="1569">
        <f t="shared" si="0"/>
        <v>100</v>
      </c>
      <c r="T16" s="1568" t="s">
        <v>8</v>
      </c>
      <c r="U16" s="1569">
        <f t="shared" si="1"/>
        <v>100</v>
      </c>
      <c r="V16" s="1568" t="s">
        <v>8</v>
      </c>
      <c r="W16" s="1569">
        <f t="shared" si="2"/>
        <v>100</v>
      </c>
      <c r="X16" s="1570"/>
      <c r="Y16" s="3300"/>
      <c r="Z16" s="1149">
        <f t="shared" si="7"/>
        <v>111</v>
      </c>
      <c r="AA16" s="1571">
        <f>D16/F16</f>
        <v>1</v>
      </c>
      <c r="AB16" s="1571">
        <f>D16/H16</f>
        <v>1</v>
      </c>
      <c r="AC16" s="1571">
        <f>D16/J16</f>
        <v>1</v>
      </c>
    </row>
    <row r="17" spans="1:29" ht="99.75">
      <c r="A17" s="2888" t="s">
        <v>2755</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98</v>
      </c>
      <c r="I17" s="551"/>
      <c r="J17" s="548">
        <f>SUMIF(90:90,I18,91:91)-SUMIF(90:90,C18,91:91)+100</f>
        <v>100</v>
      </c>
      <c r="K17" s="534">
        <v>2</v>
      </c>
      <c r="L17" s="2142"/>
      <c r="M17" s="2132"/>
      <c r="N17" s="2132"/>
      <c r="O17" s="2141"/>
      <c r="P17" s="3389" t="s">
        <v>540</v>
      </c>
      <c r="Q17" s="1572" t="str">
        <f t="shared" si="6"/>
        <v>居住社区成熟度</v>
      </c>
      <c r="R17" s="1573" t="s">
        <v>8</v>
      </c>
      <c r="S17" s="1574">
        <f t="shared" si="0"/>
        <v>100</v>
      </c>
      <c r="T17" s="1573" t="s">
        <v>8</v>
      </c>
      <c r="U17" s="1574">
        <f t="shared" si="1"/>
        <v>98</v>
      </c>
      <c r="V17" s="1573" t="s">
        <v>8</v>
      </c>
      <c r="W17" s="1574">
        <f t="shared" si="2"/>
        <v>100</v>
      </c>
      <c r="X17" s="1567"/>
      <c r="Y17" s="3389" t="s">
        <v>540</v>
      </c>
      <c r="Z17" s="1575" t="str">
        <f t="shared" si="7"/>
        <v>居住社区成熟度</v>
      </c>
      <c r="AA17" s="1576">
        <f t="shared" si="3"/>
        <v>1</v>
      </c>
      <c r="AB17" s="1576">
        <f t="shared" si="4"/>
        <v>1.0204081632653061</v>
      </c>
      <c r="AC17" s="1576">
        <f t="shared" si="5"/>
        <v>1</v>
      </c>
    </row>
    <row r="18" spans="1:29" ht="20.25">
      <c r="A18" s="531"/>
      <c r="B18" s="552"/>
      <c r="C18" s="553" t="s">
        <v>3131</v>
      </c>
      <c r="D18" s="556"/>
      <c r="E18" s="557" t="s">
        <v>3131</v>
      </c>
      <c r="F18" s="554"/>
      <c r="G18" s="555" t="s">
        <v>3132</v>
      </c>
      <c r="H18" s="558"/>
      <c r="I18" s="557" t="s">
        <v>3131</v>
      </c>
      <c r="J18" s="554"/>
      <c r="K18" s="530"/>
      <c r="L18" s="2142"/>
      <c r="M18" s="2132"/>
      <c r="N18" s="2132"/>
      <c r="O18" s="2141"/>
      <c r="P18" s="3390"/>
      <c r="Q18" s="1572"/>
      <c r="R18" s="1573"/>
      <c r="S18" s="1574"/>
      <c r="T18" s="1573"/>
      <c r="U18" s="1574"/>
      <c r="V18" s="1573"/>
      <c r="W18" s="1574"/>
      <c r="X18" s="1567"/>
      <c r="Y18" s="3390"/>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3390"/>
      <c r="Q19" s="1572" t="str">
        <f>B19</f>
        <v>商业繁华度</v>
      </c>
      <c r="R19" s="1573" t="s">
        <v>8</v>
      </c>
      <c r="S19" s="1574">
        <f>F19</f>
        <v>100</v>
      </c>
      <c r="T19" s="1573" t="s">
        <v>8</v>
      </c>
      <c r="U19" s="1574">
        <f>H19</f>
        <v>100</v>
      </c>
      <c r="V19" s="1573" t="s">
        <v>8</v>
      </c>
      <c r="W19" s="1574">
        <f>J19</f>
        <v>100</v>
      </c>
      <c r="X19" s="1567"/>
      <c r="Y19" s="3390"/>
      <c r="Z19" s="1575" t="str">
        <f>Q19</f>
        <v>商业繁华度</v>
      </c>
      <c r="AA19" s="1576">
        <f t="shared" si="3"/>
        <v>1</v>
      </c>
      <c r="AB19" s="1576">
        <f t="shared" si="4"/>
        <v>1</v>
      </c>
      <c r="AC19" s="1576">
        <f t="shared" si="5"/>
        <v>1</v>
      </c>
    </row>
    <row r="20" spans="1:29" ht="20.25">
      <c r="A20" s="531"/>
      <c r="B20" s="565"/>
      <c r="C20" s="566" t="s">
        <v>3132</v>
      </c>
      <c r="D20" s="562"/>
      <c r="E20" s="568" t="s">
        <v>3132</v>
      </c>
      <c r="F20" s="558"/>
      <c r="G20" s="567" t="s">
        <v>3132</v>
      </c>
      <c r="H20" s="554"/>
      <c r="I20" s="568" t="s">
        <v>3132</v>
      </c>
      <c r="J20" s="554"/>
      <c r="K20" s="530"/>
      <c r="L20" s="2142"/>
      <c r="M20" s="2132"/>
      <c r="N20" s="2132"/>
      <c r="O20" s="2141"/>
      <c r="P20" s="3390"/>
      <c r="Q20" s="1572"/>
      <c r="R20" s="1573"/>
      <c r="S20" s="1574"/>
      <c r="T20" s="1573"/>
      <c r="U20" s="1574"/>
      <c r="V20" s="1573"/>
      <c r="W20" s="1574"/>
      <c r="X20" s="1567"/>
      <c r="Y20" s="3390"/>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390"/>
      <c r="Q21" s="1572" t="str">
        <f>B21</f>
        <v>办公集聚程度</v>
      </c>
      <c r="R21" s="1573" t="s">
        <v>8</v>
      </c>
      <c r="S21" s="1574">
        <f>F21</f>
        <v>100</v>
      </c>
      <c r="T21" s="1573" t="s">
        <v>8</v>
      </c>
      <c r="U21" s="1574">
        <f>H21</f>
        <v>100</v>
      </c>
      <c r="V21" s="1573" t="s">
        <v>8</v>
      </c>
      <c r="W21" s="1574">
        <f>J21</f>
        <v>100</v>
      </c>
      <c r="X21" s="1567"/>
      <c r="Y21" s="3390"/>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2"/>
      <c r="M22" s="2132"/>
      <c r="N22" s="2132"/>
      <c r="O22" s="2141"/>
      <c r="P22" s="3390"/>
      <c r="Q22" s="1572"/>
      <c r="R22" s="1573"/>
      <c r="S22" s="1574"/>
      <c r="T22" s="1573"/>
      <c r="U22" s="1574"/>
      <c r="V22" s="1573"/>
      <c r="W22" s="1574"/>
      <c r="X22" s="1567"/>
      <c r="Y22" s="3390"/>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3390"/>
      <c r="Q23" s="1572" t="str">
        <f>B23</f>
        <v>交通便捷度</v>
      </c>
      <c r="R23" s="1573" t="s">
        <v>8</v>
      </c>
      <c r="S23" s="1574">
        <f>F23</f>
        <v>100</v>
      </c>
      <c r="T23" s="1573" t="s">
        <v>8</v>
      </c>
      <c r="U23" s="1574">
        <f>H23</f>
        <v>100</v>
      </c>
      <c r="V23" s="1573" t="s">
        <v>8</v>
      </c>
      <c r="W23" s="1574">
        <f>J23</f>
        <v>100</v>
      </c>
      <c r="X23" s="1567"/>
      <c r="Y23" s="3390"/>
      <c r="Z23" s="1575" t="str">
        <f>Q23</f>
        <v>交通便捷度</v>
      </c>
      <c r="AA23" s="1576">
        <f t="shared" si="3"/>
        <v>1</v>
      </c>
      <c r="AB23" s="1576">
        <f t="shared" si="4"/>
        <v>1</v>
      </c>
      <c r="AC23" s="1576">
        <f t="shared" si="5"/>
        <v>1</v>
      </c>
    </row>
    <row r="24" spans="1:29" ht="20.25">
      <c r="A24" s="531"/>
      <c r="B24" s="577"/>
      <c r="C24" s="553" t="s">
        <v>3131</v>
      </c>
      <c r="D24" s="556"/>
      <c r="E24" s="557" t="s">
        <v>3131</v>
      </c>
      <c r="F24" s="554"/>
      <c r="G24" s="555" t="s">
        <v>3131</v>
      </c>
      <c r="H24" s="554"/>
      <c r="I24" s="557" t="s">
        <v>3131</v>
      </c>
      <c r="J24" s="554"/>
      <c r="K24" s="530"/>
      <c r="L24" s="2142"/>
      <c r="M24" s="2132"/>
      <c r="N24" s="2132"/>
      <c r="O24" s="2141"/>
      <c r="P24" s="3390"/>
      <c r="Q24" s="1572"/>
      <c r="R24" s="1573"/>
      <c r="S24" s="1574"/>
      <c r="T24" s="1573"/>
      <c r="U24" s="1574"/>
      <c r="V24" s="1573"/>
      <c r="W24" s="1574"/>
      <c r="X24" s="1567"/>
      <c r="Y24" s="3390"/>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3</v>
      </c>
      <c r="L25" s="2142"/>
      <c r="M25" s="2132"/>
      <c r="N25" s="2132"/>
      <c r="O25" s="2141"/>
      <c r="P25" s="3390"/>
      <c r="Q25" s="1572" t="str">
        <f t="shared" ref="Q25:Q39" si="8">B25</f>
        <v>区域土地利用方向</v>
      </c>
      <c r="R25" s="1573" t="s">
        <v>8</v>
      </c>
      <c r="S25" s="1574">
        <f>F25</f>
        <v>100</v>
      </c>
      <c r="T25" s="1573" t="s">
        <v>8</v>
      </c>
      <c r="U25" s="1574">
        <f>H25</f>
        <v>100</v>
      </c>
      <c r="V25" s="1573" t="s">
        <v>8</v>
      </c>
      <c r="W25" s="1574">
        <f>J25</f>
        <v>100</v>
      </c>
      <c r="X25" s="1567"/>
      <c r="Y25" s="3390"/>
      <c r="Z25" s="1575" t="str">
        <f>Q25</f>
        <v>区域土地利用方向</v>
      </c>
      <c r="AA25" s="1576">
        <f t="shared" si="3"/>
        <v>1</v>
      </c>
      <c r="AB25" s="1576">
        <f t="shared" si="4"/>
        <v>1</v>
      </c>
      <c r="AC25" s="1576">
        <f t="shared" si="5"/>
        <v>1</v>
      </c>
    </row>
    <row r="26" spans="1:29" ht="20.25">
      <c r="A26" s="514"/>
      <c r="B26" s="1006"/>
      <c r="C26" s="553" t="s">
        <v>3131</v>
      </c>
      <c r="D26" s="556"/>
      <c r="E26" s="557" t="s">
        <v>3131</v>
      </c>
      <c r="F26" s="554"/>
      <c r="G26" s="555" t="s">
        <v>3131</v>
      </c>
      <c r="H26" s="554"/>
      <c r="I26" s="557" t="s">
        <v>3131</v>
      </c>
      <c r="J26" s="554"/>
      <c r="K26" s="530"/>
      <c r="L26" s="2142"/>
      <c r="M26" s="2132"/>
      <c r="N26" s="2132"/>
      <c r="O26" s="2141"/>
      <c r="P26" s="3390"/>
      <c r="Q26" s="1572"/>
      <c r="R26" s="1573"/>
      <c r="S26" s="1574"/>
      <c r="T26" s="1573"/>
      <c r="U26" s="1574"/>
      <c r="V26" s="1573"/>
      <c r="W26" s="1574"/>
      <c r="X26" s="1567"/>
      <c r="Y26" s="3390"/>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390"/>
      <c r="Q27" s="1572" t="str">
        <f t="shared" si="8"/>
        <v>自然及人文环境状况</v>
      </c>
      <c r="R27" s="1573" t="s">
        <v>8</v>
      </c>
      <c r="S27" s="1574">
        <f>F27</f>
        <v>100</v>
      </c>
      <c r="T27" s="1573" t="s">
        <v>8</v>
      </c>
      <c r="U27" s="1574">
        <f>H27</f>
        <v>100</v>
      </c>
      <c r="V27" s="1573" t="s">
        <v>8</v>
      </c>
      <c r="W27" s="1574">
        <f>J27</f>
        <v>100</v>
      </c>
      <c r="X27" s="1567"/>
      <c r="Y27" s="3390"/>
      <c r="Z27" s="1575" t="str">
        <f>Q27</f>
        <v>自然及人文环境状况</v>
      </c>
      <c r="AA27" s="1576">
        <f t="shared" si="3"/>
        <v>1</v>
      </c>
      <c r="AB27" s="1576">
        <f t="shared" si="4"/>
        <v>1</v>
      </c>
      <c r="AC27" s="1576">
        <f t="shared" si="5"/>
        <v>1</v>
      </c>
    </row>
    <row r="28" spans="1:29" ht="20.25">
      <c r="A28" s="514"/>
      <c r="B28" s="565"/>
      <c r="C28" s="553" t="s">
        <v>3133</v>
      </c>
      <c r="D28" s="556"/>
      <c r="E28" s="575" t="s">
        <v>3133</v>
      </c>
      <c r="F28" s="554"/>
      <c r="G28" s="553" t="s">
        <v>3133</v>
      </c>
      <c r="H28" s="554"/>
      <c r="I28" s="575" t="s">
        <v>3133</v>
      </c>
      <c r="J28" s="554"/>
      <c r="K28" s="530"/>
      <c r="L28" s="2142"/>
      <c r="M28" s="2132"/>
      <c r="N28" s="2132"/>
      <c r="O28" s="2141"/>
      <c r="P28" s="3390"/>
      <c r="Q28" s="1572"/>
      <c r="R28" s="1573"/>
      <c r="S28" s="1574"/>
      <c r="T28" s="1573"/>
      <c r="U28" s="1574"/>
      <c r="V28" s="1573"/>
      <c r="W28" s="1574"/>
      <c r="X28" s="1567"/>
      <c r="Y28" s="3390"/>
      <c r="Z28" s="1575"/>
      <c r="AA28" s="1576">
        <v>1</v>
      </c>
      <c r="AB28" s="1576">
        <v>1</v>
      </c>
      <c r="AC28" s="1576">
        <v>1</v>
      </c>
    </row>
    <row r="29" spans="1:29" s="1219" customFormat="1" ht="42.75">
      <c r="A29" s="576"/>
      <c r="B29" s="2570"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390"/>
      <c r="Q29" s="1150" t="str">
        <f t="shared" si="8"/>
        <v>公共配套设施</v>
      </c>
      <c r="R29" s="1568" t="s">
        <v>8</v>
      </c>
      <c r="S29" s="1569">
        <f>F29</f>
        <v>100</v>
      </c>
      <c r="T29" s="1568" t="s">
        <v>8</v>
      </c>
      <c r="U29" s="1569">
        <f>H29</f>
        <v>100</v>
      </c>
      <c r="V29" s="1568" t="s">
        <v>8</v>
      </c>
      <c r="W29" s="1569">
        <f>J29</f>
        <v>100</v>
      </c>
      <c r="X29" s="1570"/>
      <c r="Y29" s="3390"/>
      <c r="Z29" s="1149" t="str">
        <f>Q29</f>
        <v>公共配套设施</v>
      </c>
      <c r="AA29" s="1576">
        <f>D29/F29</f>
        <v>1</v>
      </c>
      <c r="AB29" s="1576">
        <f>D29/H29</f>
        <v>1</v>
      </c>
      <c r="AC29" s="1576">
        <f>D29/J29</f>
        <v>1</v>
      </c>
    </row>
    <row r="30" spans="1:29" s="1219" customFormat="1" ht="20.25">
      <c r="A30" s="576"/>
      <c r="B30" s="565"/>
      <c r="C30" s="578" t="s">
        <v>3132</v>
      </c>
      <c r="D30" s="556"/>
      <c r="E30" s="575" t="s">
        <v>3132</v>
      </c>
      <c r="F30" s="554"/>
      <c r="G30" s="553" t="s">
        <v>3132</v>
      </c>
      <c r="H30" s="554"/>
      <c r="I30" s="575" t="s">
        <v>3132</v>
      </c>
      <c r="J30" s="554"/>
      <c r="K30" s="530"/>
      <c r="L30" s="2135"/>
      <c r="M30" s="2132"/>
      <c r="N30" s="2132"/>
      <c r="O30" s="2137"/>
      <c r="P30" s="3390"/>
      <c r="Q30" s="1150"/>
      <c r="R30" s="1568"/>
      <c r="S30" s="1569"/>
      <c r="T30" s="1568"/>
      <c r="U30" s="1569"/>
      <c r="V30" s="1568"/>
      <c r="W30" s="1569"/>
      <c r="X30" s="1570"/>
      <c r="Y30" s="3390"/>
      <c r="Z30" s="1149"/>
      <c r="AA30" s="1576">
        <v>1</v>
      </c>
      <c r="AB30" s="1576">
        <v>1</v>
      </c>
      <c r="AC30" s="1576">
        <v>1</v>
      </c>
    </row>
    <row r="31" spans="1:29" s="1219" customFormat="1" ht="28.5">
      <c r="A31" s="576"/>
      <c r="B31" s="2570"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390"/>
      <c r="Q31" s="2557" t="str">
        <f t="shared" ref="Q31" si="9">B31</f>
        <v>基础设施水平</v>
      </c>
      <c r="R31" s="1568" t="s">
        <v>8</v>
      </c>
      <c r="S31" s="1569">
        <f>F31</f>
        <v>100</v>
      </c>
      <c r="T31" s="1568" t="s">
        <v>8</v>
      </c>
      <c r="U31" s="1569">
        <f>H31</f>
        <v>100</v>
      </c>
      <c r="V31" s="1568" t="s">
        <v>8</v>
      </c>
      <c r="W31" s="1569">
        <f>J31</f>
        <v>100</v>
      </c>
      <c r="X31" s="1570"/>
      <c r="Y31" s="3390"/>
      <c r="Z31" s="2554" t="str">
        <f>Q31</f>
        <v>基础设施水平</v>
      </c>
      <c r="AA31" s="1576">
        <f>D31/F31</f>
        <v>1</v>
      </c>
      <c r="AB31" s="1576">
        <f>D31/H31</f>
        <v>1</v>
      </c>
      <c r="AC31" s="1576">
        <f>D31/J31</f>
        <v>1</v>
      </c>
    </row>
    <row r="32" spans="1:29" s="1219" customFormat="1" ht="20.25">
      <c r="A32" s="576"/>
      <c r="B32" s="565"/>
      <c r="C32" s="578" t="s">
        <v>3135</v>
      </c>
      <c r="D32" s="556"/>
      <c r="E32" s="2571" t="s">
        <v>3135</v>
      </c>
      <c r="F32" s="554"/>
      <c r="G32" s="578" t="s">
        <v>3135</v>
      </c>
      <c r="H32" s="554"/>
      <c r="I32" s="578" t="s">
        <v>3135</v>
      </c>
      <c r="J32" s="554"/>
      <c r="K32" s="530"/>
      <c r="L32" s="2135"/>
      <c r="M32" s="2132"/>
      <c r="N32" s="2132"/>
      <c r="O32" s="2137"/>
      <c r="P32" s="3390"/>
      <c r="Q32" s="2557"/>
      <c r="R32" s="1568"/>
      <c r="S32" s="1569"/>
      <c r="T32" s="1568"/>
      <c r="U32" s="1569"/>
      <c r="V32" s="1568"/>
      <c r="W32" s="1569"/>
      <c r="X32" s="1570"/>
      <c r="Y32" s="3390"/>
      <c r="Z32" s="2554"/>
      <c r="AA32" s="1576">
        <v>1</v>
      </c>
      <c r="AB32" s="1576">
        <v>1</v>
      </c>
      <c r="AC32" s="1576">
        <v>1</v>
      </c>
    </row>
    <row r="33" spans="1:29" ht="20.25">
      <c r="A33" s="531"/>
      <c r="B33" s="565" t="s">
        <v>547</v>
      </c>
      <c r="C33" s="579" t="s">
        <v>3136</v>
      </c>
      <c r="D33" s="574">
        <v>100</v>
      </c>
      <c r="E33" s="582" t="s">
        <v>3137</v>
      </c>
      <c r="F33" s="539">
        <f>SUMIF(106:106,E33,107:107)-SUMIF(106:106,C33,107:107)+100</f>
        <v>98</v>
      </c>
      <c r="G33" s="579" t="s">
        <v>3137</v>
      </c>
      <c r="H33" s="539">
        <f>SUMIF(106:106,G33,107:107)-SUMIF(106:106,C33,107:107)+100</f>
        <v>98</v>
      </c>
      <c r="I33" s="579" t="s">
        <v>3137</v>
      </c>
      <c r="J33" s="539">
        <f>SUMIF(106:106,I33,107:107)-SUMIF(106:106,C33,107:107)+100</f>
        <v>98</v>
      </c>
      <c r="K33" s="534">
        <v>1</v>
      </c>
      <c r="L33" s="2142"/>
      <c r="M33" s="2132"/>
      <c r="N33" s="2132"/>
      <c r="O33" s="2141"/>
      <c r="P33" s="3390"/>
      <c r="Q33" s="1572" t="str">
        <f t="shared" si="8"/>
        <v>临街状况</v>
      </c>
      <c r="R33" s="1573" t="s">
        <v>8</v>
      </c>
      <c r="S33" s="1574">
        <f t="shared" ref="S33:S47" si="10">F33</f>
        <v>98</v>
      </c>
      <c r="T33" s="1573" t="s">
        <v>8</v>
      </c>
      <c r="U33" s="1574">
        <f t="shared" ref="U33:U47" si="11">H33</f>
        <v>98</v>
      </c>
      <c r="V33" s="1573" t="s">
        <v>8</v>
      </c>
      <c r="W33" s="1574">
        <f t="shared" ref="W33:W47" si="12">J33</f>
        <v>98</v>
      </c>
      <c r="X33" s="1567"/>
      <c r="Y33" s="3390"/>
      <c r="Z33" s="1575" t="str">
        <f t="shared" ref="Z33:Z47" si="13">Q33</f>
        <v>临街状况</v>
      </c>
      <c r="AA33" s="1576">
        <f t="shared" si="3"/>
        <v>1.0204081632653061</v>
      </c>
      <c r="AB33" s="1576">
        <f t="shared" si="4"/>
        <v>1.0204081632653061</v>
      </c>
      <c r="AC33" s="1576">
        <f t="shared" si="5"/>
        <v>1.0204081632653061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390"/>
      <c r="Q34" s="1572" t="str">
        <f t="shared" si="8"/>
        <v>毗邻道路的类型与等级</v>
      </c>
      <c r="R34" s="1573" t="s">
        <v>8</v>
      </c>
      <c r="S34" s="1574">
        <f t="shared" si="10"/>
        <v>100</v>
      </c>
      <c r="T34" s="1573" t="s">
        <v>8</v>
      </c>
      <c r="U34" s="1574">
        <f t="shared" si="11"/>
        <v>100</v>
      </c>
      <c r="V34" s="1573" t="s">
        <v>8</v>
      </c>
      <c r="W34" s="1574">
        <f t="shared" si="12"/>
        <v>100</v>
      </c>
      <c r="X34" s="1567"/>
      <c r="Y34" s="3390"/>
      <c r="Z34" s="1575" t="str">
        <f t="shared" si="13"/>
        <v>毗邻道路的类型与等级</v>
      </c>
      <c r="AA34" s="1576">
        <f t="shared" si="3"/>
        <v>1</v>
      </c>
      <c r="AB34" s="1576">
        <f t="shared" si="4"/>
        <v>1</v>
      </c>
      <c r="AC34" s="1576">
        <f t="shared" si="5"/>
        <v>1</v>
      </c>
    </row>
    <row r="35" spans="1:29" ht="21" thickBot="1">
      <c r="A35" s="531"/>
      <c r="B35" s="565"/>
      <c r="C35" s="553" t="s">
        <v>3142</v>
      </c>
      <c r="D35" s="556"/>
      <c r="E35" s="575" t="s">
        <v>3142</v>
      </c>
      <c r="F35" s="554"/>
      <c r="G35" s="553" t="s">
        <v>3142</v>
      </c>
      <c r="H35" s="554"/>
      <c r="I35" s="575" t="s">
        <v>3142</v>
      </c>
      <c r="J35" s="554"/>
      <c r="K35" s="580"/>
      <c r="L35" s="2142"/>
      <c r="M35" s="2132"/>
      <c r="N35" s="2132"/>
      <c r="O35" s="2141"/>
      <c r="P35" s="3390"/>
      <c r="Q35" s="1572"/>
      <c r="R35" s="1573"/>
      <c r="S35" s="1574"/>
      <c r="T35" s="1573"/>
      <c r="U35" s="1574"/>
      <c r="V35" s="1573"/>
      <c r="W35" s="1574"/>
      <c r="X35" s="1567"/>
      <c r="Y35" s="3390"/>
      <c r="Z35" s="1575"/>
      <c r="AA35" s="1576">
        <v>1</v>
      </c>
      <c r="AB35" s="1576">
        <v>1</v>
      </c>
      <c r="AC35" s="1576">
        <v>1</v>
      </c>
    </row>
    <row r="36" spans="1:29" ht="24.75" hidden="1" customHeigh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90"/>
      <c r="Q36" s="1572" t="str">
        <f t="shared" si="8"/>
        <v>土地级别</v>
      </c>
      <c r="R36" s="1573" t="s">
        <v>8</v>
      </c>
      <c r="S36" s="1574">
        <f t="shared" si="10"/>
        <v>100</v>
      </c>
      <c r="T36" s="1573" t="s">
        <v>8</v>
      </c>
      <c r="U36" s="1574">
        <f t="shared" si="11"/>
        <v>100</v>
      </c>
      <c r="V36" s="1573" t="s">
        <v>8</v>
      </c>
      <c r="W36" s="1574">
        <f t="shared" si="12"/>
        <v>100</v>
      </c>
      <c r="X36" s="1567"/>
      <c r="Y36" s="3390"/>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0"/>
      <c r="Q37" s="1572">
        <f t="shared" si="8"/>
        <v>111</v>
      </c>
      <c r="R37" s="1573" t="s">
        <v>8</v>
      </c>
      <c r="S37" s="1574">
        <f t="shared" si="10"/>
        <v>100</v>
      </c>
      <c r="T37" s="1573" t="s">
        <v>8</v>
      </c>
      <c r="U37" s="1574">
        <f t="shared" si="11"/>
        <v>100</v>
      </c>
      <c r="V37" s="1573" t="s">
        <v>8</v>
      </c>
      <c r="W37" s="1574">
        <f t="shared" si="12"/>
        <v>100</v>
      </c>
      <c r="X37" s="1567"/>
      <c r="Y37" s="3390"/>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1" t="s">
        <v>550</v>
      </c>
      <c r="Q38" s="1572">
        <f t="shared" si="8"/>
        <v>111</v>
      </c>
      <c r="R38" s="1573" t="s">
        <v>8</v>
      </c>
      <c r="S38" s="1574">
        <f t="shared" si="10"/>
        <v>100</v>
      </c>
      <c r="T38" s="1573" t="s">
        <v>8</v>
      </c>
      <c r="U38" s="1574">
        <f t="shared" si="11"/>
        <v>100</v>
      </c>
      <c r="V38" s="1573" t="s">
        <v>8</v>
      </c>
      <c r="W38" s="1574">
        <f t="shared" si="12"/>
        <v>100</v>
      </c>
      <c r="X38" s="1567"/>
      <c r="Y38" s="3392"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2"/>
      <c r="Q39" s="1572">
        <f t="shared" si="8"/>
        <v>111</v>
      </c>
      <c r="R39" s="1577" t="s">
        <v>8</v>
      </c>
      <c r="S39" s="1578">
        <f t="shared" si="10"/>
        <v>100</v>
      </c>
      <c r="T39" s="1577" t="s">
        <v>8</v>
      </c>
      <c r="U39" s="1578">
        <f t="shared" si="11"/>
        <v>100</v>
      </c>
      <c r="V39" s="1577" t="s">
        <v>8</v>
      </c>
      <c r="W39" s="1578">
        <f t="shared" si="12"/>
        <v>100</v>
      </c>
      <c r="X39" s="1579"/>
      <c r="Y39" s="3392"/>
      <c r="Z39" s="1580">
        <f t="shared" si="13"/>
        <v>111</v>
      </c>
      <c r="AA39" s="1576">
        <f t="shared" si="3"/>
        <v>1</v>
      </c>
      <c r="AB39" s="1576">
        <f t="shared" si="4"/>
        <v>1</v>
      </c>
      <c r="AC39" s="1576">
        <f t="shared" si="5"/>
        <v>1</v>
      </c>
    </row>
    <row r="40" spans="1:29" ht="20.25">
      <c r="A40" s="2885" t="s">
        <v>2756</v>
      </c>
      <c r="B40" s="594" t="s">
        <v>552</v>
      </c>
      <c r="C40" s="595">
        <f>Sheet1!H3</f>
        <v>54533</v>
      </c>
      <c r="D40" s="596">
        <v>100</v>
      </c>
      <c r="E40" s="595">
        <f>Sheet1!H2</f>
        <v>168662.9</v>
      </c>
      <c r="F40" s="596">
        <f>LOOKUP(E40,119:119,120:120)-LOOKUP(C40,119:119,120:120)+100</f>
        <v>102</v>
      </c>
      <c r="G40" s="595">
        <v>55220.72</v>
      </c>
      <c r="H40" s="596">
        <f>LOOKUP(G40,119:119,120:120)-LOOKUP(C40,119:119,120:120)+100</f>
        <v>100</v>
      </c>
      <c r="I40" s="597">
        <f>Sheet1!H7</f>
        <v>230355.9</v>
      </c>
      <c r="J40" s="596">
        <f>LOOKUP(I40,119:119,120:120)-LOOKUP(C40,119:119,120:120)+100</f>
        <v>103</v>
      </c>
      <c r="K40" s="580"/>
      <c r="L40" s="2142"/>
      <c r="M40" s="2132"/>
      <c r="N40" s="2132"/>
      <c r="O40" s="2141"/>
      <c r="P40" s="3392"/>
      <c r="Q40" s="1572" t="str">
        <f>B40</f>
        <v>宗地面积</v>
      </c>
      <c r="R40" s="1573" t="s">
        <v>8</v>
      </c>
      <c r="S40" s="1574">
        <f t="shared" si="10"/>
        <v>102</v>
      </c>
      <c r="T40" s="1573" t="s">
        <v>8</v>
      </c>
      <c r="U40" s="1574">
        <f t="shared" si="11"/>
        <v>100</v>
      </c>
      <c r="V40" s="1573" t="s">
        <v>8</v>
      </c>
      <c r="W40" s="1574">
        <f t="shared" si="12"/>
        <v>103</v>
      </c>
      <c r="X40" s="1567"/>
      <c r="Y40" s="3392"/>
      <c r="Z40" s="1575" t="str">
        <f t="shared" si="13"/>
        <v>宗地面积</v>
      </c>
      <c r="AA40" s="1576">
        <f t="shared" si="3"/>
        <v>0.98039215686274506</v>
      </c>
      <c r="AB40" s="1576">
        <f t="shared" si="4"/>
        <v>1</v>
      </c>
      <c r="AC40" s="1576">
        <f t="shared" si="5"/>
        <v>0.970873786407767</v>
      </c>
    </row>
    <row r="41" spans="1:29" ht="20.25">
      <c r="A41" s="593"/>
      <c r="B41" s="526" t="s">
        <v>553</v>
      </c>
      <c r="C41" s="598" t="s">
        <v>3145</v>
      </c>
      <c r="D41" s="539">
        <v>100</v>
      </c>
      <c r="E41" s="598" t="s">
        <v>3145</v>
      </c>
      <c r="F41" s="539">
        <f>SUMIF(121:121,E41,122:122)-SUMIF(121:121,C41,122:122)+100</f>
        <v>100</v>
      </c>
      <c r="G41" s="598" t="s">
        <v>3145</v>
      </c>
      <c r="H41" s="539">
        <f>SUMIF(121:121,G41,122:122)-SUMIF(121:121,C41,122:122)+100</f>
        <v>100</v>
      </c>
      <c r="I41" s="598" t="s">
        <v>3145</v>
      </c>
      <c r="J41" s="539">
        <f>SUMIF(121:121,I41,122:122)-SUMIF(121:121,C41,122:122)+100</f>
        <v>100</v>
      </c>
      <c r="K41" s="583">
        <v>1</v>
      </c>
      <c r="L41" s="2142"/>
      <c r="M41" s="2132"/>
      <c r="N41" s="2132"/>
      <c r="O41" s="2141"/>
      <c r="P41" s="3392"/>
      <c r="Q41" s="1572" t="str">
        <f t="shared" ref="Q41:Q47" si="14">B41</f>
        <v>宗地形状</v>
      </c>
      <c r="R41" s="1573" t="s">
        <v>8</v>
      </c>
      <c r="S41" s="1574">
        <f t="shared" si="10"/>
        <v>100</v>
      </c>
      <c r="T41" s="1573" t="s">
        <v>8</v>
      </c>
      <c r="U41" s="1574">
        <f t="shared" si="11"/>
        <v>100</v>
      </c>
      <c r="V41" s="1573" t="s">
        <v>8</v>
      </c>
      <c r="W41" s="1574">
        <f t="shared" si="12"/>
        <v>100</v>
      </c>
      <c r="X41" s="1567"/>
      <c r="Y41" s="3392"/>
      <c r="Z41" s="1575" t="str">
        <f t="shared" si="13"/>
        <v>宗地形状</v>
      </c>
      <c r="AA41" s="1576">
        <f t="shared" si="3"/>
        <v>1</v>
      </c>
      <c r="AB41" s="1576">
        <f t="shared" si="4"/>
        <v>1</v>
      </c>
      <c r="AC41" s="1576">
        <f t="shared" si="5"/>
        <v>1</v>
      </c>
    </row>
    <row r="42" spans="1:29" ht="20.25">
      <c r="A42" s="593"/>
      <c r="B42" s="526" t="s">
        <v>554</v>
      </c>
      <c r="C42" s="598" t="s">
        <v>3150</v>
      </c>
      <c r="D42" s="539">
        <v>100</v>
      </c>
      <c r="E42" s="598" t="s">
        <v>3150</v>
      </c>
      <c r="F42" s="539">
        <f>SUMIF(123:123,E42,124:124)-SUMIF(123:123,C42,124:124)+100</f>
        <v>100</v>
      </c>
      <c r="G42" s="598" t="s">
        <v>3150</v>
      </c>
      <c r="H42" s="539">
        <f>SUMIF(123:123,G42,124:124)-SUMIF(123:123,C42,124:124)+100</f>
        <v>100</v>
      </c>
      <c r="I42" s="598" t="s">
        <v>3150</v>
      </c>
      <c r="J42" s="539">
        <f>SUMIF(123:123,I42,124:124)-SUMIF(123:123,C42,124:124)+100</f>
        <v>100</v>
      </c>
      <c r="K42" s="583">
        <v>2</v>
      </c>
      <c r="L42" s="2142"/>
      <c r="M42" s="2132"/>
      <c r="N42" s="2132"/>
      <c r="O42" s="2141"/>
      <c r="P42" s="3392"/>
      <c r="Q42" s="1572" t="str">
        <f t="shared" si="14"/>
        <v>临街宽度及深度</v>
      </c>
      <c r="R42" s="1573" t="s">
        <v>8</v>
      </c>
      <c r="S42" s="1574">
        <f t="shared" si="10"/>
        <v>100</v>
      </c>
      <c r="T42" s="1573" t="s">
        <v>8</v>
      </c>
      <c r="U42" s="1574">
        <f t="shared" si="11"/>
        <v>100</v>
      </c>
      <c r="V42" s="1573" t="s">
        <v>8</v>
      </c>
      <c r="W42" s="1574">
        <f t="shared" si="12"/>
        <v>100</v>
      </c>
      <c r="X42" s="1567"/>
      <c r="Y42" s="3392"/>
      <c r="Z42" s="1575" t="str">
        <f t="shared" si="13"/>
        <v>临街宽度及深度</v>
      </c>
      <c r="AA42" s="1576">
        <f t="shared" si="3"/>
        <v>1</v>
      </c>
      <c r="AB42" s="1576">
        <f t="shared" si="4"/>
        <v>1</v>
      </c>
      <c r="AC42" s="1576">
        <f t="shared" si="5"/>
        <v>1</v>
      </c>
    </row>
    <row r="43" spans="1:29" s="1219" customFormat="1" ht="20.25">
      <c r="A43" s="599"/>
      <c r="B43" s="1895" t="s">
        <v>2425</v>
      </c>
      <c r="C43" s="600" t="s">
        <v>3162</v>
      </c>
      <c r="D43" s="254">
        <v>100</v>
      </c>
      <c r="E43" s="600" t="s">
        <v>3134</v>
      </c>
      <c r="F43" s="539">
        <f>SUMIF(125:125,E43,126:126)-SUMIF(125:125,C43,126:126)+100</f>
        <v>106</v>
      </c>
      <c r="G43" s="600" t="s">
        <v>3160</v>
      </c>
      <c r="H43" s="539">
        <f>SUMIF(125:125,G43,126:126)-SUMIF(125:125,C43,126:126)+100</f>
        <v>104</v>
      </c>
      <c r="I43" s="600" t="s">
        <v>3161</v>
      </c>
      <c r="J43" s="539">
        <f>SUMIF(125:125,I43,126:126)-SUMIF(125:125,C43,126:126)+100</f>
        <v>102</v>
      </c>
      <c r="K43" s="583">
        <v>2</v>
      </c>
      <c r="L43" s="2135"/>
      <c r="M43" s="2132"/>
      <c r="N43" s="2132"/>
      <c r="O43" s="2137"/>
      <c r="P43" s="3392"/>
      <c r="Q43" s="1572" t="str">
        <f t="shared" si="14"/>
        <v>宗地开发程度</v>
      </c>
      <c r="R43" s="1568" t="s">
        <v>8</v>
      </c>
      <c r="S43" s="1569">
        <f t="shared" si="10"/>
        <v>106</v>
      </c>
      <c r="T43" s="1568" t="s">
        <v>8</v>
      </c>
      <c r="U43" s="1569">
        <f t="shared" si="11"/>
        <v>104</v>
      </c>
      <c r="V43" s="1568" t="s">
        <v>8</v>
      </c>
      <c r="W43" s="1569">
        <f t="shared" si="12"/>
        <v>102</v>
      </c>
      <c r="X43" s="1570"/>
      <c r="Y43" s="3392"/>
      <c r="Z43" s="1149" t="str">
        <f t="shared" si="13"/>
        <v>宗地开发程度</v>
      </c>
      <c r="AA43" s="1571">
        <f t="shared" si="3"/>
        <v>0.94339622641509435</v>
      </c>
      <c r="AB43" s="1571">
        <f t="shared" si="4"/>
        <v>0.96153846153846156</v>
      </c>
      <c r="AC43" s="1571">
        <f t="shared" si="5"/>
        <v>0.98039215686274506</v>
      </c>
    </row>
    <row r="44" spans="1:29" ht="21" thickBot="1">
      <c r="A44" s="593"/>
      <c r="B44" s="526" t="s">
        <v>555</v>
      </c>
      <c r="C44" s="598" t="s">
        <v>3133</v>
      </c>
      <c r="D44" s="539">
        <v>100</v>
      </c>
      <c r="E44" s="598" t="s">
        <v>3133</v>
      </c>
      <c r="F44" s="539">
        <f>SUMIF(127:127,E44,128:128)-SUMIF(127:127,C44,128:128)+100</f>
        <v>100</v>
      </c>
      <c r="G44" s="598" t="s">
        <v>3133</v>
      </c>
      <c r="H44" s="539">
        <f>SUMIF(127:127,G44,128:128)-SUMIF(127:127,C44,128:128)+100</f>
        <v>100</v>
      </c>
      <c r="I44" s="598" t="s">
        <v>3133</v>
      </c>
      <c r="J44" s="539">
        <f>SUMIF(127:127,I44,128:128)-SUMIF(127:127,C44,128:128)+100</f>
        <v>100</v>
      </c>
      <c r="K44" s="583">
        <v>1</v>
      </c>
      <c r="L44" s="2142"/>
      <c r="M44" s="2132"/>
      <c r="N44" s="2132"/>
      <c r="O44" s="2141"/>
      <c r="P44" s="3392" t="s">
        <v>550</v>
      </c>
      <c r="Q44" s="1572" t="str">
        <f t="shared" si="14"/>
        <v>工程地质条件</v>
      </c>
      <c r="R44" s="1573" t="s">
        <v>8</v>
      </c>
      <c r="S44" s="1574">
        <f t="shared" si="10"/>
        <v>100</v>
      </c>
      <c r="T44" s="1573" t="s">
        <v>8</v>
      </c>
      <c r="U44" s="1574">
        <f t="shared" si="11"/>
        <v>100</v>
      </c>
      <c r="V44" s="1573" t="s">
        <v>8</v>
      </c>
      <c r="W44" s="1574">
        <f t="shared" si="12"/>
        <v>100</v>
      </c>
      <c r="X44" s="1567"/>
      <c r="Y44" s="3392"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2"/>
      <c r="Q45" s="1572">
        <f t="shared" si="14"/>
        <v>111</v>
      </c>
      <c r="R45" s="1573" t="s">
        <v>8</v>
      </c>
      <c r="S45" s="1574">
        <f t="shared" si="10"/>
        <v>100</v>
      </c>
      <c r="T45" s="1573" t="s">
        <v>8</v>
      </c>
      <c r="U45" s="1574">
        <f t="shared" si="11"/>
        <v>100</v>
      </c>
      <c r="V45" s="1573" t="s">
        <v>8</v>
      </c>
      <c r="W45" s="1574">
        <f t="shared" si="12"/>
        <v>100</v>
      </c>
      <c r="X45" s="1567"/>
      <c r="Y45" s="3392"/>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2"/>
      <c r="Q46" s="1572">
        <f t="shared" si="14"/>
        <v>111</v>
      </c>
      <c r="R46" s="1573" t="s">
        <v>8</v>
      </c>
      <c r="S46" s="1574">
        <f t="shared" si="10"/>
        <v>100</v>
      </c>
      <c r="T46" s="1573" t="s">
        <v>8</v>
      </c>
      <c r="U46" s="1574">
        <f t="shared" si="11"/>
        <v>100</v>
      </c>
      <c r="V46" s="1573" t="s">
        <v>8</v>
      </c>
      <c r="W46" s="1574">
        <f t="shared" si="12"/>
        <v>100</v>
      </c>
      <c r="X46" s="1567"/>
      <c r="Y46" s="3392"/>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2"/>
      <c r="Q47" s="1572">
        <f t="shared" si="14"/>
        <v>111</v>
      </c>
      <c r="R47" s="1577" t="s">
        <v>8</v>
      </c>
      <c r="S47" s="1578">
        <f t="shared" si="10"/>
        <v>100</v>
      </c>
      <c r="T47" s="1577" t="s">
        <v>8</v>
      </c>
      <c r="U47" s="1578">
        <f t="shared" si="11"/>
        <v>100</v>
      </c>
      <c r="V47" s="1577" t="s">
        <v>8</v>
      </c>
      <c r="W47" s="1578">
        <f t="shared" si="12"/>
        <v>100</v>
      </c>
      <c r="X47" s="1579"/>
      <c r="Y47" s="3392"/>
      <c r="Z47" s="1580">
        <f t="shared" si="13"/>
        <v>111</v>
      </c>
      <c r="AA47" s="1576">
        <f t="shared" si="3"/>
        <v>1</v>
      </c>
      <c r="AB47" s="1576">
        <f t="shared" si="4"/>
        <v>1</v>
      </c>
      <c r="AC47" s="1576">
        <f t="shared" si="5"/>
        <v>1</v>
      </c>
    </row>
    <row r="48" spans="1:29" ht="20.25">
      <c r="A48" s="606" t="s">
        <v>556</v>
      </c>
      <c r="B48" s="607" t="s">
        <v>3129</v>
      </c>
      <c r="C48" s="608" t="s">
        <v>1</v>
      </c>
      <c r="D48" s="609"/>
      <c r="E48" s="610">
        <f>ROUND(Sheet1!W2,0)</f>
        <v>23354</v>
      </c>
      <c r="F48" s="611"/>
      <c r="G48" s="612">
        <v>13640</v>
      </c>
      <c r="H48" s="613"/>
      <c r="I48" s="610">
        <f>ROUND(Sheet1!W7,0)</f>
        <v>23400</v>
      </c>
      <c r="J48" s="613"/>
      <c r="K48" s="1339"/>
      <c r="L48" s="2144"/>
      <c r="M48" s="2132"/>
      <c r="N48" s="2132"/>
      <c r="O48" s="2145"/>
      <c r="P48" s="3354" t="str">
        <f>A48</f>
        <v>成交单价</v>
      </c>
      <c r="Q48" s="3354"/>
      <c r="R48" s="3355">
        <f>E48</f>
        <v>23354</v>
      </c>
      <c r="S48" s="3355"/>
      <c r="T48" s="3355">
        <f>G48</f>
        <v>13640</v>
      </c>
      <c r="U48" s="3355"/>
      <c r="V48" s="3355">
        <f>I48</f>
        <v>23400</v>
      </c>
      <c r="W48" s="3355"/>
      <c r="X48" s="1559"/>
      <c r="Y48" s="1581"/>
      <c r="Z48" s="1559"/>
      <c r="AA48" s="1559"/>
      <c r="AB48" s="1559"/>
      <c r="AC48" s="1559"/>
    </row>
    <row r="49" spans="1:29" ht="21" thickBot="1">
      <c r="A49" s="614" t="s">
        <v>2694</v>
      </c>
      <c r="B49" s="615"/>
      <c r="C49" s="616">
        <f>R50</f>
        <v>19302</v>
      </c>
      <c r="D49" s="617"/>
      <c r="E49" s="616">
        <f>R49</f>
        <v>20991</v>
      </c>
      <c r="F49" s="618"/>
      <c r="G49" s="619">
        <f>T49</f>
        <v>13725</v>
      </c>
      <c r="H49" s="617"/>
      <c r="I49" s="616">
        <f>V49</f>
        <v>23191</v>
      </c>
      <c r="J49" s="617"/>
      <c r="K49" s="1340"/>
      <c r="L49" s="2144"/>
      <c r="M49" s="2132"/>
      <c r="N49" s="2132"/>
      <c r="O49" s="2145"/>
      <c r="P49" s="3354" t="str">
        <f>A49</f>
        <v>比较价格（元/平方米）</v>
      </c>
      <c r="Q49" s="3354"/>
      <c r="R49" s="3356">
        <f>ROUND(PRODUCT(R48,AA9:AA47),0)</f>
        <v>20991</v>
      </c>
      <c r="S49" s="3356"/>
      <c r="T49" s="3356">
        <f>ROUND(PRODUCT(T48,AB9:AB47),0)</f>
        <v>13725</v>
      </c>
      <c r="U49" s="3356"/>
      <c r="V49" s="3356">
        <f>ROUND(PRODUCT(V48,AC9:AC47),0)</f>
        <v>23191</v>
      </c>
      <c r="W49" s="3356"/>
      <c r="X49" s="1559"/>
      <c r="Y49" s="1559"/>
      <c r="Z49" s="1559"/>
      <c r="AA49" s="1559"/>
      <c r="AB49" s="1559"/>
      <c r="AC49" s="1559"/>
    </row>
    <row r="50" spans="1:29" ht="21" thickBot="1">
      <c r="A50" s="620" t="s">
        <v>2937</v>
      </c>
      <c r="B50" s="621"/>
      <c r="C50" s="622">
        <f>R50</f>
        <v>19302</v>
      </c>
      <c r="D50" s="622"/>
      <c r="E50" s="622"/>
      <c r="F50" s="622"/>
      <c r="G50" s="622"/>
      <c r="H50" s="622"/>
      <c r="I50" s="622"/>
      <c r="J50" s="622"/>
      <c r="K50" s="1341"/>
      <c r="L50" s="2144"/>
      <c r="M50" s="2132"/>
      <c r="N50" s="2132"/>
      <c r="O50" s="2145"/>
      <c r="P50" s="3351" t="str">
        <f>A50</f>
        <v>估价对象XX用房的比较价格（楼面单价，元/平方米）</v>
      </c>
      <c r="Q50" s="3352"/>
      <c r="R50" s="3353">
        <f>ROUND(AVERAGE(R49:V49),0)</f>
        <v>19302</v>
      </c>
      <c r="S50" s="3353"/>
      <c r="T50" s="3353"/>
      <c r="U50" s="3353"/>
      <c r="V50" s="3353"/>
      <c r="W50" s="3353"/>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0.11257205469010523</v>
      </c>
      <c r="F53" s="626" t="str">
        <f>IF(OR(E53&gt;=0.3,E53&lt;=-0.3),"超过30%","")</f>
        <v/>
      </c>
      <c r="G53" s="625">
        <f>IF(G48&lt;G49,G49/G48-1,G48/G49-1)</f>
        <v>6.2316715542523049E-3</v>
      </c>
      <c r="H53" s="626" t="str">
        <f>IF(OR(G53&gt;=0.3,G53&lt;=-0.3),"超过30%","")</f>
        <v/>
      </c>
      <c r="I53" s="625">
        <f>IF(I48&lt;I49,I49/I48-1,I48/I49-1)</f>
        <v>9.0121167694363624E-3</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0.5293989071038252</v>
      </c>
      <c r="F54" s="626" t="str">
        <f>IF(OR(E54&gt;=0.2,E54&lt;=-0.2),"超过20%","")</f>
        <v>超过20%</v>
      </c>
      <c r="G54" s="625">
        <f>IF(G49&lt;I49,I49/G49-1,G49/I49-1)</f>
        <v>0.68969034608378865</v>
      </c>
      <c r="H54" s="626" t="str">
        <f>IF(OR(G54&gt;=0.2,G54&lt;=-0.2),"超过20%","")</f>
        <v>超过20%</v>
      </c>
      <c r="I54" s="625">
        <f>IF(I49&lt;E49,E49/I49-1,I49/E49-1)</f>
        <v>0.10480682197132096</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0.71217008797653958</v>
      </c>
      <c r="F55" s="626" t="str">
        <f>IF(OR(E55&gt;=0.3,E55&lt;=-0.3),"超过30%","")</f>
        <v>超过30%</v>
      </c>
      <c r="G55" s="625">
        <f>IF(G48&lt;I48,I48/G48-1,G48/I48-1)</f>
        <v>0.71554252199413493</v>
      </c>
      <c r="H55" s="626" t="str">
        <f>IF(OR(G55&gt;=0.3,G55&lt;=-0.3),"超过30%","")</f>
        <v>超过30%</v>
      </c>
      <c r="I55" s="625">
        <f>IF(I48&lt;E48,E48/I48-1,I48/E48-1)</f>
        <v>1.9696839941765187E-3</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560</v>
      </c>
      <c r="B57" s="629" t="s">
        <v>561</v>
      </c>
      <c r="C57" s="1560" t="s">
        <v>1725</v>
      </c>
      <c r="D57" s="2227" t="s">
        <v>2294</v>
      </c>
      <c r="E57" s="630" t="s">
        <v>562</v>
      </c>
      <c r="F57" s="631" t="s">
        <v>563</v>
      </c>
      <c r="G57" s="3381" t="s">
        <v>2282</v>
      </c>
      <c r="H57" s="3382"/>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19302</v>
      </c>
      <c r="C58" s="634">
        <v>1</v>
      </c>
      <c r="D58" s="2228">
        <v>1</v>
      </c>
      <c r="E58" s="634">
        <f>'数据-汇总表'!E8+'数据-汇总表'!E9</f>
        <v>25240.000000000004</v>
      </c>
      <c r="F58" s="635">
        <f t="shared" ref="F58:F67" si="15">ROUND(B58*E58/10000,0)</f>
        <v>48718</v>
      </c>
      <c r="G58" s="3383"/>
      <c r="H58" s="3384"/>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2895</v>
      </c>
      <c r="C59" s="377">
        <f t="shared" ref="C59:C67" si="16">IF($C$57="北京市系数",I59,J59)</f>
        <v>0.6</v>
      </c>
      <c r="D59" s="2229">
        <v>0.25</v>
      </c>
      <c r="E59" s="638">
        <v>0</v>
      </c>
      <c r="F59" s="635">
        <f t="shared" si="15"/>
        <v>0</v>
      </c>
      <c r="G59" s="3385" t="s">
        <v>2283</v>
      </c>
      <c r="H59" s="1948" t="str">
        <f>项目基本情况!B43</f>
        <v>九级</v>
      </c>
      <c r="I59" s="1556">
        <f>SUMIF(修正!$A$45:$A$56,H59,修正!B45:B56)</f>
        <v>0.6</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1448</v>
      </c>
      <c r="C60" s="377">
        <f t="shared" si="16"/>
        <v>0.3</v>
      </c>
      <c r="D60" s="2229">
        <v>0.25</v>
      </c>
      <c r="E60" s="638">
        <v>0</v>
      </c>
      <c r="F60" s="635">
        <f t="shared" si="15"/>
        <v>0</v>
      </c>
      <c r="G60" s="3385"/>
      <c r="H60" s="1948" t="str">
        <f>项目基本情况!B43</f>
        <v>九级</v>
      </c>
      <c r="I60" s="1556">
        <f>SUMIF(修正!$A$45:$A$56,H60,修正!C45:C56)</f>
        <v>0.3</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965</v>
      </c>
      <c r="C61" s="377">
        <f t="shared" si="16"/>
        <v>0.2</v>
      </c>
      <c r="D61" s="2229">
        <v>0.25</v>
      </c>
      <c r="E61" s="638">
        <v>0</v>
      </c>
      <c r="F61" s="635">
        <f t="shared" si="15"/>
        <v>0</v>
      </c>
      <c r="G61" s="3385"/>
      <c r="H61" s="1948" t="str">
        <f>项目基本情况!B43</f>
        <v>九级</v>
      </c>
      <c r="I61" s="1556">
        <f>SUMIF(修正!$A$45:$A$56,H61,修正!D45:D56)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965</v>
      </c>
      <c r="C62" s="377">
        <f t="shared" si="16"/>
        <v>0.2</v>
      </c>
      <c r="D62" s="2229">
        <v>0.25</v>
      </c>
      <c r="E62" s="638">
        <v>0</v>
      </c>
      <c r="F62" s="635">
        <f t="shared" si="15"/>
        <v>0</v>
      </c>
      <c r="G62" s="3385"/>
      <c r="H62" s="1948" t="str">
        <f>项目基本情况!B43</f>
        <v>九级</v>
      </c>
      <c r="I62" s="1556">
        <f>SUMIF(修正!$A$45:$A$56,H62,修正!E45:E56)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965</v>
      </c>
      <c r="C63" s="377">
        <f t="shared" si="16"/>
        <v>0.2</v>
      </c>
      <c r="D63" s="2229">
        <v>0.25</v>
      </c>
      <c r="E63" s="640">
        <f>'数据-汇总表'!E11</f>
        <v>0</v>
      </c>
      <c r="F63" s="635">
        <f t="shared" si="15"/>
        <v>0</v>
      </c>
      <c r="G63" s="1945" t="s">
        <v>2284</v>
      </c>
      <c r="H63" s="1948" t="str">
        <f>项目基本情况!C43</f>
        <v>九级</v>
      </c>
      <c r="I63" s="1556">
        <f>SUMIF(修正!$A$45:$A$56,H63,修正!F45:F56)</f>
        <v>0.2</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965</v>
      </c>
      <c r="C64" s="377">
        <f t="shared" si="16"/>
        <v>0.2</v>
      </c>
      <c r="D64" s="2229">
        <v>0.25</v>
      </c>
      <c r="E64" s="640">
        <f>'数据-汇总表'!E12</f>
        <v>14051.610000000002</v>
      </c>
      <c r="F64" s="635">
        <f t="shared" si="15"/>
        <v>1356</v>
      </c>
      <c r="G64" s="1946" t="s">
        <v>923</v>
      </c>
      <c r="H64" s="1944" t="str">
        <f>IF(G64="商业",项目基本情况!B43,IF(G64="办公",项目基本情况!C43,IF(G64="住宅",项目基本情况!D43,项目基本情况!E43)))</f>
        <v>九级</v>
      </c>
      <c r="I64" s="1556">
        <f>SUMIF(修正!$A$45:$A$56,H64,修正!G45:G56)</f>
        <v>0.2</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724</v>
      </c>
      <c r="C65" s="377">
        <f t="shared" si="16"/>
        <v>0.15</v>
      </c>
      <c r="D65" s="2229">
        <v>0.25</v>
      </c>
      <c r="E65" s="640">
        <f>'数据-汇总表'!E13</f>
        <v>8755.64</v>
      </c>
      <c r="F65" s="635">
        <f t="shared" si="15"/>
        <v>634</v>
      </c>
      <c r="G65" s="1946" t="s">
        <v>923</v>
      </c>
      <c r="H65" s="1944" t="str">
        <f>IF(G65="商业",项目基本情况!B43,IF(G65="办公",项目基本情况!C43,IF(G65="住宅",项目基本情况!D43,项目基本情况!E43)))</f>
        <v>九级</v>
      </c>
      <c r="I65" s="1556">
        <f>SUMIF(修正!$A$45:$A$56,H65,修正!H45:H56)</f>
        <v>0.15</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724</v>
      </c>
      <c r="C66" s="377">
        <f t="shared" si="16"/>
        <v>0.15</v>
      </c>
      <c r="D66" s="2229">
        <v>0.25</v>
      </c>
      <c r="E66" s="640">
        <f>'数据-汇总表'!E14</f>
        <v>0</v>
      </c>
      <c r="F66" s="635">
        <f t="shared" si="15"/>
        <v>0</v>
      </c>
      <c r="G66" s="1945" t="s">
        <v>2283</v>
      </c>
      <c r="H66" s="1948" t="str">
        <f>项目基本情况!B43</f>
        <v>九级</v>
      </c>
      <c r="I66" s="1556">
        <f>SUMIF(修正!$A$45:$A$56,H66,修正!H45:H56)</f>
        <v>0.15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724</v>
      </c>
      <c r="C67" s="377">
        <f t="shared" si="16"/>
        <v>0.15</v>
      </c>
      <c r="D67" s="2229">
        <v>0.25</v>
      </c>
      <c r="E67" s="640">
        <f>'数据-汇总表'!E15</f>
        <v>0</v>
      </c>
      <c r="F67" s="635">
        <f t="shared" si="15"/>
        <v>0</v>
      </c>
      <c r="G67" s="1947" t="s">
        <v>2284</v>
      </c>
      <c r="H67" s="1949" t="str">
        <f>项目基本情况!C43</f>
        <v>九级</v>
      </c>
      <c r="I67" s="1556">
        <f>SUMIF(修正!$A$45:$A$56,H67,修正!H45:H56)</f>
        <v>0.15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2295</v>
      </c>
      <c r="E68" s="642">
        <f>IF(B48="楼面地价",SUM(E58:E67),'数据-汇总表'!D3)</f>
        <v>48047.250000000007</v>
      </c>
      <c r="F68" s="643">
        <f>IF(B48="楼面地价",SUM(F58:F67),ROUND(C50*E68/10000,0))</f>
        <v>50708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2533</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2648</v>
      </c>
      <c r="B73" s="478" t="str">
        <f>"北京市平均增长率"&amp;TEXT(SUMIF(基准地价!N21:N25,A73,基准地价!P21:P25),"0.00%")</f>
        <v>北京市平均增长率2.13%</v>
      </c>
      <c r="C73" s="893">
        <v>100</v>
      </c>
      <c r="D73" s="729">
        <f>C73-0.5</f>
        <v>99.5</v>
      </c>
      <c r="E73" s="729">
        <v>99.5</v>
      </c>
      <c r="F73" s="729">
        <v>99</v>
      </c>
      <c r="G73" s="729">
        <v>99</v>
      </c>
      <c r="H73" s="729">
        <v>98.5</v>
      </c>
      <c r="I73" s="729">
        <v>98.5</v>
      </c>
      <c r="J73" s="729">
        <v>98</v>
      </c>
      <c r="K73" s="729">
        <v>98</v>
      </c>
      <c r="L73" s="729">
        <v>97.5</v>
      </c>
      <c r="M73" s="729">
        <v>97.5</v>
      </c>
      <c r="N73" s="729">
        <v>97</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77" t="s">
        <v>3167</v>
      </c>
      <c r="D77" s="3177" t="s">
        <v>3168</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105</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97</v>
      </c>
      <c r="E99" s="678">
        <f>D99-$K25</f>
        <v>94</v>
      </c>
      <c r="F99" s="678">
        <f>E99-$K25</f>
        <v>91</v>
      </c>
      <c r="G99" s="678">
        <f>F99-$K25</f>
        <v>88</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76" t="s">
        <v>2551</v>
      </c>
      <c r="C104" s="2577" t="s">
        <v>2552</v>
      </c>
      <c r="D104" s="2577" t="s">
        <v>2553</v>
      </c>
      <c r="E104" s="2577" t="s">
        <v>2554</v>
      </c>
      <c r="F104" s="2577" t="s">
        <v>2555</v>
      </c>
      <c r="G104" s="2577"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78" t="s">
        <v>3138</v>
      </c>
      <c r="D108" s="3178" t="s">
        <v>3139</v>
      </c>
      <c r="E108" s="3178" t="s">
        <v>3140</v>
      </c>
      <c r="F108" s="3178" t="s">
        <v>3141</v>
      </c>
      <c r="G108" s="3178" t="s">
        <v>3143</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066" t="str">
        <f t="shared" si="25"/>
        <v>(含)-</v>
      </c>
      <c r="K118" s="3066" t="str">
        <f t="shared" si="25"/>
        <v>(含)-</v>
      </c>
      <c r="L118" s="3067" t="str">
        <f t="shared" si="25"/>
        <v>(含)-</v>
      </c>
      <c r="M118" s="306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f>C119+50000</f>
        <v>50000</v>
      </c>
      <c r="E119" s="729">
        <f t="shared" ref="E119:G119" si="26">D119+50000</f>
        <v>100000</v>
      </c>
      <c r="F119" s="729">
        <f t="shared" si="26"/>
        <v>150000</v>
      </c>
      <c r="G119" s="729">
        <f t="shared" si="26"/>
        <v>200000</v>
      </c>
      <c r="H119" s="729">
        <f>G119+50000</f>
        <v>250000</v>
      </c>
      <c r="I119" s="729"/>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79" t="s">
        <v>3144</v>
      </c>
      <c r="D121" s="3179" t="s">
        <v>3146</v>
      </c>
      <c r="E121" s="3179" t="s">
        <v>3147</v>
      </c>
      <c r="F121" s="3179" t="s">
        <v>3148</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78" t="s">
        <v>3149</v>
      </c>
      <c r="D123" s="3178" t="s">
        <v>3151</v>
      </c>
      <c r="E123" s="3178" t="s">
        <v>3152</v>
      </c>
      <c r="F123" s="3179" t="s">
        <v>3153</v>
      </c>
      <c r="G123" s="3179" t="s">
        <v>3154</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2426</v>
      </c>
      <c r="C125" s="1375" t="s">
        <v>3135</v>
      </c>
      <c r="D125" s="1375" t="s">
        <v>3134</v>
      </c>
      <c r="E125" s="1375" t="s">
        <v>3160</v>
      </c>
      <c r="F125" s="1375" t="s">
        <v>3161</v>
      </c>
      <c r="G125" s="1375" t="s">
        <v>3162</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1375" t="s">
        <v>3155</v>
      </c>
      <c r="D127" s="1375" t="s">
        <v>3156</v>
      </c>
      <c r="E127" s="1375" t="s">
        <v>3157</v>
      </c>
      <c r="F127" s="1375" t="s">
        <v>3158</v>
      </c>
      <c r="G127" s="1375" t="s">
        <v>3159</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521</v>
      </c>
      <c r="B6" s="512"/>
      <c r="C6" s="3360" t="s">
        <v>522</v>
      </c>
      <c r="D6" s="3361"/>
      <c r="E6" s="3395" t="s">
        <v>523</v>
      </c>
      <c r="F6" s="3396"/>
      <c r="G6" s="3360" t="s">
        <v>524</v>
      </c>
      <c r="H6" s="3361"/>
      <c r="I6" s="3360" t="s">
        <v>525</v>
      </c>
      <c r="J6" s="3361"/>
      <c r="K6" s="513" t="s">
        <v>526</v>
      </c>
      <c r="L6" s="2133"/>
      <c r="M6" s="2134"/>
      <c r="N6" s="2134"/>
      <c r="O6" s="2134"/>
      <c r="P6" s="3362" t="s">
        <v>527</v>
      </c>
      <c r="Q6" s="3363"/>
      <c r="R6" s="3368" t="s">
        <v>523</v>
      </c>
      <c r="S6" s="3369"/>
      <c r="T6" s="3368" t="s">
        <v>524</v>
      </c>
      <c r="U6" s="3369"/>
      <c r="V6" s="3355" t="s">
        <v>525</v>
      </c>
      <c r="W6" s="3355"/>
      <c r="X6" s="1567"/>
      <c r="Y6" s="3368" t="s">
        <v>527</v>
      </c>
      <c r="Z6" s="3369"/>
      <c r="AA6" s="3357" t="s">
        <v>523</v>
      </c>
      <c r="AB6" s="3358" t="s">
        <v>524</v>
      </c>
      <c r="AC6" s="3357" t="s">
        <v>525</v>
      </c>
    </row>
    <row r="7" spans="1:29" ht="15">
      <c r="A7" s="514"/>
      <c r="B7" s="515"/>
      <c r="C7" s="3376" t="s">
        <v>2931</v>
      </c>
      <c r="D7" s="3377"/>
      <c r="E7" s="3397" t="s">
        <v>2932</v>
      </c>
      <c r="F7" s="3398"/>
      <c r="G7" s="3376" t="s">
        <v>2933</v>
      </c>
      <c r="H7" s="3377"/>
      <c r="I7" s="3376" t="s">
        <v>2934</v>
      </c>
      <c r="J7" s="3377"/>
      <c r="K7" s="513"/>
      <c r="L7" s="2133"/>
      <c r="M7" s="2134"/>
      <c r="N7" s="2134"/>
      <c r="O7" s="2134"/>
      <c r="P7" s="3364"/>
      <c r="Q7" s="3365"/>
      <c r="R7" s="3370"/>
      <c r="S7" s="3371"/>
      <c r="T7" s="3370"/>
      <c r="U7" s="3371"/>
      <c r="V7" s="3355"/>
      <c r="W7" s="3355"/>
      <c r="X7" s="1567"/>
      <c r="Y7" s="3370"/>
      <c r="Z7" s="3371"/>
      <c r="AA7" s="3358"/>
      <c r="AB7" s="3358"/>
      <c r="AC7" s="3358"/>
    </row>
    <row r="8" spans="1:29" ht="15.75" thickBot="1">
      <c r="A8" s="516"/>
      <c r="B8" s="517"/>
      <c r="C8" s="3374" t="s">
        <v>2935</v>
      </c>
      <c r="D8" s="3375"/>
      <c r="E8" s="3393" t="s">
        <v>2935</v>
      </c>
      <c r="F8" s="3394"/>
      <c r="G8" s="3374" t="s">
        <v>2935</v>
      </c>
      <c r="H8" s="3375"/>
      <c r="I8" s="3374" t="s">
        <v>2935</v>
      </c>
      <c r="J8" s="3375"/>
      <c r="K8" s="513" t="s">
        <v>528</v>
      </c>
      <c r="L8" s="2133"/>
      <c r="M8" s="2134"/>
      <c r="N8" s="2134"/>
      <c r="O8" s="2134"/>
      <c r="P8" s="3366"/>
      <c r="Q8" s="3367"/>
      <c r="R8" s="3370"/>
      <c r="S8" s="3371"/>
      <c r="T8" s="3372"/>
      <c r="U8" s="3373"/>
      <c r="V8" s="3355"/>
      <c r="W8" s="3355"/>
      <c r="X8" s="1567"/>
      <c r="Y8" s="3372"/>
      <c r="Z8" s="3373"/>
      <c r="AA8" s="3359"/>
      <c r="AB8" s="3359"/>
      <c r="AC8" s="3359"/>
    </row>
    <row r="9" spans="1:29" s="1219" customFormat="1" ht="15.75" thickBot="1">
      <c r="A9" s="2890"/>
      <c r="B9" s="2897" t="s">
        <v>529</v>
      </c>
      <c r="C9" s="518">
        <f>'数据-取费表'!B2</f>
        <v>43546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86" t="s">
        <v>530</v>
      </c>
      <c r="Q9" s="3388"/>
      <c r="R9" s="1568" t="s">
        <v>8</v>
      </c>
      <c r="S9" s="1569">
        <f t="shared" ref="S9:S17" si="0">F9</f>
        <v>0</v>
      </c>
      <c r="T9" s="1568" t="s">
        <v>8</v>
      </c>
      <c r="U9" s="1569">
        <f t="shared" ref="U9:U17" si="1">H9</f>
        <v>0</v>
      </c>
      <c r="V9" s="1568" t="s">
        <v>8</v>
      </c>
      <c r="W9" s="1569">
        <f t="shared" ref="W9:W17" si="2">J9</f>
        <v>0</v>
      </c>
      <c r="X9" s="1570"/>
      <c r="Y9" s="3386" t="s">
        <v>530</v>
      </c>
      <c r="Z9" s="3387"/>
      <c r="AA9" s="1571" t="e">
        <f>D9/F9</f>
        <v>#DIV/0!</v>
      </c>
      <c r="AB9" s="1571" t="e">
        <f>D9/H9</f>
        <v>#DIV/0!</v>
      </c>
      <c r="AC9" s="1571" t="e">
        <f>D9/J9</f>
        <v>#DIV/0!</v>
      </c>
    </row>
    <row r="10" spans="1:29" s="1219" customFormat="1" ht="15.75" thickBot="1">
      <c r="A10" s="2891"/>
      <c r="B10" s="2898"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86" t="s">
        <v>533</v>
      </c>
      <c r="Q10" s="3387"/>
      <c r="R10" s="1568" t="s">
        <v>8</v>
      </c>
      <c r="S10" s="1569">
        <f t="shared" si="0"/>
        <v>0</v>
      </c>
      <c r="T10" s="1568" t="s">
        <v>8</v>
      </c>
      <c r="U10" s="1569">
        <f t="shared" si="1"/>
        <v>0</v>
      </c>
      <c r="V10" s="1568" t="s">
        <v>8</v>
      </c>
      <c r="W10" s="1569">
        <f t="shared" si="2"/>
        <v>0</v>
      </c>
      <c r="X10" s="1570"/>
      <c r="Y10" s="3386" t="s">
        <v>533</v>
      </c>
      <c r="Z10" s="3387"/>
      <c r="AA10" s="1571" t="e">
        <f t="shared" ref="AA10:AA42" si="3">D10/F10</f>
        <v>#DIV/0!</v>
      </c>
      <c r="AB10" s="1571" t="e">
        <f t="shared" ref="AB10:AB42" si="4">D10/H10</f>
        <v>#DIV/0!</v>
      </c>
      <c r="AC10" s="1571" t="e">
        <f t="shared" ref="AC10:AC42" si="5">D10/J10</f>
        <v>#DIV/0!</v>
      </c>
    </row>
    <row r="11" spans="1:29" s="1219" customFormat="1" ht="15">
      <c r="A11" s="2892"/>
      <c r="B11" s="2899"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54" t="s">
        <v>535</v>
      </c>
      <c r="Q11" s="1150" t="str">
        <f t="shared" ref="Q11:Q17" si="6">B11</f>
        <v>用途</v>
      </c>
      <c r="R11" s="1568" t="s">
        <v>8</v>
      </c>
      <c r="S11" s="1569">
        <f t="shared" si="0"/>
        <v>100</v>
      </c>
      <c r="T11" s="1568" t="s">
        <v>8</v>
      </c>
      <c r="U11" s="1569">
        <f t="shared" si="1"/>
        <v>100</v>
      </c>
      <c r="V11" s="1568" t="s">
        <v>8</v>
      </c>
      <c r="W11" s="1569">
        <f t="shared" si="2"/>
        <v>100</v>
      </c>
      <c r="X11" s="1570"/>
      <c r="Y11" s="3300" t="s">
        <v>536</v>
      </c>
      <c r="Z11" s="1149" t="str">
        <f t="shared" ref="Z11:Z17" si="7">Q11</f>
        <v>用途</v>
      </c>
      <c r="AA11" s="1571">
        <f t="shared" si="3"/>
        <v>1</v>
      </c>
      <c r="AB11" s="1571">
        <f t="shared" si="4"/>
        <v>1</v>
      </c>
      <c r="AC11" s="1571">
        <f t="shared" si="5"/>
        <v>1</v>
      </c>
    </row>
    <row r="12" spans="1:29" s="1337" customFormat="1" ht="27">
      <c r="A12" s="2893"/>
      <c r="B12" s="2898"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54"/>
      <c r="Q12" s="1150" t="str">
        <f t="shared" si="6"/>
        <v>土地使用年限（年）</v>
      </c>
      <c r="R12" s="1568" t="s">
        <v>8</v>
      </c>
      <c r="S12" s="1569">
        <f t="shared" si="0"/>
        <v>100</v>
      </c>
      <c r="T12" s="1568" t="s">
        <v>8</v>
      </c>
      <c r="U12" s="1569">
        <f t="shared" si="1"/>
        <v>100</v>
      </c>
      <c r="V12" s="1568" t="s">
        <v>8</v>
      </c>
      <c r="W12" s="1569">
        <f t="shared" si="2"/>
        <v>100</v>
      </c>
      <c r="X12" s="1570"/>
      <c r="Y12" s="3300"/>
      <c r="Z12" s="1149" t="str">
        <f t="shared" si="7"/>
        <v>土地使用年限（年）</v>
      </c>
      <c r="AA12" s="1571">
        <f t="shared" si="3"/>
        <v>1</v>
      </c>
      <c r="AB12" s="1571">
        <f t="shared" si="4"/>
        <v>1</v>
      </c>
      <c r="AC12" s="1571">
        <f t="shared" si="5"/>
        <v>1</v>
      </c>
    </row>
    <row r="13" spans="1:29" ht="15">
      <c r="A13" s="2894"/>
      <c r="B13" s="2898"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54"/>
      <c r="Q13" s="1150" t="str">
        <f t="shared" si="6"/>
        <v>容积率</v>
      </c>
      <c r="R13" s="1568" t="s">
        <v>8</v>
      </c>
      <c r="S13" s="1569" t="e">
        <f t="shared" si="0"/>
        <v>#N/A</v>
      </c>
      <c r="T13" s="1568" t="s">
        <v>8</v>
      </c>
      <c r="U13" s="1569" t="e">
        <f t="shared" si="1"/>
        <v>#N/A</v>
      </c>
      <c r="V13" s="1568" t="s">
        <v>8</v>
      </c>
      <c r="W13" s="1569" t="e">
        <f t="shared" si="2"/>
        <v>#N/A</v>
      </c>
      <c r="X13" s="1570"/>
      <c r="Y13" s="3300"/>
      <c r="Z13" s="1149" t="str">
        <f t="shared" si="7"/>
        <v>容积率</v>
      </c>
      <c r="AA13" s="1571" t="e">
        <f t="shared" si="3"/>
        <v>#N/A</v>
      </c>
      <c r="AB13" s="1571" t="e">
        <f t="shared" si="4"/>
        <v>#N/A</v>
      </c>
      <c r="AC13" s="1571" t="e">
        <f t="shared" si="5"/>
        <v>#N/A</v>
      </c>
    </row>
    <row r="14" spans="1:29" s="1219" customFormat="1" ht="15">
      <c r="A14" s="2895"/>
      <c r="B14" s="2901">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54"/>
      <c r="Q14" s="1150">
        <f t="shared" si="6"/>
        <v>111</v>
      </c>
      <c r="R14" s="1568" t="s">
        <v>8</v>
      </c>
      <c r="S14" s="1569">
        <f t="shared" si="0"/>
        <v>100</v>
      </c>
      <c r="T14" s="1568" t="s">
        <v>8</v>
      </c>
      <c r="U14" s="1569">
        <f t="shared" si="1"/>
        <v>100</v>
      </c>
      <c r="V14" s="1568" t="s">
        <v>8</v>
      </c>
      <c r="W14" s="1569">
        <f t="shared" si="2"/>
        <v>100</v>
      </c>
      <c r="X14" s="1570"/>
      <c r="Y14" s="3300"/>
      <c r="Z14" s="1149">
        <f t="shared" si="7"/>
        <v>111</v>
      </c>
      <c r="AA14" s="1571">
        <f>D14/F14</f>
        <v>1</v>
      </c>
      <c r="AB14" s="1571">
        <f>D14/H14</f>
        <v>1</v>
      </c>
      <c r="AC14" s="1571">
        <f>D14/J14</f>
        <v>1</v>
      </c>
    </row>
    <row r="15" spans="1:29" ht="15">
      <c r="A15" s="2895"/>
      <c r="B15" s="2901">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54"/>
      <c r="Q15" s="1150">
        <f t="shared" si="6"/>
        <v>111</v>
      </c>
      <c r="R15" s="1568" t="s">
        <v>8</v>
      </c>
      <c r="S15" s="1569">
        <f t="shared" si="0"/>
        <v>100</v>
      </c>
      <c r="T15" s="1568" t="s">
        <v>8</v>
      </c>
      <c r="U15" s="1569">
        <f t="shared" si="1"/>
        <v>100</v>
      </c>
      <c r="V15" s="1568" t="s">
        <v>8</v>
      </c>
      <c r="W15" s="1569">
        <f t="shared" si="2"/>
        <v>100</v>
      </c>
      <c r="X15" s="1570"/>
      <c r="Y15" s="3300"/>
      <c r="Z15" s="1149">
        <f t="shared" si="7"/>
        <v>111</v>
      </c>
      <c r="AA15" s="1571">
        <f t="shared" si="3"/>
        <v>1</v>
      </c>
      <c r="AB15" s="1571">
        <f t="shared" si="4"/>
        <v>1</v>
      </c>
      <c r="AC15" s="1571">
        <f t="shared" si="5"/>
        <v>1</v>
      </c>
    </row>
    <row r="16" spans="1:29" ht="15.75" thickBot="1">
      <c r="A16" s="2896"/>
      <c r="B16" s="2902">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54"/>
      <c r="Q16" s="1150">
        <f t="shared" si="6"/>
        <v>111</v>
      </c>
      <c r="R16" s="1568" t="s">
        <v>8</v>
      </c>
      <c r="S16" s="1569">
        <f t="shared" si="0"/>
        <v>100</v>
      </c>
      <c r="T16" s="1568" t="s">
        <v>8</v>
      </c>
      <c r="U16" s="1569">
        <f t="shared" si="1"/>
        <v>100</v>
      </c>
      <c r="V16" s="1568" t="s">
        <v>8</v>
      </c>
      <c r="W16" s="1569">
        <f t="shared" si="2"/>
        <v>100</v>
      </c>
      <c r="X16" s="1570"/>
      <c r="Y16" s="3300"/>
      <c r="Z16" s="1149">
        <f t="shared" si="7"/>
        <v>111</v>
      </c>
      <c r="AA16" s="1571">
        <f t="shared" si="3"/>
        <v>1</v>
      </c>
      <c r="AB16" s="1571">
        <f t="shared" si="4"/>
        <v>1</v>
      </c>
      <c r="AC16" s="1571">
        <f t="shared" si="5"/>
        <v>1</v>
      </c>
    </row>
    <row r="17" spans="1:29" ht="57">
      <c r="A17" s="2888" t="s">
        <v>2755</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89" t="s">
        <v>540</v>
      </c>
      <c r="Q17" s="1572" t="str">
        <f t="shared" si="6"/>
        <v>产业集聚程度</v>
      </c>
      <c r="R17" s="1573" t="s">
        <v>8</v>
      </c>
      <c r="S17" s="1574">
        <f t="shared" si="0"/>
        <v>100</v>
      </c>
      <c r="T17" s="1573" t="s">
        <v>8</v>
      </c>
      <c r="U17" s="1574">
        <f t="shared" si="1"/>
        <v>100</v>
      </c>
      <c r="V17" s="1573" t="s">
        <v>8</v>
      </c>
      <c r="W17" s="1574">
        <f t="shared" si="2"/>
        <v>100</v>
      </c>
      <c r="X17" s="1567"/>
      <c r="Y17" s="3389"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390"/>
      <c r="Q18" s="1572"/>
      <c r="R18" s="1573"/>
      <c r="S18" s="1574"/>
      <c r="T18" s="1573"/>
      <c r="U18" s="1574"/>
      <c r="V18" s="1573"/>
      <c r="W18" s="1574"/>
      <c r="X18" s="1567"/>
      <c r="Y18" s="3390"/>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0"/>
      <c r="Q19" s="1572" t="str">
        <f>B19</f>
        <v>交通便捷度</v>
      </c>
      <c r="R19" s="1573" t="s">
        <v>8</v>
      </c>
      <c r="S19" s="1574">
        <f>F19</f>
        <v>100</v>
      </c>
      <c r="T19" s="1573" t="s">
        <v>8</v>
      </c>
      <c r="U19" s="1574">
        <f>H19</f>
        <v>100</v>
      </c>
      <c r="V19" s="1573" t="s">
        <v>8</v>
      </c>
      <c r="W19" s="1574">
        <f>J19</f>
        <v>100</v>
      </c>
      <c r="X19" s="1567"/>
      <c r="Y19" s="3390"/>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390"/>
      <c r="Q20" s="1572"/>
      <c r="R20" s="1573"/>
      <c r="S20" s="1574"/>
      <c r="T20" s="1573"/>
      <c r="U20" s="1574"/>
      <c r="V20" s="1573"/>
      <c r="W20" s="1574"/>
      <c r="X20" s="1567"/>
      <c r="Y20" s="3390"/>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0"/>
      <c r="Q21" s="1572" t="str">
        <f t="shared" ref="Q21:Q35" si="8">B21</f>
        <v>区域土地利用方向</v>
      </c>
      <c r="R21" s="1573" t="s">
        <v>8</v>
      </c>
      <c r="S21" s="1574">
        <f>F21</f>
        <v>100</v>
      </c>
      <c r="T21" s="1573" t="s">
        <v>8</v>
      </c>
      <c r="U21" s="1574">
        <f>H21</f>
        <v>100</v>
      </c>
      <c r="V21" s="1573" t="s">
        <v>8</v>
      </c>
      <c r="W21" s="1574">
        <f>J21</f>
        <v>100</v>
      </c>
      <c r="X21" s="1567"/>
      <c r="Y21" s="3390"/>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390"/>
      <c r="Q22" s="1572"/>
      <c r="R22" s="1573"/>
      <c r="S22" s="1574"/>
      <c r="T22" s="1573"/>
      <c r="U22" s="1574"/>
      <c r="V22" s="1573"/>
      <c r="W22" s="1574"/>
      <c r="X22" s="1567"/>
      <c r="Y22" s="3390"/>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0"/>
      <c r="Q23" s="1572" t="str">
        <f t="shared" si="8"/>
        <v>环境状况</v>
      </c>
      <c r="R23" s="1573" t="s">
        <v>8</v>
      </c>
      <c r="S23" s="1574">
        <f>F23</f>
        <v>100</v>
      </c>
      <c r="T23" s="1573" t="s">
        <v>8</v>
      </c>
      <c r="U23" s="1574">
        <f>H23</f>
        <v>100</v>
      </c>
      <c r="V23" s="1573" t="s">
        <v>8</v>
      </c>
      <c r="W23" s="1574">
        <f>J23</f>
        <v>100</v>
      </c>
      <c r="X23" s="1567"/>
      <c r="Y23" s="3390"/>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390"/>
      <c r="Q24" s="1572"/>
      <c r="R24" s="1573"/>
      <c r="S24" s="1574"/>
      <c r="T24" s="1573"/>
      <c r="U24" s="1574"/>
      <c r="V24" s="1573"/>
      <c r="W24" s="1574"/>
      <c r="X24" s="1567"/>
      <c r="Y24" s="3390"/>
      <c r="Z24" s="1575"/>
      <c r="AA24" s="1576">
        <v>1</v>
      </c>
      <c r="AB24" s="1576">
        <v>1</v>
      </c>
      <c r="AC24" s="1576">
        <v>1</v>
      </c>
    </row>
    <row r="25" spans="1:29" s="1219" customFormat="1" ht="42.75">
      <c r="A25" s="576"/>
      <c r="B25" s="257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0"/>
      <c r="Q25" s="1150" t="str">
        <f t="shared" si="8"/>
        <v>公共配套设施</v>
      </c>
      <c r="R25" s="1568" t="s">
        <v>8</v>
      </c>
      <c r="S25" s="1569">
        <f>F25</f>
        <v>100</v>
      </c>
      <c r="T25" s="1568" t="s">
        <v>8</v>
      </c>
      <c r="U25" s="1569">
        <f>H25</f>
        <v>100</v>
      </c>
      <c r="V25" s="1568" t="s">
        <v>8</v>
      </c>
      <c r="W25" s="1569">
        <f>J25</f>
        <v>100</v>
      </c>
      <c r="X25" s="1570"/>
      <c r="Y25" s="3390"/>
      <c r="Z25" s="1149" t="str">
        <f>Q25</f>
        <v>公共配套设施</v>
      </c>
      <c r="AA25" s="1576">
        <f>D25/F25</f>
        <v>1</v>
      </c>
      <c r="AB25" s="1576">
        <f>D25/H25</f>
        <v>1</v>
      </c>
      <c r="AC25" s="1576">
        <f>D25/J25</f>
        <v>1</v>
      </c>
    </row>
    <row r="26" spans="1:29" s="1219" customFormat="1" ht="15">
      <c r="A26" s="576"/>
      <c r="B26" s="594"/>
      <c r="C26" s="2571"/>
      <c r="D26" s="554"/>
      <c r="E26" s="553"/>
      <c r="F26" s="554"/>
      <c r="G26" s="553"/>
      <c r="H26" s="554"/>
      <c r="I26" s="575"/>
      <c r="J26" s="554"/>
      <c r="K26" s="530"/>
      <c r="L26" s="2135"/>
      <c r="M26" s="2136"/>
      <c r="N26" s="2136"/>
      <c r="O26" s="2137"/>
      <c r="P26" s="3390"/>
      <c r="Q26" s="1150"/>
      <c r="R26" s="1568"/>
      <c r="S26" s="1569"/>
      <c r="T26" s="1568"/>
      <c r="U26" s="1569"/>
      <c r="V26" s="1568"/>
      <c r="W26" s="1569"/>
      <c r="X26" s="1570"/>
      <c r="Y26" s="3390"/>
      <c r="Z26" s="1149"/>
      <c r="AA26" s="1571">
        <v>1</v>
      </c>
      <c r="AB26" s="1571">
        <v>1</v>
      </c>
      <c r="AC26" s="1571">
        <v>1</v>
      </c>
    </row>
    <row r="27" spans="1:29" s="1219" customFormat="1" ht="28.5">
      <c r="A27" s="576"/>
      <c r="B27" s="257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0"/>
      <c r="Q27" s="2557" t="str">
        <f t="shared" ref="Q27" si="9">B27</f>
        <v>基础设施水平</v>
      </c>
      <c r="R27" s="1568" t="s">
        <v>8</v>
      </c>
      <c r="S27" s="1569">
        <f>F27</f>
        <v>100</v>
      </c>
      <c r="T27" s="1568" t="s">
        <v>8</v>
      </c>
      <c r="U27" s="1569">
        <f>H27</f>
        <v>100</v>
      </c>
      <c r="V27" s="1568" t="s">
        <v>8</v>
      </c>
      <c r="W27" s="1569">
        <f>J27</f>
        <v>100</v>
      </c>
      <c r="X27" s="1570"/>
      <c r="Y27" s="3390"/>
      <c r="Z27" s="2554" t="str">
        <f>Q27</f>
        <v>基础设施水平</v>
      </c>
      <c r="AA27" s="1576">
        <f>D27/F27</f>
        <v>1</v>
      </c>
      <c r="AB27" s="1576">
        <f>D27/H27</f>
        <v>1</v>
      </c>
      <c r="AC27" s="1576">
        <f>D27/J27</f>
        <v>1</v>
      </c>
    </row>
    <row r="28" spans="1:29" s="1219" customFormat="1" ht="15">
      <c r="A28" s="576"/>
      <c r="B28" s="594"/>
      <c r="C28" s="2571"/>
      <c r="D28" s="554"/>
      <c r="E28" s="578"/>
      <c r="F28" s="554"/>
      <c r="G28" s="578"/>
      <c r="H28" s="554"/>
      <c r="I28" s="578"/>
      <c r="J28" s="554"/>
      <c r="K28" s="530"/>
      <c r="L28" s="2135"/>
      <c r="M28" s="2136"/>
      <c r="N28" s="2136"/>
      <c r="O28" s="2137"/>
      <c r="P28" s="3390"/>
      <c r="Q28" s="2557"/>
      <c r="R28" s="1568"/>
      <c r="S28" s="1569"/>
      <c r="T28" s="1568"/>
      <c r="U28" s="1569"/>
      <c r="V28" s="1568"/>
      <c r="W28" s="1569"/>
      <c r="X28" s="1570"/>
      <c r="Y28" s="3390"/>
      <c r="Z28" s="2554"/>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0"/>
      <c r="Z29" s="1575" t="str">
        <f t="shared" ref="Z29:Z42" si="13">Q29</f>
        <v>临街状况</v>
      </c>
      <c r="AA29" s="1576">
        <f t="shared" si="3"/>
        <v>1</v>
      </c>
      <c r="AB29" s="1576">
        <f t="shared" si="4"/>
        <v>1</v>
      </c>
      <c r="AC29" s="1576">
        <f t="shared" si="5"/>
        <v>1</v>
      </c>
    </row>
    <row r="30" spans="1:29" ht="27">
      <c r="A30" s="531"/>
      <c r="B30" s="921" t="s">
        <v>548</v>
      </c>
      <c r="C30" s="257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0"/>
      <c r="Q30" s="1572" t="str">
        <f t="shared" si="8"/>
        <v>毗邻道路的类型与等级</v>
      </c>
      <c r="R30" s="1573" t="s">
        <v>8</v>
      </c>
      <c r="S30" s="1574">
        <f t="shared" si="10"/>
        <v>100</v>
      </c>
      <c r="T30" s="1573" t="s">
        <v>8</v>
      </c>
      <c r="U30" s="1574">
        <f t="shared" si="11"/>
        <v>100</v>
      </c>
      <c r="V30" s="1573" t="s">
        <v>8</v>
      </c>
      <c r="W30" s="1574">
        <f t="shared" si="12"/>
        <v>100</v>
      </c>
      <c r="X30" s="1567"/>
      <c r="Y30" s="3390"/>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390"/>
      <c r="Q31" s="1572"/>
      <c r="R31" s="1573"/>
      <c r="S31" s="1574"/>
      <c r="T31" s="1573"/>
      <c r="U31" s="1574"/>
      <c r="V31" s="1573"/>
      <c r="W31" s="1574"/>
      <c r="X31" s="1567"/>
      <c r="Y31" s="3390"/>
      <c r="Z31" s="1575"/>
      <c r="AA31" s="1576">
        <v>1</v>
      </c>
      <c r="AB31" s="1576">
        <v>1</v>
      </c>
      <c r="AC31" s="1576">
        <v>1</v>
      </c>
    </row>
    <row r="32" spans="1:29" ht="15">
      <c r="A32" s="531"/>
      <c r="B32" s="526" t="s">
        <v>549</v>
      </c>
      <c r="C32" s="257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0"/>
      <c r="Q32" s="1572" t="str">
        <f t="shared" si="8"/>
        <v>土地级别</v>
      </c>
      <c r="R32" s="1573" t="s">
        <v>8</v>
      </c>
      <c r="S32" s="1574">
        <f t="shared" si="10"/>
        <v>100</v>
      </c>
      <c r="T32" s="1573" t="s">
        <v>8</v>
      </c>
      <c r="U32" s="1574">
        <f t="shared" si="11"/>
        <v>100</v>
      </c>
      <c r="V32" s="1573" t="s">
        <v>8</v>
      </c>
      <c r="W32" s="1574">
        <f t="shared" si="12"/>
        <v>100</v>
      </c>
      <c r="X32" s="1567"/>
      <c r="Y32" s="3390"/>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0"/>
      <c r="Q33" s="1572">
        <f t="shared" si="8"/>
        <v>111</v>
      </c>
      <c r="R33" s="1573" t="s">
        <v>8</v>
      </c>
      <c r="S33" s="1574">
        <f t="shared" si="10"/>
        <v>100</v>
      </c>
      <c r="T33" s="1573" t="s">
        <v>8</v>
      </c>
      <c r="U33" s="1574">
        <f t="shared" si="11"/>
        <v>100</v>
      </c>
      <c r="V33" s="1573" t="s">
        <v>8</v>
      </c>
      <c r="W33" s="1574">
        <f t="shared" si="12"/>
        <v>100</v>
      </c>
      <c r="X33" s="1567"/>
      <c r="Y33" s="3390"/>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1" t="s">
        <v>550</v>
      </c>
      <c r="Q34" s="1572">
        <f t="shared" si="8"/>
        <v>111</v>
      </c>
      <c r="R34" s="1573" t="s">
        <v>8</v>
      </c>
      <c r="S34" s="1574">
        <f t="shared" si="10"/>
        <v>100</v>
      </c>
      <c r="T34" s="1573" t="s">
        <v>8</v>
      </c>
      <c r="U34" s="1574">
        <f t="shared" si="11"/>
        <v>100</v>
      </c>
      <c r="V34" s="1573" t="s">
        <v>8</v>
      </c>
      <c r="W34" s="1574">
        <f t="shared" si="12"/>
        <v>100</v>
      </c>
      <c r="X34" s="1567"/>
      <c r="Y34" s="3392" t="s">
        <v>550</v>
      </c>
      <c r="Z34" s="1575">
        <f t="shared" si="13"/>
        <v>111</v>
      </c>
      <c r="AA34" s="1576">
        <f t="shared" si="3"/>
        <v>1</v>
      </c>
      <c r="AB34" s="1576">
        <f t="shared" si="4"/>
        <v>1</v>
      </c>
      <c r="AC34" s="1576">
        <f t="shared" si="5"/>
        <v>1</v>
      </c>
    </row>
    <row r="35" spans="1:29" s="1338" customFormat="1" ht="15.75" thickBot="1">
      <c r="A35" s="588"/>
      <c r="B35" s="257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2"/>
      <c r="Q35" s="1572">
        <f t="shared" si="8"/>
        <v>111</v>
      </c>
      <c r="R35" s="1577" t="s">
        <v>8</v>
      </c>
      <c r="S35" s="1578">
        <f t="shared" si="10"/>
        <v>100</v>
      </c>
      <c r="T35" s="1577" t="s">
        <v>8</v>
      </c>
      <c r="U35" s="1578">
        <f t="shared" si="11"/>
        <v>100</v>
      </c>
      <c r="V35" s="1577" t="s">
        <v>8</v>
      </c>
      <c r="W35" s="1578">
        <f t="shared" si="12"/>
        <v>100</v>
      </c>
      <c r="X35" s="1579"/>
      <c r="Y35" s="3392"/>
      <c r="Z35" s="1580">
        <f t="shared" si="13"/>
        <v>111</v>
      </c>
      <c r="AA35" s="1576">
        <f t="shared" si="3"/>
        <v>1</v>
      </c>
      <c r="AB35" s="1576">
        <f t="shared" si="4"/>
        <v>1</v>
      </c>
      <c r="AC35" s="1576">
        <f t="shared" si="5"/>
        <v>1</v>
      </c>
    </row>
    <row r="36" spans="1:29" ht="15">
      <c r="A36" s="2885"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2"/>
      <c r="Q36" s="1572" t="str">
        <f>B36</f>
        <v>宗地面积</v>
      </c>
      <c r="R36" s="1573" t="s">
        <v>8</v>
      </c>
      <c r="S36" s="1574" t="e">
        <f t="shared" si="10"/>
        <v>#N/A</v>
      </c>
      <c r="T36" s="1573" t="s">
        <v>8</v>
      </c>
      <c r="U36" s="1574" t="e">
        <f t="shared" si="11"/>
        <v>#N/A</v>
      </c>
      <c r="V36" s="1573" t="s">
        <v>8</v>
      </c>
      <c r="W36" s="1574" t="e">
        <f t="shared" si="12"/>
        <v>#N/A</v>
      </c>
      <c r="X36" s="1567"/>
      <c r="Y36" s="3392"/>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2"/>
      <c r="Q37" s="1572" t="str">
        <f t="shared" ref="Q37:Q42" si="14">B37</f>
        <v>宗地形状</v>
      </c>
      <c r="R37" s="1573" t="s">
        <v>8</v>
      </c>
      <c r="S37" s="1574">
        <f t="shared" si="10"/>
        <v>100</v>
      </c>
      <c r="T37" s="1573" t="s">
        <v>8</v>
      </c>
      <c r="U37" s="1574">
        <f t="shared" si="11"/>
        <v>100</v>
      </c>
      <c r="V37" s="1573" t="s">
        <v>8</v>
      </c>
      <c r="W37" s="1574">
        <f t="shared" si="12"/>
        <v>100</v>
      </c>
      <c r="X37" s="1567"/>
      <c r="Y37" s="3392"/>
      <c r="Z37" s="1575" t="str">
        <f t="shared" si="13"/>
        <v>宗地形状</v>
      </c>
      <c r="AA37" s="1576">
        <f t="shared" si="3"/>
        <v>1</v>
      </c>
      <c r="AB37" s="1576">
        <f t="shared" si="4"/>
        <v>1</v>
      </c>
      <c r="AC37" s="1576">
        <f t="shared" si="5"/>
        <v>1</v>
      </c>
    </row>
    <row r="38" spans="1:29" s="1219"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2"/>
      <c r="Q38" s="1572" t="str">
        <f t="shared" si="14"/>
        <v>宗地开发程度</v>
      </c>
      <c r="R38" s="1568" t="s">
        <v>8</v>
      </c>
      <c r="S38" s="1569">
        <f t="shared" si="10"/>
        <v>100</v>
      </c>
      <c r="T38" s="1568" t="s">
        <v>8</v>
      </c>
      <c r="U38" s="1569">
        <f t="shared" si="11"/>
        <v>100</v>
      </c>
      <c r="V38" s="1568" t="s">
        <v>8</v>
      </c>
      <c r="W38" s="1569">
        <f t="shared" si="12"/>
        <v>100</v>
      </c>
      <c r="X38" s="1570"/>
      <c r="Y38" s="3392"/>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2" t="s">
        <v>601</v>
      </c>
      <c r="Q39" s="1572" t="str">
        <f t="shared" si="14"/>
        <v>工程地质条件</v>
      </c>
      <c r="R39" s="1573" t="s">
        <v>8</v>
      </c>
      <c r="S39" s="1574">
        <f t="shared" si="10"/>
        <v>100</v>
      </c>
      <c r="T39" s="1573" t="s">
        <v>8</v>
      </c>
      <c r="U39" s="1574">
        <f t="shared" si="11"/>
        <v>100</v>
      </c>
      <c r="V39" s="1573" t="s">
        <v>8</v>
      </c>
      <c r="W39" s="1574">
        <f t="shared" si="12"/>
        <v>100</v>
      </c>
      <c r="X39" s="1567"/>
      <c r="Y39" s="3392"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2"/>
      <c r="Q40" s="1572">
        <f t="shared" si="14"/>
        <v>111</v>
      </c>
      <c r="R40" s="1573" t="s">
        <v>8</v>
      </c>
      <c r="S40" s="1574">
        <f t="shared" si="10"/>
        <v>100</v>
      </c>
      <c r="T40" s="1573" t="s">
        <v>8</v>
      </c>
      <c r="U40" s="1574">
        <f t="shared" si="11"/>
        <v>100</v>
      </c>
      <c r="V40" s="1573" t="s">
        <v>8</v>
      </c>
      <c r="W40" s="1574">
        <f t="shared" si="12"/>
        <v>100</v>
      </c>
      <c r="X40" s="1567"/>
      <c r="Y40" s="3392"/>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2"/>
      <c r="Q41" s="1572">
        <f t="shared" si="14"/>
        <v>111</v>
      </c>
      <c r="R41" s="1573" t="s">
        <v>8</v>
      </c>
      <c r="S41" s="1574">
        <f t="shared" si="10"/>
        <v>100</v>
      </c>
      <c r="T41" s="1573" t="s">
        <v>8</v>
      </c>
      <c r="U41" s="1574">
        <f t="shared" si="11"/>
        <v>100</v>
      </c>
      <c r="V41" s="1573" t="s">
        <v>8</v>
      </c>
      <c r="W41" s="1574">
        <f t="shared" si="12"/>
        <v>100</v>
      </c>
      <c r="X41" s="1567"/>
      <c r="Y41" s="3392"/>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2"/>
      <c r="Q42" s="1572">
        <f t="shared" si="14"/>
        <v>111</v>
      </c>
      <c r="R42" s="1577" t="s">
        <v>8</v>
      </c>
      <c r="S42" s="1578">
        <f t="shared" si="10"/>
        <v>100</v>
      </c>
      <c r="T42" s="1577" t="s">
        <v>8</v>
      </c>
      <c r="U42" s="1578">
        <f t="shared" si="11"/>
        <v>100</v>
      </c>
      <c r="V42" s="1577" t="s">
        <v>8</v>
      </c>
      <c r="W42" s="1578">
        <f t="shared" si="12"/>
        <v>100</v>
      </c>
      <c r="X42" s="1579"/>
      <c r="Y42" s="3392"/>
      <c r="Z42" s="1580">
        <f t="shared" si="13"/>
        <v>111</v>
      </c>
      <c r="AA42" s="1576">
        <f t="shared" si="3"/>
        <v>1</v>
      </c>
      <c r="AB42" s="1576">
        <f t="shared" si="4"/>
        <v>1</v>
      </c>
      <c r="AC42" s="1576">
        <f t="shared" si="5"/>
        <v>1</v>
      </c>
    </row>
    <row r="43" spans="1:29" ht="15">
      <c r="A43" s="606" t="s">
        <v>556</v>
      </c>
      <c r="B43" s="607" t="s">
        <v>2936</v>
      </c>
      <c r="C43" s="608" t="s">
        <v>1</v>
      </c>
      <c r="D43" s="609"/>
      <c r="E43" s="610"/>
      <c r="F43" s="611"/>
      <c r="G43" s="612"/>
      <c r="H43" s="613"/>
      <c r="I43" s="610"/>
      <c r="J43" s="613"/>
      <c r="K43" s="1339"/>
      <c r="L43" s="2144"/>
      <c r="M43" s="2134"/>
      <c r="N43" s="2134"/>
      <c r="O43" s="2145"/>
      <c r="P43" s="3354" t="str">
        <f>A43</f>
        <v>成交单价</v>
      </c>
      <c r="Q43" s="3354"/>
      <c r="R43" s="3355">
        <f>E43</f>
        <v>0</v>
      </c>
      <c r="S43" s="3355"/>
      <c r="T43" s="3355">
        <f>G43</f>
        <v>0</v>
      </c>
      <c r="U43" s="3355"/>
      <c r="V43" s="3355">
        <f>I43</f>
        <v>0</v>
      </c>
      <c r="W43" s="3355"/>
      <c r="X43" s="1559"/>
      <c r="Y43" s="1581"/>
      <c r="Z43" s="1559"/>
      <c r="AA43" s="1559"/>
      <c r="AB43" s="1559"/>
      <c r="AC43" s="1559"/>
    </row>
    <row r="44" spans="1:29" ht="15.75" thickBot="1">
      <c r="A44" s="614" t="s">
        <v>2694</v>
      </c>
      <c r="B44" s="615"/>
      <c r="C44" s="616" t="e">
        <f>R45</f>
        <v>#DIV/0!</v>
      </c>
      <c r="D44" s="617"/>
      <c r="E44" s="616" t="e">
        <f>R44</f>
        <v>#DIV/0!</v>
      </c>
      <c r="F44" s="618"/>
      <c r="G44" s="619" t="e">
        <f>T44</f>
        <v>#DIV/0!</v>
      </c>
      <c r="H44" s="617"/>
      <c r="I44" s="616" t="e">
        <f>V44</f>
        <v>#DIV/0!</v>
      </c>
      <c r="J44" s="617"/>
      <c r="K44" s="1340"/>
      <c r="L44" s="2144"/>
      <c r="M44" s="2134"/>
      <c r="N44" s="2134"/>
      <c r="O44" s="2145"/>
      <c r="P44" s="3354" t="str">
        <f>A44</f>
        <v>比较价格（元/平方米）</v>
      </c>
      <c r="Q44" s="3354"/>
      <c r="R44" s="3356" t="e">
        <f>ROUND(PRODUCT(R43,AA9:AA42),0)</f>
        <v>#DIV/0!</v>
      </c>
      <c r="S44" s="3356"/>
      <c r="T44" s="3356" t="e">
        <f>ROUND(PRODUCT(T43,AB9:AB42),0)</f>
        <v>#DIV/0!</v>
      </c>
      <c r="U44" s="3356"/>
      <c r="V44" s="3356" t="e">
        <f>ROUND(PRODUCT(V43,AC9:AC42),0)</f>
        <v>#DIV/0!</v>
      </c>
      <c r="W44" s="3356"/>
      <c r="X44" s="1559"/>
      <c r="Y44" s="1559"/>
      <c r="Z44" s="1559"/>
      <c r="AA44" s="1559"/>
      <c r="AB44" s="1559"/>
      <c r="AC44" s="1559"/>
    </row>
    <row r="45" spans="1:29" ht="15.75" thickBot="1">
      <c r="A45" s="620" t="s">
        <v>2937</v>
      </c>
      <c r="B45" s="621"/>
      <c r="C45" s="622" t="e">
        <f>R45</f>
        <v>#DIV/0!</v>
      </c>
      <c r="D45" s="622"/>
      <c r="E45" s="622"/>
      <c r="F45" s="622"/>
      <c r="G45" s="622"/>
      <c r="H45" s="622"/>
      <c r="I45" s="622"/>
      <c r="J45" s="622"/>
      <c r="K45" s="1341"/>
      <c r="L45" s="2144"/>
      <c r="M45" s="2134"/>
      <c r="N45" s="2134"/>
      <c r="O45" s="2145"/>
      <c r="P45" s="3351" t="str">
        <f>A45</f>
        <v>估价对象XX用房的比较价格（楼面单价，元/平方米）</v>
      </c>
      <c r="Q45" s="3352"/>
      <c r="R45" s="3353" t="e">
        <f>ROUND(AVERAGE(R44:V44),0)</f>
        <v>#DIV/0!</v>
      </c>
      <c r="S45" s="3353"/>
      <c r="T45" s="3353"/>
      <c r="U45" s="3353"/>
      <c r="V45" s="3353"/>
      <c r="W45" s="3353"/>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60" t="s">
        <v>1725</v>
      </c>
      <c r="D52" s="2227" t="s">
        <v>2294</v>
      </c>
      <c r="E52" s="630" t="s">
        <v>562</v>
      </c>
      <c r="F52" s="1951" t="s">
        <v>563</v>
      </c>
      <c r="G52" s="3399" t="s">
        <v>2285</v>
      </c>
      <c r="H52" s="3400"/>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25240.000000000004</v>
      </c>
      <c r="F53" s="1950" t="e">
        <f t="shared" ref="F53:F62" si="15">ROUND(B53*E53/10000,0)</f>
        <v>#DIV/0!</v>
      </c>
      <c r="G53" s="3401"/>
      <c r="H53" s="3402"/>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0.6</v>
      </c>
      <c r="D54" s="2229">
        <v>0.25</v>
      </c>
      <c r="E54" s="638"/>
      <c r="F54" s="1950" t="e">
        <f t="shared" si="15"/>
        <v>#DIV/0!</v>
      </c>
      <c r="G54" s="3403" t="s">
        <v>2286</v>
      </c>
      <c r="H54" s="1954" t="str">
        <f>项目基本情况!B43</f>
        <v>九级</v>
      </c>
      <c r="I54" s="1953">
        <f>SUMIF(修正!$A$45:$A$56,H54,修正!B45:B56)</f>
        <v>0.6</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0.3</v>
      </c>
      <c r="D55" s="2229">
        <v>0.25</v>
      </c>
      <c r="E55" s="638"/>
      <c r="F55" s="1950" t="e">
        <f t="shared" si="15"/>
        <v>#DIV/0!</v>
      </c>
      <c r="G55" s="3403"/>
      <c r="H55" s="1955" t="str">
        <f>项目基本情况!B43</f>
        <v>九级</v>
      </c>
      <c r="I55" s="1953">
        <f>SUMIF(修正!$A$45:$A$56,H55,修正!C45:C56)</f>
        <v>0.3</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0.2</v>
      </c>
      <c r="D56" s="2229">
        <v>0.25</v>
      </c>
      <c r="E56" s="638"/>
      <c r="F56" s="1950" t="e">
        <f t="shared" si="15"/>
        <v>#DIV/0!</v>
      </c>
      <c r="G56" s="3403"/>
      <c r="H56" s="1955" t="str">
        <f>项目基本情况!B43</f>
        <v>九级</v>
      </c>
      <c r="I56" s="1953">
        <f>SUMIF(修正!$A$45:$A$56,H56,修正!D45:D56)</f>
        <v>0.2</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0.2</v>
      </c>
      <c r="D57" s="2229">
        <v>0.25</v>
      </c>
      <c r="E57" s="638"/>
      <c r="F57" s="1950" t="e">
        <f t="shared" si="15"/>
        <v>#DIV/0!</v>
      </c>
      <c r="G57" s="3403"/>
      <c r="H57" s="1955" t="str">
        <f>项目基本情况!B43</f>
        <v>九级</v>
      </c>
      <c r="I57" s="1953">
        <f>SUMIF(修正!$A$45:$A$56,H57,修正!E45:E56)</f>
        <v>0.2</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0.2</v>
      </c>
      <c r="D58" s="2229">
        <v>0.25</v>
      </c>
      <c r="E58" s="640">
        <f>'数据-汇总表'!E11</f>
        <v>0</v>
      </c>
      <c r="F58" s="1950" t="e">
        <f t="shared" si="15"/>
        <v>#DIV/0!</v>
      </c>
      <c r="G58" s="1956" t="s">
        <v>2287</v>
      </c>
      <c r="H58" s="1955" t="str">
        <f>项目基本情况!C43</f>
        <v>九级</v>
      </c>
      <c r="I58" s="1953">
        <f>SUMIF(修正!$A$45:$A$56,H58,修正!F45:F56)</f>
        <v>0.2</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0.2</v>
      </c>
      <c r="D59" s="2229">
        <v>0.25</v>
      </c>
      <c r="E59" s="640">
        <f>'数据-汇总表'!E12</f>
        <v>14051.610000000002</v>
      </c>
      <c r="F59" s="1950" t="e">
        <f t="shared" si="15"/>
        <v>#DIV/0!</v>
      </c>
      <c r="G59" s="1946" t="s">
        <v>1678</v>
      </c>
      <c r="H59" s="1954" t="str">
        <f>IF(G59="商业",项目基本情况!B43,IF(G59="办公",项目基本情况!C43,IF(G59="住宅",项目基本情况!D43,项目基本情况!E43)))</f>
        <v>九级</v>
      </c>
      <c r="I59" s="1953">
        <f>SUMIF(修正!$A$45:$A$56,H59,修正!G45:G56)</f>
        <v>0.2</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0.15</v>
      </c>
      <c r="D60" s="2229">
        <v>0.25</v>
      </c>
      <c r="E60" s="640">
        <f>'数据-汇总表'!E13</f>
        <v>8755.64</v>
      </c>
      <c r="F60" s="1950" t="e">
        <f t="shared" si="15"/>
        <v>#DIV/0!</v>
      </c>
      <c r="G60" s="1946" t="s">
        <v>923</v>
      </c>
      <c r="H60" s="1954" t="str">
        <f>IF(G60="商业",项目基本情况!B43,IF(G60="办公",项目基本情况!C43,IF(G60="住宅",项目基本情况!D43,项目基本情况!E43)))</f>
        <v>九级</v>
      </c>
      <c r="I60" s="1953">
        <f>SUMIF(修正!$A$45:$A$56,H60,修正!H45:H56)</f>
        <v>0.15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0.15</v>
      </c>
      <c r="D61" s="2229">
        <v>0.25</v>
      </c>
      <c r="E61" s="640">
        <f>'数据-汇总表'!E14</f>
        <v>0</v>
      </c>
      <c r="F61" s="1950" t="e">
        <f t="shared" si="15"/>
        <v>#DIV/0!</v>
      </c>
      <c r="G61" s="1956" t="s">
        <v>2286</v>
      </c>
      <c r="H61" s="1955" t="str">
        <f>项目基本情况!B43</f>
        <v>九级</v>
      </c>
      <c r="I61" s="1953">
        <f>SUMIF(修正!$A$45:$A$56,H61,修正!H45:H56)</f>
        <v>0.15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0.15</v>
      </c>
      <c r="D62" s="2229">
        <v>0.25</v>
      </c>
      <c r="E62" s="640">
        <f>'数据-汇总表'!E15</f>
        <v>0</v>
      </c>
      <c r="F62" s="1950" t="e">
        <f t="shared" si="15"/>
        <v>#DIV/0!</v>
      </c>
      <c r="G62" s="1957" t="s">
        <v>2287</v>
      </c>
      <c r="H62" s="1958" t="str">
        <f>项目基本情况!C43</f>
        <v>九级</v>
      </c>
      <c r="I62" s="1953">
        <f>SUMIF(修正!$A$45:$A$56,H62,修正!H45:H56)</f>
        <v>0.15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2295</v>
      </c>
      <c r="E63" s="642">
        <f>IF(B43="楼面地价",SUM(E53:E62),'数据-汇总表'!D3)</f>
        <v>24151.66</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2534</v>
      </c>
      <c r="B67" s="645"/>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2650</v>
      </c>
      <c r="B68" s="478" t="str">
        <f>"北京市平均增长率"&amp;TEXT(基准地价!P24,"0.00%")</f>
        <v>北京市平均增长率1.42%</v>
      </c>
      <c r="C68" s="893">
        <v>100</v>
      </c>
      <c r="D68" s="729"/>
      <c r="E68" s="729"/>
      <c r="F68" s="729"/>
      <c r="G68" s="729"/>
      <c r="H68" s="729"/>
      <c r="I68" s="729"/>
      <c r="J68" s="729"/>
      <c r="K68" s="729"/>
      <c r="L68" s="729"/>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76" t="s">
        <v>2551</v>
      </c>
      <c r="C95" s="2577" t="s">
        <v>2552</v>
      </c>
      <c r="D95" s="2577" t="s">
        <v>2553</v>
      </c>
      <c r="E95" s="2577" t="s">
        <v>2554</v>
      </c>
      <c r="F95" s="2577" t="s">
        <v>2555</v>
      </c>
      <c r="G95" s="2577"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9"/>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6" t="str">
        <f t="shared" si="25"/>
        <v>(含)-</v>
      </c>
      <c r="L109" s="3067" t="str">
        <f t="shared" si="25"/>
        <v>(含)-</v>
      </c>
      <c r="M109" s="306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2426</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2938</v>
      </c>
      <c r="G3" s="1038">
        <f>IF(F3="宗地容积率",'数据-汇总表'!I4,IF(F3="估价对象容积率",'数据-汇总表'!I6,'数据-汇总表'!I7))</f>
        <v>1.05</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4" t="e">
        <f>ROUND(IF(F16="增加",C6+C16,C6-C16),0)</f>
        <v>#DIV/0!</v>
      </c>
      <c r="E5" s="3094"/>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13"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1.05</v>
      </c>
      <c r="AA7" s="2192"/>
      <c r="AB7" s="2192"/>
      <c r="AC7" s="2193"/>
      <c r="AD7" s="2907"/>
      <c r="AE7" s="2907"/>
      <c r="AF7" s="2907"/>
      <c r="AG7" s="2907"/>
      <c r="AH7" s="2907"/>
      <c r="AI7" s="2907"/>
      <c r="AJ7" s="2908"/>
    </row>
    <row r="8" spans="1:39" ht="15">
      <c r="A8" s="3414"/>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05" t="s">
        <v>2784</v>
      </c>
      <c r="X8" s="3406"/>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14"/>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04" t="s">
        <v>2780</v>
      </c>
      <c r="X9" s="2909" t="s">
        <v>2781</v>
      </c>
      <c r="Y9" s="3072"/>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14"/>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0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14"/>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04" t="s">
        <v>2782</v>
      </c>
      <c r="X11" s="1047" t="s">
        <v>2767</v>
      </c>
      <c r="Y11" s="1653">
        <f>$G$3</f>
        <v>1.05</v>
      </c>
      <c r="Z11" s="1653">
        <f t="shared" ref="Z11:AJ11" si="3">$G$3</f>
        <v>1.05</v>
      </c>
      <c r="AA11" s="1653">
        <f t="shared" si="3"/>
        <v>1.05</v>
      </c>
      <c r="AB11" s="1653">
        <f t="shared" si="3"/>
        <v>1.05</v>
      </c>
      <c r="AC11" s="1653">
        <f t="shared" si="3"/>
        <v>1.05</v>
      </c>
      <c r="AD11" s="1653">
        <f t="shared" si="3"/>
        <v>1.05</v>
      </c>
      <c r="AE11" s="1653">
        <f t="shared" si="3"/>
        <v>1.05</v>
      </c>
      <c r="AF11" s="1653">
        <f t="shared" si="3"/>
        <v>1.05</v>
      </c>
      <c r="AG11" s="1653">
        <f t="shared" si="3"/>
        <v>1.05</v>
      </c>
      <c r="AH11" s="1653">
        <f t="shared" si="3"/>
        <v>1.05</v>
      </c>
      <c r="AI11" s="1653">
        <f t="shared" si="3"/>
        <v>1.05</v>
      </c>
      <c r="AJ11" s="1653">
        <f t="shared" si="3"/>
        <v>1.05</v>
      </c>
    </row>
    <row r="12" spans="1:39" ht="25.5" thickBot="1">
      <c r="A12" s="3413"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04"/>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5"/>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5">
        <v>12</v>
      </c>
      <c r="S13" s="2904"/>
      <c r="T13" s="2915" t="e">
        <f t="shared" si="0"/>
        <v>#DIV/0!</v>
      </c>
      <c r="U13" s="2904"/>
      <c r="V13" s="2915" t="e">
        <f t="shared" si="1"/>
        <v>#DIV/0!</v>
      </c>
      <c r="W13" s="3404"/>
      <c r="X13" s="2912"/>
      <c r="Y13" s="2911">
        <f>(-0.163*(Y12^2)-0.59*Y12+7617)*(10^(-4))/Y11</f>
        <v>0.72542857142857142</v>
      </c>
      <c r="Z13" s="2911">
        <f t="shared" ref="Z13:AJ13" si="5">(-0.163*(Z12^2)-0.59*Z12+7617)*(10^(-4))/Z11</f>
        <v>0.72542857142857142</v>
      </c>
      <c r="AA13" s="2911">
        <f t="shared" si="5"/>
        <v>0.72542857142857142</v>
      </c>
      <c r="AB13" s="2911">
        <f t="shared" si="5"/>
        <v>0.72542857142857142</v>
      </c>
      <c r="AC13" s="2911">
        <f t="shared" si="5"/>
        <v>0.72542857142857142</v>
      </c>
      <c r="AD13" s="2911">
        <f t="shared" si="5"/>
        <v>0.72542857142857142</v>
      </c>
      <c r="AE13" s="2911">
        <f t="shared" si="5"/>
        <v>0.72542857142857142</v>
      </c>
      <c r="AF13" s="2911">
        <f t="shared" si="5"/>
        <v>0.72542857142857142</v>
      </c>
      <c r="AG13" s="2911">
        <f t="shared" si="5"/>
        <v>0.72542857142857142</v>
      </c>
      <c r="AH13" s="2911">
        <f t="shared" si="5"/>
        <v>0.72542857142857142</v>
      </c>
      <c r="AI13" s="2911">
        <f t="shared" si="5"/>
        <v>0.72542857142857142</v>
      </c>
      <c r="AJ13" s="2911">
        <f t="shared" si="5"/>
        <v>0.72542857142857142</v>
      </c>
    </row>
    <row r="14" spans="1:39" ht="12.75" customHeight="1" thickBot="1">
      <c r="A14" s="3415"/>
      <c r="B14" s="1451"/>
      <c r="C14" s="1452"/>
      <c r="D14" s="1453"/>
      <c r="E14" s="1453"/>
      <c r="F14" s="1454"/>
      <c r="G14" s="1455" t="s">
        <v>949</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16"/>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5">
        <v>14</v>
      </c>
      <c r="S15" s="2904"/>
      <c r="T15" s="2915" t="e">
        <f t="shared" si="0"/>
        <v>#DIV/0!</v>
      </c>
      <c r="U15" s="2904"/>
      <c r="V15" s="2915" t="e">
        <f t="shared" si="1"/>
        <v>#DIV/0!</v>
      </c>
      <c r="W15" s="2189"/>
      <c r="X15" s="2189"/>
      <c r="Y15" s="2189"/>
      <c r="Z15" s="2189"/>
      <c r="AA15" s="2189"/>
      <c r="AB15" s="2189"/>
      <c r="AC15" s="2190"/>
    </row>
    <row r="16" spans="1:39" ht="24">
      <c r="A16" s="3413"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14"/>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ROUND(IF(H19="按公示增长率计算",SUMPRODUCT((地价!A3:A25=YEAR(G19)&amp;"-"&amp;ROUNDUP(MONTH(G19)/3,0))*(地价!X2:AB2=E2)*(地价!X3:AB25)),IF(H19="地价指数",M20/M19,(1+I19)^O19)),4)</f>
        <v>#DIV/0!</v>
      </c>
      <c r="D19" s="1474" t="s">
        <v>958</v>
      </c>
      <c r="E19" s="1057">
        <v>41640</v>
      </c>
      <c r="F19" s="1474" t="s">
        <v>959</v>
      </c>
      <c r="G19" s="1058">
        <f>'数据-取费表'!B2</f>
        <v>43546</v>
      </c>
      <c r="H19" s="1475" t="s">
        <v>2939</v>
      </c>
      <c r="I19" s="2762" t="str">
        <f>IF(H19="季度增幅（自定义）",SUMIF(N21:N24,E2,O21:O24),"")</f>
        <v/>
      </c>
      <c r="J19" s="1471"/>
      <c r="K19" s="1481"/>
      <c r="L19" s="3013" t="s">
        <v>2842</v>
      </c>
      <c r="M19" s="3014">
        <f>ROUND(SUMIF(地价!B2:F2,E2,地价!B25:F25),0)</f>
        <v>0</v>
      </c>
      <c r="N19" s="2764" t="s">
        <v>1677</v>
      </c>
      <c r="O19" s="2763">
        <f>ROUNDDOWN(DATEDIF(E19,G19,"M")/3,0)</f>
        <v>20</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69">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5" t="s">
        <v>2843</v>
      </c>
      <c r="M20" s="3016">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19" t="s">
        <v>2965</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0"/>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0"/>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1"/>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2" t="s">
        <v>2992</v>
      </c>
      <c r="C41" s="838" t="e">
        <f>ROUND(POWER(1+E41,H41-G41)*(POWER(1+E41,G41)-1)/(POWER(1+E41,H41)-1),4)</f>
        <v>#DIV/0!</v>
      </c>
      <c r="D41" s="377" t="s">
        <v>2990</v>
      </c>
      <c r="E41" s="3171">
        <f>G20</f>
        <v>0</v>
      </c>
      <c r="F41" s="377" t="s">
        <v>2991</v>
      </c>
      <c r="G41" s="395"/>
      <c r="H41" s="377">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90" t="str">
        <f>估价对象房地状况!C16</f>
        <v>估价对象位于XX商圈，周边商业氛围成熟，人流量大，商业繁华度好</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387" t="str">
        <f>估价对象房地状况!C18</f>
        <v>估价对象周边道路状况、公共交通通达情况、停车便捷程度，综合评价交通便捷度较好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7">
        <f>估价对象房地状况!C19</f>
        <v>0</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1" t="s">
        <v>2941</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7">
        <f>估价对象房地状况!C24</f>
        <v>0</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70" t="s">
        <v>2940</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估价对象所在区域公共配套设施齐备情况</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区域自然环境：；人文环境；综合评价环境状况一般</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90" t="str">
        <f>估价对象房地状况!C17</f>
        <v>估价对象位于XX商圈，周边办公楼项目较多，入驻率高，办公集聚程度较好</v>
      </c>
      <c r="C58" s="1049"/>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387" t="str">
        <f>估价对象房地状况!C18</f>
        <v>估价对象周边道路状况、公共交通通达情况、停车便捷程度，综合评价交通便捷度较好</v>
      </c>
      <c r="C59" s="1049"/>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7">
        <f>估价对象房地状况!C19</f>
        <v>0</v>
      </c>
      <c r="C60" s="1049"/>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1" t="s">
        <v>2942</v>
      </c>
      <c r="C61" s="1049"/>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7">
        <f>估价对象房地状况!C24</f>
        <v>0</v>
      </c>
      <c r="C62" s="1049"/>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70" t="s">
        <v>2940</v>
      </c>
      <c r="C63" s="1049"/>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388" t="str">
        <f>估价对象房地状况!C21</f>
        <v>估价对象所在区域公共配套设施齐备情况</v>
      </c>
      <c r="C64" s="1049"/>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8" t="str">
        <f>估价对象房地状况!C22</f>
        <v>估价对象所在区域基础设施水平</v>
      </c>
      <c r="C65" s="1049"/>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区域自然环境：；人文环境；综合评价环境状况一般</v>
      </c>
      <c r="C66" s="1049"/>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390" t="str">
        <f>估价对象房地状况!C15</f>
        <v>估价对象周边居住用地比例、居住小区规模和社区发展完善程度，综合评价居住社区成熟度一般</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387" t="str">
        <f>估价对象房地状况!C18</f>
        <v>估价对象周边道路状况、公共交通通达情况、停车便捷程度，综合评价交通便捷度较好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7">
        <f>估价对象房地状况!C19</f>
        <v>0</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7">
        <f>估价对象房地状况!C24</f>
        <v>0</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388" t="str">
        <f>估价对象房地状况!C21</f>
        <v>估价对象所在区域公共配套设施齐备情况</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8" t="str">
        <f>估价对象房地状况!C22</f>
        <v>估价对象所在区域基础设施水平</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70" t="s">
        <v>2940</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390" t="str">
        <f>估价对象房地状况!C20</f>
        <v>区域自然环境：；人文环境；综合评价环境状况一般</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6" t="s">
        <v>1038</v>
      </c>
      <c r="B80" s="2387" t="str">
        <f>估价对象房地状况!G15</f>
        <v>估价对象位于XX开发区，园区建设成熟度XX，产业集聚程度XX</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6" t="s">
        <v>1034</v>
      </c>
      <c r="B81" s="2387" t="str">
        <f>估价对象房地状况!G16</f>
        <v>估价对象周边道路状况、公共交通通达情况、停车便捷程度，综合评价交通便捷度较好</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1023</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1035</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1027</v>
      </c>
      <c r="B84" s="2388" t="str">
        <f>估价对象房地状况!G19</f>
        <v>估价对象所在区域公共配套设施齐备情况</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1028</v>
      </c>
      <c r="B85" s="2388" t="str">
        <f>估价对象房地状况!G20</f>
        <v>估价对象所在区域基础设施水平</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1026</v>
      </c>
      <c r="B86" s="3070" t="s">
        <v>2940</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17" t="s">
        <v>1634</v>
      </c>
      <c r="B90" s="3417"/>
      <c r="C90" s="3417"/>
      <c r="D90" s="3417"/>
      <c r="E90" s="3417"/>
      <c r="F90" s="3417"/>
      <c r="G90" s="3417"/>
      <c r="H90" s="3417"/>
      <c r="I90" s="3417"/>
      <c r="J90" s="3417"/>
      <c r="K90" s="2429"/>
      <c r="L90" s="2429"/>
      <c r="M90" s="2429"/>
      <c r="N90" s="2429"/>
    </row>
    <row r="91" spans="1:40">
      <c r="A91" s="3418" t="s">
        <v>1444</v>
      </c>
      <c r="B91" s="3418" t="s">
        <v>1635</v>
      </c>
      <c r="C91" s="1139" t="s">
        <v>1636</v>
      </c>
      <c r="D91" s="1140"/>
      <c r="E91" s="1140"/>
      <c r="F91" s="1140"/>
      <c r="G91" s="1140"/>
      <c r="H91" s="1140"/>
      <c r="I91" s="1140"/>
      <c r="J91" s="1141"/>
      <c r="K91" s="1133"/>
      <c r="L91" s="1133"/>
      <c r="M91" s="1133"/>
      <c r="N91" s="1133"/>
    </row>
    <row r="92" spans="1:40">
      <c r="A92" s="3418"/>
      <c r="B92" s="3418"/>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07"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8"/>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0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7" t="s">
        <v>1638</v>
      </c>
      <c r="B101" s="1146" t="s">
        <v>906</v>
      </c>
      <c r="C101" s="1147">
        <f>$G$3</f>
        <v>1.05</v>
      </c>
      <c r="D101" s="1147">
        <f t="shared" ref="D101:N101" si="31">$G$3</f>
        <v>1.05</v>
      </c>
      <c r="E101" s="1147">
        <f t="shared" si="31"/>
        <v>1.05</v>
      </c>
      <c r="F101" s="1147">
        <f t="shared" si="31"/>
        <v>1.05</v>
      </c>
      <c r="G101" s="1147">
        <f t="shared" si="31"/>
        <v>1.05</v>
      </c>
      <c r="H101" s="1147">
        <f t="shared" si="31"/>
        <v>1.05</v>
      </c>
      <c r="I101" s="1147">
        <f t="shared" si="31"/>
        <v>1.05</v>
      </c>
      <c r="J101" s="1147">
        <f t="shared" si="31"/>
        <v>1.05</v>
      </c>
      <c r="K101" s="1147">
        <f t="shared" si="31"/>
        <v>1.05</v>
      </c>
      <c r="L101" s="1147">
        <f t="shared" si="31"/>
        <v>1.05</v>
      </c>
      <c r="M101" s="1147">
        <f t="shared" si="31"/>
        <v>1.05</v>
      </c>
      <c r="N101" s="1147">
        <f t="shared" si="31"/>
        <v>1.05</v>
      </c>
    </row>
    <row r="102" spans="1:14">
      <c r="A102" s="3408"/>
      <c r="B102" s="1142">
        <v>1</v>
      </c>
      <c r="C102" s="1143">
        <f>1.9362/C101</f>
        <v>1.8439999999999999</v>
      </c>
      <c r="D102" s="1143">
        <f>1.9362/D101</f>
        <v>1.8439999999999999</v>
      </c>
      <c r="E102" s="1143">
        <f>1.8629/E101</f>
        <v>1.7741904761904761</v>
      </c>
      <c r="F102" s="1143">
        <f>1.8629/F101</f>
        <v>1.7741904761904761</v>
      </c>
      <c r="G102" s="1143">
        <f>1.8629/G101</f>
        <v>1.7741904761904761</v>
      </c>
      <c r="H102" s="1143">
        <f>1.8629/H101</f>
        <v>1.7741904761904761</v>
      </c>
      <c r="I102" s="1143">
        <f>1.8629/I101</f>
        <v>1.7741904761904761</v>
      </c>
      <c r="J102" s="1143">
        <f>1.942/J101</f>
        <v>1.8495238095238093</v>
      </c>
      <c r="K102" s="1143">
        <f>1.942/K101</f>
        <v>1.8495238095238093</v>
      </c>
      <c r="L102" s="1143">
        <f>1.942/L101</f>
        <v>1.8495238095238093</v>
      </c>
      <c r="M102" s="1143">
        <f>1.942/M101</f>
        <v>1.8495238095238093</v>
      </c>
      <c r="N102" s="1143">
        <f>1.942/N101</f>
        <v>1.8495238095238093</v>
      </c>
    </row>
    <row r="103" spans="1:14">
      <c r="A103" s="3408"/>
      <c r="B103" s="1142">
        <v>2</v>
      </c>
      <c r="C103" s="1143">
        <f>1.4198/C101</f>
        <v>1.3521904761904762</v>
      </c>
      <c r="D103" s="1143">
        <f>1.4198/D101</f>
        <v>1.3521904761904762</v>
      </c>
      <c r="E103" s="1143">
        <f>1.3372/E101</f>
        <v>1.2735238095238095</v>
      </c>
      <c r="F103" s="1143">
        <f>1.3372/F101</f>
        <v>1.2735238095238095</v>
      </c>
      <c r="G103" s="1143">
        <f>1.3372/G101</f>
        <v>1.2735238095238095</v>
      </c>
      <c r="H103" s="1143">
        <f>1.3372/H101</f>
        <v>1.2735238095238095</v>
      </c>
      <c r="I103" s="1143">
        <f>1.3372/I101</f>
        <v>1.2735238095238095</v>
      </c>
      <c r="J103" s="1143">
        <f>1.2799/J101</f>
        <v>1.218952380952381</v>
      </c>
      <c r="K103" s="1143">
        <f>1.2799/K101</f>
        <v>1.218952380952381</v>
      </c>
      <c r="L103" s="1143">
        <f>1.2799/L101</f>
        <v>1.218952380952381</v>
      </c>
      <c r="M103" s="1143">
        <f>1.2799/M101</f>
        <v>1.218952380952381</v>
      </c>
      <c r="N103" s="1143">
        <f>1.2799/N101</f>
        <v>1.218952380952381</v>
      </c>
    </row>
    <row r="104" spans="1:14">
      <c r="A104" s="3408"/>
      <c r="B104" s="1142">
        <v>3</v>
      </c>
      <c r="C104" s="1143">
        <f>1.1594/C101</f>
        <v>1.1041904761904762</v>
      </c>
      <c r="D104" s="1143">
        <f>1.1594/D101</f>
        <v>1.1041904761904762</v>
      </c>
      <c r="E104" s="1143">
        <f>1.0788/E101</f>
        <v>1.0274285714285714</v>
      </c>
      <c r="F104" s="1143">
        <f>1.0788/F101</f>
        <v>1.0274285714285714</v>
      </c>
      <c r="G104" s="1143">
        <f>1.0788/G101</f>
        <v>1.0274285714285714</v>
      </c>
      <c r="H104" s="1143">
        <f>1.0788/H101</f>
        <v>1.0274285714285714</v>
      </c>
      <c r="I104" s="1143">
        <f>1.0788/I101</f>
        <v>1.0274285714285714</v>
      </c>
      <c r="J104" s="1143">
        <f>1.0072/J101</f>
        <v>0.95923809523809533</v>
      </c>
      <c r="K104" s="1143">
        <f>1.0072/K101</f>
        <v>0.95923809523809533</v>
      </c>
      <c r="L104" s="1143">
        <f>1.0072/L101</f>
        <v>0.95923809523809533</v>
      </c>
      <c r="M104" s="1143">
        <f>1.0072/M101</f>
        <v>0.95923809523809533</v>
      </c>
      <c r="N104" s="1143">
        <f>1.0072/N101</f>
        <v>0.95923809523809533</v>
      </c>
    </row>
    <row r="105" spans="1:14">
      <c r="A105" s="3408"/>
      <c r="B105" s="1142">
        <v>4</v>
      </c>
      <c r="C105" s="1143">
        <f>0.9622/C101</f>
        <v>0.91638095238095241</v>
      </c>
      <c r="D105" s="1143">
        <f>0.9622/D101</f>
        <v>0.91638095238095241</v>
      </c>
      <c r="E105" s="1143">
        <f>0.8656/E101</f>
        <v>0.82438095238095233</v>
      </c>
      <c r="F105" s="1143">
        <f>0.8656/F101</f>
        <v>0.82438095238095233</v>
      </c>
      <c r="G105" s="1143">
        <f>0.8656/G101</f>
        <v>0.82438095238095233</v>
      </c>
      <c r="H105" s="1143">
        <f>0.8656/H101</f>
        <v>0.82438095238095233</v>
      </c>
      <c r="I105" s="1143">
        <f>0.8656/I101</f>
        <v>0.82438095238095233</v>
      </c>
      <c r="J105" s="1143">
        <f>0.7525/J101</f>
        <v>0.71666666666666656</v>
      </c>
      <c r="K105" s="1143">
        <f>0.7525/K101</f>
        <v>0.71666666666666656</v>
      </c>
      <c r="L105" s="1143">
        <f>0.7525/L101</f>
        <v>0.71666666666666656</v>
      </c>
      <c r="M105" s="1143">
        <f>0.7525/M101</f>
        <v>0.71666666666666656</v>
      </c>
      <c r="N105" s="1143">
        <f>0.7525/N101</f>
        <v>0.71666666666666656</v>
      </c>
    </row>
    <row r="106" spans="1:14">
      <c r="A106" s="3408"/>
      <c r="B106" s="1142">
        <v>5</v>
      </c>
      <c r="C106" s="1143">
        <f>0.8417/C101</f>
        <v>0.80161904761904756</v>
      </c>
      <c r="D106" s="1143">
        <f>0.8417/D101</f>
        <v>0.80161904761904756</v>
      </c>
      <c r="E106" s="1143">
        <f>0.7371/E101</f>
        <v>0.70199999999999996</v>
      </c>
      <c r="F106" s="1143">
        <f>0.7371/F101</f>
        <v>0.70199999999999996</v>
      </c>
      <c r="G106" s="1143">
        <f>0.7371/G101</f>
        <v>0.70199999999999996</v>
      </c>
      <c r="H106" s="1143">
        <f>0.7371/H101</f>
        <v>0.70199999999999996</v>
      </c>
      <c r="I106" s="1143">
        <f>0.7371/I101</f>
        <v>0.70199999999999996</v>
      </c>
      <c r="J106" s="1143">
        <f>0.5659/J101</f>
        <v>0.53895238095238085</v>
      </c>
      <c r="K106" s="1143">
        <f>0.5659/K101</f>
        <v>0.53895238095238085</v>
      </c>
      <c r="L106" s="1143">
        <f>0.5659/L101</f>
        <v>0.53895238095238085</v>
      </c>
      <c r="M106" s="1143">
        <f>0.5659/M101</f>
        <v>0.53895238095238085</v>
      </c>
      <c r="N106" s="1143">
        <f>0.5659/N101</f>
        <v>0.53895238095238085</v>
      </c>
    </row>
    <row r="107" spans="1:14">
      <c r="A107" s="3408"/>
      <c r="B107" s="1142">
        <v>6</v>
      </c>
      <c r="C107" s="1143">
        <f>0.7608/C101</f>
        <v>0.72457142857142853</v>
      </c>
      <c r="D107" s="1143">
        <f>0.7608/D101</f>
        <v>0.72457142857142853</v>
      </c>
      <c r="E107" s="1143">
        <f>0.6482/E101</f>
        <v>0.61733333333333329</v>
      </c>
      <c r="F107" s="1143">
        <f>0.6482/F101</f>
        <v>0.61733333333333329</v>
      </c>
      <c r="G107" s="1143">
        <f>0.6482/G101</f>
        <v>0.61733333333333329</v>
      </c>
      <c r="H107" s="1143">
        <f>0.6482/H101</f>
        <v>0.61733333333333329</v>
      </c>
      <c r="I107" s="1143">
        <f>0.6482/I101</f>
        <v>0.61733333333333329</v>
      </c>
      <c r="J107" s="1143">
        <f>0.4525/J101</f>
        <v>0.43095238095238092</v>
      </c>
      <c r="K107" s="1143">
        <f>0.4525/K101</f>
        <v>0.43095238095238092</v>
      </c>
      <c r="L107" s="1143">
        <f>0.4525/L101</f>
        <v>0.43095238095238092</v>
      </c>
      <c r="M107" s="1143">
        <f>0.4525/M101</f>
        <v>0.43095238095238092</v>
      </c>
      <c r="N107" s="1143">
        <f>0.4525/N101</f>
        <v>0.43095238095238092</v>
      </c>
    </row>
    <row r="108" spans="1:14">
      <c r="A108" s="3408"/>
      <c r="B108" s="3410"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09"/>
      <c r="B109" s="3411"/>
      <c r="C109" s="1145">
        <f>(-0.163*(C108^2)-0.59*C108+7617)*(10^(-4))/C101</f>
        <v>0.72398552380952375</v>
      </c>
      <c r="D109" s="1145">
        <f>(-0.163*(D108^2)-0.59*D108+7617)*(10^(-4))/D101</f>
        <v>0.72398552380952375</v>
      </c>
      <c r="E109" s="1145">
        <f>(-0.161*(E108^2)-7.509*E108+6533)*(10^(-4))/E101</f>
        <v>0.61548800000000004</v>
      </c>
      <c r="F109" s="1145">
        <f>(-0.161*(F108^2)-7.509*F108+6533)*(10^(-4))/F101</f>
        <v>0.61548800000000004</v>
      </c>
      <c r="G109" s="1145">
        <f>(-0.161*(G108^2)-7.509*G108+6533)*(10^(-4))/G101</f>
        <v>0.61548800000000004</v>
      </c>
      <c r="H109" s="1145">
        <f>(-0.161*(H108^2)-7.509*H108+6533)*(10^(-4))/H101</f>
        <v>0.61548800000000004</v>
      </c>
      <c r="I109" s="1145">
        <f>(-0.161*(I108^2)-7.509*I108+6533)*(10^(-4))/I101</f>
        <v>0.61548800000000004</v>
      </c>
      <c r="J109" s="1145">
        <f>(-0.214*(J108^2)-21.991*J108+4665)*(10^(-4))/J101</f>
        <v>0.42622628571428572</v>
      </c>
      <c r="K109" s="1145">
        <f>(-0.214*(K108^2)-21.991*K108+4665)*(10^(-4))/K101</f>
        <v>0.42622628571428572</v>
      </c>
      <c r="L109" s="1145">
        <f>(-0.214*(L108^2)-21.991*L108+4665)*(10^(-4))/L101</f>
        <v>0.42622628571428572</v>
      </c>
      <c r="M109" s="1145">
        <f>(-0.214*(M108^2)-21.991*M108+4665)*(10^(-4))/M101</f>
        <v>0.42622628571428572</v>
      </c>
      <c r="N109" s="1145">
        <f>(-0.214*(N108^2)-21.991*N108+4665)*(10^(-4))/N101</f>
        <v>0.42622628571428572</v>
      </c>
    </row>
    <row r="110" spans="1:14">
      <c r="A110" s="3412" t="s">
        <v>1640</v>
      </c>
      <c r="B110" s="3412"/>
      <c r="C110" s="3412"/>
      <c r="D110" s="3412"/>
      <c r="E110" s="3412"/>
      <c r="F110" s="3412"/>
      <c r="G110" s="3412"/>
      <c r="H110" s="3412"/>
      <c r="I110" s="3412"/>
      <c r="J110" s="3412"/>
      <c r="K110" s="2427"/>
      <c r="L110" s="2427"/>
      <c r="M110" s="2427"/>
      <c r="N110" s="2427"/>
    </row>
    <row r="112" spans="1:14" ht="12.75" thickBot="1"/>
    <row r="113" spans="1:13" ht="25.5" thickBot="1">
      <c r="A113" s="1015" t="s">
        <v>896</v>
      </c>
      <c r="B113" s="2430">
        <f>G3</f>
        <v>1.05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0.92359999999999998</v>
      </c>
      <c r="C115" s="1029">
        <f>B115</f>
        <v>0.92359999999999998</v>
      </c>
      <c r="D115" s="1029">
        <f>ROUND(0.8331-0.0109*B113,4)</f>
        <v>0.82169999999999999</v>
      </c>
      <c r="E115" s="1029">
        <f>D115</f>
        <v>0.82169999999999999</v>
      </c>
      <c r="F115" s="1029">
        <f>E115</f>
        <v>0.82169999999999999</v>
      </c>
      <c r="G115" s="1029">
        <f>F115</f>
        <v>0.82169999999999999</v>
      </c>
      <c r="H115" s="1029">
        <f>G115</f>
        <v>0.82169999999999999</v>
      </c>
      <c r="I115" s="1029">
        <f>ROUND(0.689-0.0155*B113,4)</f>
        <v>0.67269999999999996</v>
      </c>
      <c r="J115" s="1029">
        <f t="shared" ref="J115:M118" si="33">I115</f>
        <v>0.67269999999999996</v>
      </c>
      <c r="K115" s="1029">
        <f t="shared" si="33"/>
        <v>0.67269999999999996</v>
      </c>
      <c r="L115" s="1029">
        <f t="shared" si="33"/>
        <v>0.67269999999999996</v>
      </c>
      <c r="M115" s="1030">
        <f t="shared" si="33"/>
        <v>0.67269999999999996</v>
      </c>
    </row>
    <row r="116" spans="1:13" ht="12.75">
      <c r="A116" s="1028" t="s">
        <v>901</v>
      </c>
      <c r="B116" s="1029">
        <f>ROUND(0.949-0.012*B113,4)</f>
        <v>0.93640000000000001</v>
      </c>
      <c r="C116" s="1029">
        <f>B116</f>
        <v>0.93640000000000001</v>
      </c>
      <c r="D116" s="1029">
        <f>ROUND(0.8567-0.013*B113,4)</f>
        <v>0.84309999999999996</v>
      </c>
      <c r="E116" s="1029">
        <f t="shared" ref="E116:H117" si="34">D116</f>
        <v>0.84309999999999996</v>
      </c>
      <c r="F116" s="1029">
        <f t="shared" si="34"/>
        <v>0.84309999999999996</v>
      </c>
      <c r="G116" s="1029">
        <f t="shared" si="34"/>
        <v>0.84309999999999996</v>
      </c>
      <c r="H116" s="1029">
        <f t="shared" si="34"/>
        <v>0.84309999999999996</v>
      </c>
      <c r="I116" s="1029">
        <f>ROUND(0.7694-0.014*B113,4)</f>
        <v>0.75470000000000004</v>
      </c>
      <c r="J116" s="1029">
        <f t="shared" si="33"/>
        <v>0.75470000000000004</v>
      </c>
      <c r="K116" s="1029">
        <f t="shared" si="33"/>
        <v>0.75470000000000004</v>
      </c>
      <c r="L116" s="1029">
        <f t="shared" si="33"/>
        <v>0.75470000000000004</v>
      </c>
      <c r="M116" s="1030">
        <f t="shared" si="33"/>
        <v>0.75470000000000004</v>
      </c>
    </row>
    <row r="117" spans="1:13" ht="12.75">
      <c r="A117" s="1031" t="s">
        <v>902</v>
      </c>
      <c r="B117" s="1029">
        <f>ROUND(0.8808-0.006*B113,4)</f>
        <v>0.87450000000000006</v>
      </c>
      <c r="C117" s="1029">
        <f>B117</f>
        <v>0.87450000000000006</v>
      </c>
      <c r="D117" s="1029">
        <f>ROUND(0.8748-0.008*B113,4)</f>
        <v>0.86639999999999995</v>
      </c>
      <c r="E117" s="1029">
        <f t="shared" si="34"/>
        <v>0.86639999999999995</v>
      </c>
      <c r="F117" s="1029">
        <f t="shared" si="34"/>
        <v>0.86639999999999995</v>
      </c>
      <c r="G117" s="1029">
        <f t="shared" si="34"/>
        <v>0.86639999999999995</v>
      </c>
      <c r="H117" s="1029">
        <f t="shared" si="34"/>
        <v>0.86639999999999995</v>
      </c>
      <c r="I117" s="1029">
        <f>ROUND(0.7412-0.0095*B113,4)</f>
        <v>0.73119999999999996</v>
      </c>
      <c r="J117" s="1029">
        <f t="shared" si="33"/>
        <v>0.73119999999999996</v>
      </c>
      <c r="K117" s="1029">
        <f t="shared" si="33"/>
        <v>0.73119999999999996</v>
      </c>
      <c r="L117" s="1029">
        <f t="shared" si="33"/>
        <v>0.73119999999999996</v>
      </c>
      <c r="M117" s="1030">
        <f t="shared" si="33"/>
        <v>0.73119999999999996</v>
      </c>
    </row>
    <row r="118" spans="1:13" ht="13.5" thickBot="1">
      <c r="A118" s="1032" t="s">
        <v>903</v>
      </c>
      <c r="B118" s="1033">
        <f>ROUND(0.7275-0.01*B113,4)</f>
        <v>0.71699999999999997</v>
      </c>
      <c r="C118" s="1033">
        <f>B118</f>
        <v>0.71699999999999997</v>
      </c>
      <c r="D118" s="1033">
        <f>ROUND(0.7043-0.012*B113,4)</f>
        <v>0.69169999999999998</v>
      </c>
      <c r="E118" s="1033">
        <f>D118</f>
        <v>0.69169999999999998</v>
      </c>
      <c r="F118" s="1033">
        <f>E118</f>
        <v>0.69169999999999998</v>
      </c>
      <c r="G118" s="1033">
        <f>ROUND(0.6299-0.0122*B113,4)</f>
        <v>0.61709999999999998</v>
      </c>
      <c r="H118" s="1033">
        <f>G118</f>
        <v>0.61709999999999998</v>
      </c>
      <c r="I118" s="1033">
        <f>ROUND(0.5667-0.0136*B113,4)</f>
        <v>0.5524</v>
      </c>
      <c r="J118" s="1033">
        <f t="shared" si="33"/>
        <v>0.5524</v>
      </c>
      <c r="K118" s="1033">
        <f t="shared" si="33"/>
        <v>0.5524</v>
      </c>
      <c r="L118" s="1033">
        <f t="shared" si="33"/>
        <v>0.5524</v>
      </c>
      <c r="M118" s="1034">
        <f t="shared" si="33"/>
        <v>0.5524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18" t="s">
        <v>1008</v>
      </c>
      <c r="B18" s="1153" t="s">
        <v>1447</v>
      </c>
      <c r="C18" s="1130" t="s">
        <v>1448</v>
      </c>
      <c r="D18" s="1131"/>
      <c r="E18" s="1153">
        <v>1</v>
      </c>
      <c r="F18" s="1132" t="s">
        <v>1449</v>
      </c>
      <c r="G18" s="1133"/>
      <c r="H18" s="1104"/>
      <c r="I18" s="1104"/>
    </row>
    <row r="19" spans="1:9" s="1599" customFormat="1" ht="19.5" customHeight="1">
      <c r="A19" s="3418"/>
      <c r="B19" s="3418" t="s">
        <v>1450</v>
      </c>
      <c r="C19" s="1130" t="s">
        <v>1451</v>
      </c>
      <c r="D19" s="1131"/>
      <c r="E19" s="1153">
        <v>0.9</v>
      </c>
      <c r="F19" s="1132" t="s">
        <v>1452</v>
      </c>
      <c r="G19" s="1133"/>
      <c r="H19" s="1104"/>
      <c r="I19" s="1104"/>
    </row>
    <row r="20" spans="1:9" s="1599" customFormat="1" ht="19.5" customHeight="1">
      <c r="A20" s="3418"/>
      <c r="B20" s="3418"/>
      <c r="C20" s="1130" t="s">
        <v>1453</v>
      </c>
      <c r="D20" s="1131"/>
      <c r="E20" s="1153">
        <v>1.1000000000000001</v>
      </c>
      <c r="F20" s="1132" t="s">
        <v>1454</v>
      </c>
      <c r="G20" s="1133"/>
      <c r="H20" s="1104"/>
      <c r="I20" s="1104"/>
    </row>
    <row r="21" spans="1:9" s="1599" customFormat="1" ht="19.5" customHeight="1">
      <c r="A21" s="3418"/>
      <c r="B21" s="3418"/>
      <c r="C21" s="1130" t="s">
        <v>1455</v>
      </c>
      <c r="D21" s="1131"/>
      <c r="E21" s="1153">
        <v>0.8</v>
      </c>
      <c r="F21" s="1132" t="s">
        <v>1456</v>
      </c>
      <c r="G21" s="1133"/>
      <c r="H21" s="1104"/>
      <c r="I21" s="1104"/>
    </row>
    <row r="22" spans="1:9" s="1599" customFormat="1" ht="19.5" customHeight="1">
      <c r="A22" s="3418"/>
      <c r="B22" s="3418"/>
      <c r="C22" s="1130" t="s">
        <v>1457</v>
      </c>
      <c r="D22" s="1131"/>
      <c r="E22" s="1153">
        <v>0.5</v>
      </c>
      <c r="F22" s="1132"/>
      <c r="G22" s="1133"/>
      <c r="H22" s="1104"/>
      <c r="I22" s="1104"/>
    </row>
    <row r="23" spans="1:9" s="1599" customFormat="1" ht="19.5" customHeight="1">
      <c r="A23" s="3418" t="s">
        <v>1030</v>
      </c>
      <c r="B23" s="1153" t="s">
        <v>1447</v>
      </c>
      <c r="C23" s="1130" t="s">
        <v>1458</v>
      </c>
      <c r="D23" s="1131"/>
      <c r="E23" s="1153">
        <v>1</v>
      </c>
      <c r="F23" s="1132" t="s">
        <v>1459</v>
      </c>
      <c r="G23" s="1133"/>
      <c r="H23" s="1104"/>
      <c r="I23" s="1104"/>
    </row>
    <row r="24" spans="1:9" s="1599" customFormat="1" ht="19.5" customHeight="1">
      <c r="A24" s="3418"/>
      <c r="B24" s="3418" t="s">
        <v>1450</v>
      </c>
      <c r="C24" s="1130" t="s">
        <v>1460</v>
      </c>
      <c r="D24" s="1131"/>
      <c r="E24" s="1153">
        <v>0.5</v>
      </c>
      <c r="F24" s="1132"/>
      <c r="G24" s="1133"/>
      <c r="H24" s="1104"/>
      <c r="I24" s="1104"/>
    </row>
    <row r="25" spans="1:9" s="1599" customFormat="1" ht="19.5" customHeight="1">
      <c r="A25" s="3418"/>
      <c r="B25" s="3418"/>
      <c r="C25" s="1130" t="s">
        <v>1461</v>
      </c>
      <c r="D25" s="1131"/>
      <c r="E25" s="1153">
        <v>1.1000000000000001</v>
      </c>
      <c r="F25" s="1132"/>
      <c r="G25" s="1133"/>
      <c r="H25" s="1104"/>
      <c r="I25" s="1104"/>
    </row>
    <row r="26" spans="1:9" s="1599" customFormat="1" ht="19.5" customHeight="1">
      <c r="A26" s="3418"/>
      <c r="B26" s="3418"/>
      <c r="C26" s="1130" t="s">
        <v>1462</v>
      </c>
      <c r="D26" s="1131"/>
      <c r="E26" s="1153">
        <v>1.1000000000000001</v>
      </c>
      <c r="F26" s="1132"/>
      <c r="G26" s="1133"/>
      <c r="H26" s="1104"/>
      <c r="I26" s="1104"/>
    </row>
    <row r="27" spans="1:9" s="1599" customFormat="1" ht="19.5" customHeight="1">
      <c r="A27" s="3418"/>
      <c r="B27" s="3418"/>
      <c r="C27" s="1130" t="s">
        <v>1463</v>
      </c>
      <c r="D27" s="1131"/>
      <c r="E27" s="1153">
        <v>0.9</v>
      </c>
      <c r="F27" s="1132" t="s">
        <v>1464</v>
      </c>
      <c r="G27" s="1133"/>
      <c r="H27" s="1104"/>
      <c r="I27" s="1104"/>
    </row>
    <row r="28" spans="1:9" s="1599" customFormat="1" ht="19.5" customHeight="1">
      <c r="A28" s="3418"/>
      <c r="B28" s="3418"/>
      <c r="C28" s="1130" t="s">
        <v>1465</v>
      </c>
      <c r="D28" s="1131"/>
      <c r="E28" s="1153">
        <v>0.9</v>
      </c>
      <c r="F28" s="1132" t="s">
        <v>1466</v>
      </c>
      <c r="G28" s="1133"/>
      <c r="H28" s="1104"/>
      <c r="I28" s="1104"/>
    </row>
    <row r="29" spans="1:9" s="1599" customFormat="1" ht="19.5" customHeight="1">
      <c r="A29" s="3418"/>
      <c r="B29" s="3418"/>
      <c r="C29" s="1130" t="s">
        <v>1467</v>
      </c>
      <c r="D29" s="1131"/>
      <c r="E29" s="1153">
        <v>0.9</v>
      </c>
      <c r="F29" s="1132" t="s">
        <v>1468</v>
      </c>
      <c r="G29" s="1133"/>
      <c r="H29" s="1104"/>
      <c r="I29" s="1104"/>
    </row>
    <row r="30" spans="1:9" s="1599" customFormat="1" ht="19.5" customHeight="1">
      <c r="A30" s="3418"/>
      <c r="B30" s="3418"/>
      <c r="C30" s="1130" t="s">
        <v>1469</v>
      </c>
      <c r="D30" s="1131"/>
      <c r="E30" s="1153">
        <v>0.9</v>
      </c>
      <c r="F30" s="1132" t="s">
        <v>1470</v>
      </c>
      <c r="G30" s="1133"/>
      <c r="H30" s="1104"/>
      <c r="I30" s="1104"/>
    </row>
    <row r="31" spans="1:9" s="1599" customFormat="1" ht="19.5" customHeight="1">
      <c r="A31" s="3418"/>
      <c r="B31" s="3418"/>
      <c r="C31" s="1130" t="s">
        <v>1471</v>
      </c>
      <c r="D31" s="1131"/>
      <c r="E31" s="1153">
        <v>0.8</v>
      </c>
      <c r="F31" s="1132" t="s">
        <v>1472</v>
      </c>
      <c r="G31" s="1133"/>
      <c r="H31" s="1104"/>
      <c r="I31" s="1104"/>
    </row>
    <row r="32" spans="1:9" s="1599" customFormat="1" ht="19.5" customHeight="1">
      <c r="A32" s="3418"/>
      <c r="B32" s="3418"/>
      <c r="C32" s="1130" t="s">
        <v>1473</v>
      </c>
      <c r="D32" s="1131"/>
      <c r="E32" s="1153">
        <v>0.8</v>
      </c>
      <c r="F32" s="1132" t="s">
        <v>1474</v>
      </c>
      <c r="G32" s="1133"/>
      <c r="H32" s="1104"/>
      <c r="I32" s="1104"/>
    </row>
    <row r="33" spans="1:9" s="1599" customFormat="1" ht="19.5" customHeight="1">
      <c r="A33" s="3418" t="s">
        <v>1475</v>
      </c>
      <c r="B33" s="1153" t="s">
        <v>1447</v>
      </c>
      <c r="C33" s="1130" t="s">
        <v>1476</v>
      </c>
      <c r="D33" s="1131"/>
      <c r="E33" s="1153">
        <v>1</v>
      </c>
      <c r="F33" s="1132" t="s">
        <v>1477</v>
      </c>
      <c r="G33" s="1133"/>
      <c r="H33" s="1104"/>
      <c r="I33" s="1104"/>
    </row>
    <row r="34" spans="1:9" s="1599" customFormat="1" ht="19.5" customHeight="1">
      <c r="A34" s="3418"/>
      <c r="B34" s="1153" t="s">
        <v>1450</v>
      </c>
      <c r="C34" s="1130" t="s">
        <v>1478</v>
      </c>
      <c r="D34" s="1131"/>
      <c r="E34" s="1153">
        <v>1.5</v>
      </c>
      <c r="F34" s="1132" t="s">
        <v>1479</v>
      </c>
      <c r="G34" s="1133"/>
      <c r="H34" s="1104"/>
      <c r="I34" s="1104"/>
    </row>
    <row r="35" spans="1:9" s="1599" customFormat="1" ht="19.5" customHeight="1">
      <c r="A35" s="3418" t="s">
        <v>1433</v>
      </c>
      <c r="B35" s="1153" t="s">
        <v>1447</v>
      </c>
      <c r="C35" s="1130" t="s">
        <v>1480</v>
      </c>
      <c r="D35" s="1131"/>
      <c r="E35" s="1153">
        <v>1</v>
      </c>
      <c r="F35" s="1132" t="s">
        <v>1481</v>
      </c>
      <c r="G35" s="1133"/>
      <c r="H35" s="1104"/>
      <c r="I35" s="1104"/>
    </row>
    <row r="36" spans="1:9" s="1599" customFormat="1" ht="19.5" customHeight="1">
      <c r="A36" s="3418"/>
      <c r="B36" s="3418" t="s">
        <v>1450</v>
      </c>
      <c r="C36" s="1130" t="s">
        <v>1482</v>
      </c>
      <c r="D36" s="1131"/>
      <c r="E36" s="1153">
        <v>1</v>
      </c>
      <c r="F36" s="1132" t="s">
        <v>1483</v>
      </c>
      <c r="G36" s="1133"/>
      <c r="H36" s="1104"/>
      <c r="I36" s="1104"/>
    </row>
    <row r="37" spans="1:9" s="1599" customFormat="1" ht="19.5" customHeight="1">
      <c r="A37" s="3418"/>
      <c r="B37" s="3418"/>
      <c r="C37" s="1130" t="s">
        <v>1484</v>
      </c>
      <c r="D37" s="1131"/>
      <c r="E37" s="1153">
        <v>1.5</v>
      </c>
      <c r="F37" s="1132" t="s">
        <v>1485</v>
      </c>
      <c r="G37" s="1133"/>
      <c r="H37" s="1104"/>
      <c r="I37" s="1104"/>
    </row>
    <row r="38" spans="1:9" s="1599" customFormat="1" ht="19.5" customHeight="1">
      <c r="A38" s="3418"/>
      <c r="B38" s="3418"/>
      <c r="C38" s="1130" t="s">
        <v>1486</v>
      </c>
      <c r="D38" s="1131"/>
      <c r="E38" s="1153">
        <v>1</v>
      </c>
      <c r="F38" s="1132" t="s">
        <v>1487</v>
      </c>
      <c r="G38" s="1133"/>
      <c r="H38" s="1104"/>
      <c r="I38" s="1104"/>
    </row>
    <row r="39" spans="1:9" s="1599" customFormat="1" ht="19.5" customHeight="1">
      <c r="A39" s="3418"/>
      <c r="B39" s="3418"/>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18" t="s">
        <v>1502</v>
      </c>
      <c r="C61" s="1067" t="s">
        <v>1503</v>
      </c>
      <c r="D61" s="1067" t="s">
        <v>1504</v>
      </c>
      <c r="E61" s="1138">
        <v>0.5</v>
      </c>
      <c r="F61" s="1153">
        <v>80</v>
      </c>
      <c r="H61" s="1104">
        <f>SUMIF(C59:C119,基准地价!C8,E59:E119)</f>
        <v>0</v>
      </c>
    </row>
    <row r="62" spans="1:8" s="1104" customFormat="1" ht="24">
      <c r="A62" s="1153">
        <v>2</v>
      </c>
      <c r="B62" s="3418"/>
      <c r="C62" s="1067" t="s">
        <v>1505</v>
      </c>
      <c r="D62" s="1067" t="s">
        <v>1506</v>
      </c>
      <c r="E62" s="1138">
        <v>0.5</v>
      </c>
      <c r="F62" s="1153">
        <v>80</v>
      </c>
    </row>
    <row r="63" spans="1:8" s="1104" customFormat="1" ht="36">
      <c r="A63" s="1153">
        <v>3</v>
      </c>
      <c r="B63" s="3418"/>
      <c r="C63" s="1067" t="s">
        <v>1507</v>
      </c>
      <c r="D63" s="1067" t="s">
        <v>1508</v>
      </c>
      <c r="E63" s="1138">
        <v>0.5</v>
      </c>
      <c r="F63" s="1153">
        <v>80</v>
      </c>
    </row>
    <row r="64" spans="1:8" s="1104" customFormat="1" ht="36">
      <c r="A64" s="1153">
        <v>4</v>
      </c>
      <c r="B64" s="3418"/>
      <c r="C64" s="1067" t="s">
        <v>1509</v>
      </c>
      <c r="D64" s="1067" t="s">
        <v>1510</v>
      </c>
      <c r="E64" s="1138">
        <v>0.4</v>
      </c>
      <c r="F64" s="1153">
        <v>60</v>
      </c>
    </row>
    <row r="65" spans="1:6" s="1104" customFormat="1" ht="36">
      <c r="A65" s="1153">
        <v>5</v>
      </c>
      <c r="B65" s="3418"/>
      <c r="C65" s="1067" t="s">
        <v>1511</v>
      </c>
      <c r="D65" s="1067" t="s">
        <v>1512</v>
      </c>
      <c r="E65" s="1138">
        <v>0.2</v>
      </c>
      <c r="F65" s="1153">
        <v>30</v>
      </c>
    </row>
    <row r="66" spans="1:6" s="1104" customFormat="1" ht="36">
      <c r="A66" s="1153">
        <v>6</v>
      </c>
      <c r="B66" s="3418"/>
      <c r="C66" s="1067" t="s">
        <v>1513</v>
      </c>
      <c r="D66" s="1067" t="s">
        <v>1514</v>
      </c>
      <c r="E66" s="1138">
        <v>0.3</v>
      </c>
      <c r="F66" s="1153">
        <v>50</v>
      </c>
    </row>
    <row r="67" spans="1:6" s="1104" customFormat="1" ht="36">
      <c r="A67" s="1153">
        <v>7</v>
      </c>
      <c r="B67" s="3418"/>
      <c r="C67" s="1067" t="s">
        <v>1515</v>
      </c>
      <c r="D67" s="1067" t="s">
        <v>1516</v>
      </c>
      <c r="E67" s="1138">
        <v>0.2</v>
      </c>
      <c r="F67" s="1153">
        <v>30</v>
      </c>
    </row>
    <row r="68" spans="1:6" s="1104" customFormat="1" ht="36">
      <c r="A68" s="1153">
        <v>8</v>
      </c>
      <c r="B68" s="3418"/>
      <c r="C68" s="1067" t="s">
        <v>1517</v>
      </c>
      <c r="D68" s="1067" t="s">
        <v>1518</v>
      </c>
      <c r="E68" s="1138">
        <v>0.2</v>
      </c>
      <c r="F68" s="1153">
        <v>30</v>
      </c>
    </row>
    <row r="69" spans="1:6" s="1104" customFormat="1" ht="36">
      <c r="A69" s="1153">
        <v>9</v>
      </c>
      <c r="B69" s="3418"/>
      <c r="C69" s="1067" t="s">
        <v>1519</v>
      </c>
      <c r="D69" s="1067" t="s">
        <v>1520</v>
      </c>
      <c r="E69" s="1138">
        <v>0.2</v>
      </c>
      <c r="F69" s="1153">
        <v>30</v>
      </c>
    </row>
    <row r="70" spans="1:6" s="1104" customFormat="1" ht="48">
      <c r="A70" s="1153">
        <v>10</v>
      </c>
      <c r="B70" s="3418"/>
      <c r="C70" s="1067" t="s">
        <v>1521</v>
      </c>
      <c r="D70" s="1067" t="s">
        <v>1522</v>
      </c>
      <c r="E70" s="1138">
        <v>0.2</v>
      </c>
      <c r="F70" s="1153">
        <v>30</v>
      </c>
    </row>
    <row r="71" spans="1:6" s="1104" customFormat="1" ht="48">
      <c r="A71" s="1153">
        <v>11</v>
      </c>
      <c r="B71" s="3418"/>
      <c r="C71" s="1067" t="s">
        <v>1523</v>
      </c>
      <c r="D71" s="1067" t="s">
        <v>1524</v>
      </c>
      <c r="E71" s="1138">
        <v>0.2</v>
      </c>
      <c r="F71" s="1153">
        <v>30</v>
      </c>
    </row>
    <row r="72" spans="1:6" s="1104" customFormat="1" ht="36">
      <c r="A72" s="1153">
        <v>12</v>
      </c>
      <c r="B72" s="3418"/>
      <c r="C72" s="1067" t="s">
        <v>1525</v>
      </c>
      <c r="D72" s="1067" t="s">
        <v>1526</v>
      </c>
      <c r="E72" s="1138">
        <v>0.5</v>
      </c>
      <c r="F72" s="1153">
        <v>80</v>
      </c>
    </row>
    <row r="73" spans="1:6" s="1104" customFormat="1" ht="24">
      <c r="A73" s="1153">
        <v>13</v>
      </c>
      <c r="B73" s="3418"/>
      <c r="C73" s="1067" t="s">
        <v>1527</v>
      </c>
      <c r="D73" s="1067" t="s">
        <v>1528</v>
      </c>
      <c r="E73" s="1138">
        <v>0.4</v>
      </c>
      <c r="F73" s="1153">
        <v>60</v>
      </c>
    </row>
    <row r="74" spans="1:6" s="1104" customFormat="1" ht="24">
      <c r="A74" s="1153">
        <v>14</v>
      </c>
      <c r="B74" s="3418"/>
      <c r="C74" s="1067" t="s">
        <v>1529</v>
      </c>
      <c r="D74" s="1067" t="s">
        <v>1530</v>
      </c>
      <c r="E74" s="1138">
        <v>0.2</v>
      </c>
      <c r="F74" s="1153">
        <v>30</v>
      </c>
    </row>
    <row r="75" spans="1:6" s="1104" customFormat="1" ht="24">
      <c r="A75" s="1153">
        <v>15</v>
      </c>
      <c r="B75" s="3418"/>
      <c r="C75" s="1067" t="s">
        <v>1531</v>
      </c>
      <c r="D75" s="1067" t="s">
        <v>1532</v>
      </c>
      <c r="E75" s="1138">
        <v>0.2</v>
      </c>
      <c r="F75" s="1153">
        <v>30</v>
      </c>
    </row>
    <row r="76" spans="1:6" s="1104" customFormat="1" ht="24">
      <c r="A76" s="1153">
        <v>16</v>
      </c>
      <c r="B76" s="3418" t="s">
        <v>1533</v>
      </c>
      <c r="C76" s="1067" t="s">
        <v>1534</v>
      </c>
      <c r="D76" s="1067" t="s">
        <v>1535</v>
      </c>
      <c r="E76" s="1138">
        <v>0.5</v>
      </c>
      <c r="F76" s="1153">
        <v>80</v>
      </c>
    </row>
    <row r="77" spans="1:6" s="1104" customFormat="1" ht="24">
      <c r="A77" s="1153">
        <v>17</v>
      </c>
      <c r="B77" s="3418"/>
      <c r="C77" s="1067" t="s">
        <v>1536</v>
      </c>
      <c r="D77" s="1067" t="s">
        <v>1537</v>
      </c>
      <c r="E77" s="1138">
        <v>0.5</v>
      </c>
      <c r="F77" s="1153">
        <v>80</v>
      </c>
    </row>
    <row r="78" spans="1:6" s="1104" customFormat="1" ht="24">
      <c r="A78" s="1153">
        <v>18</v>
      </c>
      <c r="B78" s="3418"/>
      <c r="C78" s="1067" t="s">
        <v>1538</v>
      </c>
      <c r="D78" s="1067" t="s">
        <v>1539</v>
      </c>
      <c r="E78" s="1138">
        <v>0.2</v>
      </c>
      <c r="F78" s="1153">
        <v>30</v>
      </c>
    </row>
    <row r="79" spans="1:6" s="1104" customFormat="1" ht="24">
      <c r="A79" s="1153">
        <v>19</v>
      </c>
      <c r="B79" s="3418"/>
      <c r="C79" s="1067" t="s">
        <v>1540</v>
      </c>
      <c r="D79" s="1067" t="s">
        <v>1541</v>
      </c>
      <c r="E79" s="1138">
        <v>0.5</v>
      </c>
      <c r="F79" s="1153">
        <v>80</v>
      </c>
    </row>
    <row r="80" spans="1:6" s="1104" customFormat="1" ht="36">
      <c r="A80" s="1153">
        <v>20</v>
      </c>
      <c r="B80" s="3418"/>
      <c r="C80" s="1067" t="s">
        <v>1542</v>
      </c>
      <c r="D80" s="1067" t="s">
        <v>1543</v>
      </c>
      <c r="E80" s="1138">
        <v>0.2</v>
      </c>
      <c r="F80" s="1153">
        <v>30</v>
      </c>
    </row>
    <row r="81" spans="1:6" s="1104" customFormat="1" ht="36">
      <c r="A81" s="1153">
        <v>21</v>
      </c>
      <c r="B81" s="3418"/>
      <c r="C81" s="1067" t="s">
        <v>1544</v>
      </c>
      <c r="D81" s="1067" t="s">
        <v>1545</v>
      </c>
      <c r="E81" s="1138">
        <v>0.2</v>
      </c>
      <c r="F81" s="1153">
        <v>30</v>
      </c>
    </row>
    <row r="82" spans="1:6" s="1104" customFormat="1" ht="48">
      <c r="A82" s="1153">
        <v>22</v>
      </c>
      <c r="B82" s="3418"/>
      <c r="C82" s="1067" t="s">
        <v>1546</v>
      </c>
      <c r="D82" s="1067" t="s">
        <v>1547</v>
      </c>
      <c r="E82" s="1138">
        <v>0.2</v>
      </c>
      <c r="F82" s="1153">
        <v>30</v>
      </c>
    </row>
    <row r="83" spans="1:6" s="1104" customFormat="1" ht="48">
      <c r="A83" s="1153">
        <v>23</v>
      </c>
      <c r="B83" s="3418"/>
      <c r="C83" s="1067" t="s">
        <v>1548</v>
      </c>
      <c r="D83" s="1067" t="s">
        <v>1549</v>
      </c>
      <c r="E83" s="1138">
        <v>0.2</v>
      </c>
      <c r="F83" s="1153">
        <v>30</v>
      </c>
    </row>
    <row r="84" spans="1:6" s="1104" customFormat="1" ht="36">
      <c r="A84" s="1153">
        <v>24</v>
      </c>
      <c r="B84" s="3418"/>
      <c r="C84" s="1067" t="s">
        <v>1550</v>
      </c>
      <c r="D84" s="1067" t="s">
        <v>1551</v>
      </c>
      <c r="E84" s="1138">
        <v>0.2</v>
      </c>
      <c r="F84" s="1153">
        <v>30</v>
      </c>
    </row>
    <row r="85" spans="1:6" s="1104" customFormat="1" ht="36">
      <c r="A85" s="1153">
        <v>25</v>
      </c>
      <c r="B85" s="3418"/>
      <c r="C85" s="1067" t="s">
        <v>1552</v>
      </c>
      <c r="D85" s="1067" t="s">
        <v>1553</v>
      </c>
      <c r="E85" s="1138">
        <v>0.5</v>
      </c>
      <c r="F85" s="1153">
        <v>80</v>
      </c>
    </row>
    <row r="86" spans="1:6" s="1104" customFormat="1" ht="36">
      <c r="A86" s="1153">
        <v>26</v>
      </c>
      <c r="B86" s="3418"/>
      <c r="C86" s="1067" t="s">
        <v>1554</v>
      </c>
      <c r="D86" s="1067" t="s">
        <v>1555</v>
      </c>
      <c r="E86" s="1138">
        <v>0.2</v>
      </c>
      <c r="F86" s="1153">
        <v>30</v>
      </c>
    </row>
    <row r="87" spans="1:6" s="1104" customFormat="1" ht="36">
      <c r="A87" s="1153">
        <v>27</v>
      </c>
      <c r="B87" s="3418"/>
      <c r="C87" s="1067" t="s">
        <v>1556</v>
      </c>
      <c r="D87" s="1067" t="s">
        <v>1557</v>
      </c>
      <c r="E87" s="1138">
        <v>0.2</v>
      </c>
      <c r="F87" s="1153">
        <v>30</v>
      </c>
    </row>
    <row r="88" spans="1:6" s="1104" customFormat="1" ht="36">
      <c r="A88" s="1153">
        <v>28</v>
      </c>
      <c r="B88" s="3418"/>
      <c r="C88" s="1067" t="s">
        <v>1558</v>
      </c>
      <c r="D88" s="1067" t="s">
        <v>1559</v>
      </c>
      <c r="E88" s="1138">
        <v>0.2</v>
      </c>
      <c r="F88" s="1153">
        <v>30</v>
      </c>
    </row>
    <row r="89" spans="1:6" s="1104" customFormat="1" ht="24">
      <c r="A89" s="1153">
        <v>29</v>
      </c>
      <c r="B89" s="3418"/>
      <c r="C89" s="1067" t="s">
        <v>1560</v>
      </c>
      <c r="D89" s="1067" t="s">
        <v>1561</v>
      </c>
      <c r="E89" s="1138">
        <v>0.2</v>
      </c>
      <c r="F89" s="1153">
        <v>30</v>
      </c>
    </row>
    <row r="90" spans="1:6" s="1104" customFormat="1" ht="24">
      <c r="A90" s="1153">
        <v>30</v>
      </c>
      <c r="B90" s="3418"/>
      <c r="C90" s="1067" t="s">
        <v>1562</v>
      </c>
      <c r="D90" s="1067" t="s">
        <v>1563</v>
      </c>
      <c r="E90" s="1138">
        <v>0.2</v>
      </c>
      <c r="F90" s="1153">
        <v>30</v>
      </c>
    </row>
    <row r="91" spans="1:6" s="1104" customFormat="1" ht="36">
      <c r="A91" s="1153">
        <v>31</v>
      </c>
      <c r="B91" s="3418"/>
      <c r="C91" s="1067" t="s">
        <v>1564</v>
      </c>
      <c r="D91" s="1067" t="s">
        <v>1565</v>
      </c>
      <c r="E91" s="1138">
        <v>0.2</v>
      </c>
      <c r="F91" s="1153">
        <v>30</v>
      </c>
    </row>
    <row r="92" spans="1:6" s="1104" customFormat="1" ht="24">
      <c r="A92" s="1153">
        <v>32</v>
      </c>
      <c r="B92" s="3418" t="s">
        <v>1566</v>
      </c>
      <c r="C92" s="1153" t="s">
        <v>1567</v>
      </c>
      <c r="D92" s="1067" t="s">
        <v>1568</v>
      </c>
      <c r="E92" s="1138">
        <v>0.2</v>
      </c>
      <c r="F92" s="1153">
        <v>30</v>
      </c>
    </row>
    <row r="93" spans="1:6" s="1104" customFormat="1" ht="36">
      <c r="A93" s="1153">
        <v>33</v>
      </c>
      <c r="B93" s="3418"/>
      <c r="C93" s="1153" t="s">
        <v>1569</v>
      </c>
      <c r="D93" s="1067" t="s">
        <v>1570</v>
      </c>
      <c r="E93" s="1138">
        <v>0.2</v>
      </c>
      <c r="F93" s="1153">
        <v>30</v>
      </c>
    </row>
    <row r="94" spans="1:6" s="1104" customFormat="1" ht="48">
      <c r="A94" s="1153">
        <v>34</v>
      </c>
      <c r="B94" s="3418"/>
      <c r="C94" s="1153" t="s">
        <v>1571</v>
      </c>
      <c r="D94" s="1067" t="s">
        <v>1572</v>
      </c>
      <c r="E94" s="1138">
        <v>0.2</v>
      </c>
      <c r="F94" s="1153">
        <v>30</v>
      </c>
    </row>
    <row r="95" spans="1:6" s="1104" customFormat="1" ht="36">
      <c r="A95" s="1153">
        <v>35</v>
      </c>
      <c r="B95" s="3418"/>
      <c r="C95" s="1153" t="s">
        <v>1573</v>
      </c>
      <c r="D95" s="1067" t="s">
        <v>1574</v>
      </c>
      <c r="E95" s="1138">
        <v>0.2</v>
      </c>
      <c r="F95" s="1153">
        <v>30</v>
      </c>
    </row>
    <row r="96" spans="1:6" s="1104" customFormat="1" ht="48">
      <c r="A96" s="1153">
        <v>36</v>
      </c>
      <c r="B96" s="3418"/>
      <c r="C96" s="1067" t="s">
        <v>1575</v>
      </c>
      <c r="D96" s="1067" t="s">
        <v>1576</v>
      </c>
      <c r="E96" s="1138">
        <v>0.2</v>
      </c>
      <c r="F96" s="1153">
        <v>30</v>
      </c>
    </row>
    <row r="97" spans="1:6" s="1104" customFormat="1" ht="36">
      <c r="A97" s="1153">
        <v>37</v>
      </c>
      <c r="B97" s="3418"/>
      <c r="C97" s="1153" t="s">
        <v>1577</v>
      </c>
      <c r="D97" s="1067" t="s">
        <v>1578</v>
      </c>
      <c r="E97" s="1138">
        <v>0.2</v>
      </c>
      <c r="F97" s="1153">
        <v>30</v>
      </c>
    </row>
    <row r="98" spans="1:6" s="1104" customFormat="1" ht="36">
      <c r="A98" s="1153">
        <v>38</v>
      </c>
      <c r="B98" s="3418"/>
      <c r="C98" s="1153" t="s">
        <v>1579</v>
      </c>
      <c r="D98" s="1067" t="s">
        <v>1580</v>
      </c>
      <c r="E98" s="1138">
        <v>0.2</v>
      </c>
      <c r="F98" s="1153">
        <v>30</v>
      </c>
    </row>
    <row r="99" spans="1:6" s="1104" customFormat="1" ht="36">
      <c r="A99" s="1153">
        <v>39</v>
      </c>
      <c r="B99" s="3418" t="s">
        <v>1581</v>
      </c>
      <c r="C99" s="1153" t="s">
        <v>1582</v>
      </c>
      <c r="D99" s="1067" t="s">
        <v>1583</v>
      </c>
      <c r="E99" s="1138">
        <v>0.3</v>
      </c>
      <c r="F99" s="1153">
        <v>50</v>
      </c>
    </row>
    <row r="100" spans="1:6" s="1104" customFormat="1" ht="24">
      <c r="A100" s="1153">
        <v>40</v>
      </c>
      <c r="B100" s="3418"/>
      <c r="C100" s="1153" t="s">
        <v>1584</v>
      </c>
      <c r="D100" s="1067" t="s">
        <v>1585</v>
      </c>
      <c r="E100" s="1138">
        <v>0.2</v>
      </c>
      <c r="F100" s="1153">
        <v>30</v>
      </c>
    </row>
    <row r="101" spans="1:6" s="1104" customFormat="1" ht="36">
      <c r="A101" s="1153">
        <v>41</v>
      </c>
      <c r="B101" s="3418"/>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18" t="s">
        <v>1596</v>
      </c>
      <c r="C105" s="1153" t="s">
        <v>1597</v>
      </c>
      <c r="D105" s="1067" t="s">
        <v>1598</v>
      </c>
      <c r="E105" s="1138">
        <v>0.2</v>
      </c>
      <c r="F105" s="1153">
        <v>30</v>
      </c>
    </row>
    <row r="106" spans="1:6" s="1104" customFormat="1" ht="36">
      <c r="A106" s="1153">
        <v>46</v>
      </c>
      <c r="B106" s="3418"/>
      <c r="C106" s="1153" t="s">
        <v>1599</v>
      </c>
      <c r="D106" s="1067" t="s">
        <v>1600</v>
      </c>
      <c r="E106" s="1138">
        <v>0.2</v>
      </c>
      <c r="F106" s="1153">
        <v>30</v>
      </c>
    </row>
    <row r="107" spans="1:6" s="1104" customFormat="1" ht="36">
      <c r="A107" s="1153">
        <v>47</v>
      </c>
      <c r="B107" s="3418" t="s">
        <v>1601</v>
      </c>
      <c r="C107" s="1153" t="s">
        <v>1602</v>
      </c>
      <c r="D107" s="1067" t="s">
        <v>1603</v>
      </c>
      <c r="E107" s="1138">
        <v>0.3</v>
      </c>
      <c r="F107" s="1153">
        <v>50</v>
      </c>
    </row>
    <row r="108" spans="1:6" s="1104" customFormat="1" ht="36">
      <c r="A108" s="1153">
        <v>48</v>
      </c>
      <c r="B108" s="3418"/>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18" t="s">
        <v>1612</v>
      </c>
      <c r="C111" s="1153" t="s">
        <v>1613</v>
      </c>
      <c r="D111" s="1067" t="s">
        <v>1614</v>
      </c>
      <c r="E111" s="1138">
        <v>0.2</v>
      </c>
      <c r="F111" s="1153">
        <v>30</v>
      </c>
    </row>
    <row r="112" spans="1:6" s="1104" customFormat="1" ht="24">
      <c r="A112" s="1153">
        <v>52</v>
      </c>
      <c r="B112" s="3418"/>
      <c r="C112" s="1153" t="s">
        <v>1615</v>
      </c>
      <c r="D112" s="1067" t="s">
        <v>1616</v>
      </c>
      <c r="E112" s="1138">
        <v>0.2</v>
      </c>
      <c r="F112" s="1153">
        <v>30</v>
      </c>
    </row>
    <row r="113" spans="1:14" s="1104" customFormat="1" ht="24">
      <c r="A113" s="1153">
        <v>53</v>
      </c>
      <c r="B113" s="3418"/>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18" t="s">
        <v>1625</v>
      </c>
      <c r="C116" s="1153" t="s">
        <v>1626</v>
      </c>
      <c r="D116" s="1067" t="s">
        <v>1627</v>
      </c>
      <c r="E116" s="1138">
        <v>0.2</v>
      </c>
      <c r="F116" s="1153">
        <v>30</v>
      </c>
    </row>
    <row r="117" spans="1:14" ht="36">
      <c r="A117" s="1153">
        <v>57</v>
      </c>
      <c r="B117" s="3418"/>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17" t="s">
        <v>1634</v>
      </c>
      <c r="B121" s="3417"/>
      <c r="C121" s="3417"/>
      <c r="D121" s="3417"/>
      <c r="E121" s="3417"/>
      <c r="F121" s="3417"/>
      <c r="G121" s="3417"/>
      <c r="H121" s="3417"/>
      <c r="I121" s="3417"/>
      <c r="J121" s="341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2" t="s">
        <v>1040</v>
      </c>
      <c r="B1" s="3422"/>
      <c r="C1" s="3422"/>
      <c r="D1" s="3422"/>
      <c r="E1" s="3422"/>
      <c r="F1" s="3422"/>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3" t="s">
        <v>1053</v>
      </c>
      <c r="B2" s="3423"/>
      <c r="C2" s="3423"/>
      <c r="D2" s="3423"/>
      <c r="E2" s="3423"/>
      <c r="F2" s="3423"/>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24"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25"/>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6" t="s">
        <v>2080</v>
      </c>
      <c r="B1" s="3426"/>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2953</v>
      </c>
      <c r="B1" s="3079"/>
      <c r="C1" s="3079"/>
      <c r="D1" s="3079"/>
      <c r="E1" s="3079"/>
      <c r="F1" s="3079"/>
    </row>
    <row r="2" spans="1:6" ht="14.25">
      <c r="A2" s="3080" t="s">
        <v>2948</v>
      </c>
      <c r="B2" s="3081" t="e">
        <f ca="1">SUMIF(B7:B14,"&lt;&gt;#ref!",B7:B14)</f>
        <v>#DIV/0!</v>
      </c>
      <c r="C2" s="3080" t="s">
        <v>2949</v>
      </c>
      <c r="D2" s="3079"/>
      <c r="E2" s="3079"/>
      <c r="F2" s="3079"/>
    </row>
    <row r="3" spans="1:6" ht="14.25">
      <c r="A3" s="3080" t="s">
        <v>2981</v>
      </c>
      <c r="B3" s="3081" t="e">
        <f ca="1">ROUND(B2*10000/E3,0)</f>
        <v>#DIV/0!</v>
      </c>
      <c r="C3" s="3080" t="s">
        <v>2079</v>
      </c>
      <c r="D3" s="3080" t="s">
        <v>2950</v>
      </c>
      <c r="E3" s="3081">
        <f ca="1">SUMIF(E7:E14,"&lt;&gt;#ref!",E7:E14)</f>
        <v>0</v>
      </c>
      <c r="F3" s="3079"/>
    </row>
    <row r="4" spans="1:6" ht="14.25">
      <c r="A4" s="3080" t="s">
        <v>2957</v>
      </c>
      <c r="B4" s="3081" t="e">
        <f ca="1">ROUND(B2*10000/E4,0)</f>
        <v>#DIV/0!</v>
      </c>
      <c r="C4" s="3080" t="s">
        <v>2079</v>
      </c>
      <c r="D4" s="3080" t="s">
        <v>2958</v>
      </c>
      <c r="E4" s="3081">
        <f ca="1">SUMIF(F7:F14,"&lt;&gt;#ref!",F7:F14)</f>
        <v>0</v>
      </c>
      <c r="F4" s="3079"/>
    </row>
    <row r="5" spans="1:6" ht="14.25">
      <c r="A5" s="3082"/>
      <c r="B5" s="1881"/>
      <c r="C5" s="1881"/>
      <c r="D5" s="1881"/>
      <c r="E5" s="1881"/>
      <c r="F5" s="3079"/>
    </row>
    <row r="6" spans="1:6" ht="28.5">
      <c r="A6" s="3083" t="s">
        <v>2954</v>
      </c>
      <c r="B6" s="3080" t="s">
        <v>2951</v>
      </c>
      <c r="C6" s="3081"/>
      <c r="D6" s="1881"/>
      <c r="E6" s="3080" t="s">
        <v>2952</v>
      </c>
      <c r="F6" s="3080" t="s">
        <v>2956</v>
      </c>
    </row>
    <row r="7" spans="1:6" ht="14.25">
      <c r="A7" s="259" t="s">
        <v>2955</v>
      </c>
      <c r="B7" s="3084" t="e">
        <f ca="1">SUMIF(INDIRECT("'"&amp;A7&amp;"'"&amp;"!A:A"),"总价",INDIRECT("'"&amp;A7&amp;"'"&amp;"!B:B"))</f>
        <v>#DIV/0!</v>
      </c>
      <c r="C7" s="3080" t="s">
        <v>2949</v>
      </c>
      <c r="D7" s="1881"/>
      <c r="E7" s="3085">
        <f ca="1">SUMIF(INDIRECT("'"&amp;A7&amp;"'"&amp;"!C:C"),"建筑面积",INDIRECT("'"&amp;A7&amp;"'"&amp;"!D:D"))</f>
        <v>0</v>
      </c>
      <c r="F7" s="3085">
        <f ca="1">SUMIF(INDIRECT("'"&amp;A7&amp;"'"&amp;"!E:E"),"土地面积",INDIRECT("'"&amp;A7&amp;"'"&amp;"!F:F"))</f>
        <v>0</v>
      </c>
    </row>
    <row r="8" spans="1:6" ht="14.25">
      <c r="A8" s="259"/>
      <c r="B8" s="3084" t="e">
        <f t="shared" ref="B8:B14" ca="1" si="0">SUMIF(INDIRECT("'"&amp;A8&amp;"'"&amp;"!A:A"),"总价",INDIRECT("'"&amp;A8&amp;"'"&amp;"!B:B"))</f>
        <v>#REF!</v>
      </c>
      <c r="C8" s="3080" t="s">
        <v>2949</v>
      </c>
      <c r="D8" s="1881"/>
      <c r="E8" s="3085" t="e">
        <f t="shared" ref="E8:E14" ca="1" si="1">SUMIF(INDIRECT("'"&amp;A8&amp;"'"&amp;"!C:C"),"建筑面积",INDIRECT("'"&amp;A8&amp;"'"&amp;"!D:D"))</f>
        <v>#REF!</v>
      </c>
      <c r="F8" s="3085" t="e">
        <f t="shared" ref="F8:F14" ca="1" si="2">SUMIF(INDIRECT("'"&amp;A8&amp;"'"&amp;"!E:E"),"土地面积",INDIRECT("'"&amp;A8&amp;"'"&amp;"!F:F"))</f>
        <v>#REF!</v>
      </c>
    </row>
    <row r="9" spans="1:6" ht="14.25">
      <c r="A9" s="259"/>
      <c r="B9" s="3084" t="e">
        <f t="shared" ca="1" si="0"/>
        <v>#REF!</v>
      </c>
      <c r="C9" s="3080" t="s">
        <v>2949</v>
      </c>
      <c r="D9" s="1881"/>
      <c r="E9" s="3085" t="e">
        <f t="shared" ca="1" si="1"/>
        <v>#REF!</v>
      </c>
      <c r="F9" s="3085" t="e">
        <f t="shared" ca="1" si="2"/>
        <v>#REF!</v>
      </c>
    </row>
    <row r="10" spans="1:6" ht="14.25">
      <c r="A10" s="259"/>
      <c r="B10" s="3084" t="e">
        <f t="shared" ca="1" si="0"/>
        <v>#REF!</v>
      </c>
      <c r="C10" s="3080" t="s">
        <v>2949</v>
      </c>
      <c r="D10" s="1881"/>
      <c r="E10" s="3085" t="e">
        <f t="shared" ca="1" si="1"/>
        <v>#REF!</v>
      </c>
      <c r="F10" s="3085" t="e">
        <f t="shared" ca="1" si="2"/>
        <v>#REF!</v>
      </c>
    </row>
    <row r="11" spans="1:6" ht="14.25">
      <c r="A11" s="259"/>
      <c r="B11" s="3084" t="e">
        <f t="shared" ca="1" si="0"/>
        <v>#REF!</v>
      </c>
      <c r="C11" s="3080" t="s">
        <v>2949</v>
      </c>
      <c r="D11" s="1881"/>
      <c r="E11" s="3085" t="e">
        <f t="shared" ca="1" si="1"/>
        <v>#REF!</v>
      </c>
      <c r="F11" s="3085" t="e">
        <f t="shared" ca="1" si="2"/>
        <v>#REF!</v>
      </c>
    </row>
    <row r="12" spans="1:6" ht="14.25">
      <c r="A12" s="259"/>
      <c r="B12" s="3084" t="e">
        <f t="shared" ca="1" si="0"/>
        <v>#REF!</v>
      </c>
      <c r="C12" s="3080" t="s">
        <v>2949</v>
      </c>
      <c r="D12" s="1881"/>
      <c r="E12" s="3085" t="e">
        <f t="shared" ca="1" si="1"/>
        <v>#REF!</v>
      </c>
      <c r="F12" s="3085" t="e">
        <f t="shared" ca="1" si="2"/>
        <v>#REF!</v>
      </c>
    </row>
    <row r="13" spans="1:6" ht="14.25">
      <c r="A13" s="259"/>
      <c r="B13" s="3084" t="e">
        <f t="shared" ca="1" si="0"/>
        <v>#REF!</v>
      </c>
      <c r="C13" s="3080" t="s">
        <v>2949</v>
      </c>
      <c r="D13" s="1881"/>
      <c r="E13" s="3085" t="e">
        <f t="shared" ca="1" si="1"/>
        <v>#REF!</v>
      </c>
      <c r="F13" s="3085" t="e">
        <f t="shared" ca="1" si="2"/>
        <v>#REF!</v>
      </c>
    </row>
    <row r="14" spans="1:6" ht="14.25">
      <c r="A14" s="3078"/>
      <c r="B14" s="3084" t="e">
        <f t="shared" ca="1" si="0"/>
        <v>#REF!</v>
      </c>
      <c r="C14" s="3080" t="s">
        <v>2949</v>
      </c>
      <c r="D14" s="1881"/>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66" t="s">
        <v>2375</v>
      </c>
      <c r="F1" s="2367">
        <f ca="1">J54</f>
        <v>-3</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4">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5" t="s">
        <v>695</v>
      </c>
      <c r="I3" s="2057"/>
      <c r="J3" s="2057"/>
      <c r="K3" s="2058"/>
      <c r="L3" s="2057"/>
      <c r="M3" s="2057"/>
    </row>
    <row r="4" spans="1:25" ht="18" customHeight="1">
      <c r="A4" s="1646" t="s">
        <v>696</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697</v>
      </c>
      <c r="D5" s="2055"/>
      <c r="E5" s="2056"/>
      <c r="F5" s="2056"/>
      <c r="G5" s="1590"/>
      <c r="H5" s="775"/>
      <c r="I5" s="2057"/>
      <c r="J5" s="2057"/>
      <c r="K5" s="2058"/>
      <c r="L5" s="2057"/>
      <c r="M5" s="2057"/>
    </row>
    <row r="6" spans="1:25" ht="18" customHeight="1">
      <c r="A6" s="1828" t="s">
        <v>698</v>
      </c>
      <c r="B6" s="1820" t="s">
        <v>699</v>
      </c>
      <c r="C6" s="1820" t="s">
        <v>632</v>
      </c>
      <c r="D6" s="1820" t="s">
        <v>633</v>
      </c>
      <c r="E6" s="778" t="s">
        <v>634</v>
      </c>
      <c r="F6" s="779"/>
      <c r="G6" s="1592"/>
      <c r="H6" s="1828" t="s">
        <v>630</v>
      </c>
      <c r="I6" s="1820" t="s">
        <v>631</v>
      </c>
      <c r="J6" s="1820" t="s">
        <v>632</v>
      </c>
      <c r="K6" s="1820" t="s">
        <v>633</v>
      </c>
      <c r="L6" s="778" t="s">
        <v>634</v>
      </c>
      <c r="M6" s="779"/>
    </row>
    <row r="7" spans="1:25" ht="18" customHeight="1">
      <c r="A7" s="780">
        <v>1</v>
      </c>
      <c r="B7" s="781" t="s">
        <v>2459</v>
      </c>
      <c r="C7" s="53">
        <f ca="1">C8+C12+C14</f>
        <v>0</v>
      </c>
      <c r="D7" s="2475" t="s">
        <v>2462</v>
      </c>
      <c r="E7" s="2469"/>
      <c r="F7" s="2470"/>
      <c r="G7" s="1592"/>
      <c r="H7" s="780">
        <v>1</v>
      </c>
      <c r="I7" s="781" t="s">
        <v>2459</v>
      </c>
      <c r="J7" s="53">
        <f ca="1">J8+J12+J14</f>
        <v>0</v>
      </c>
      <c r="K7" s="2475" t="s">
        <v>2462</v>
      </c>
      <c r="L7" s="2469"/>
      <c r="M7" s="2470"/>
    </row>
    <row r="8" spans="1:25" ht="18" customHeight="1">
      <c r="A8" s="1830" t="s">
        <v>1825</v>
      </c>
      <c r="B8" s="3428" t="s">
        <v>2464</v>
      </c>
      <c r="C8" s="1825">
        <f ca="1">ROUND(F8*F10*F9*(1-F11)/10000,0)</f>
        <v>0</v>
      </c>
      <c r="D8" s="1822" t="s">
        <v>2535</v>
      </c>
      <c r="E8" s="61" t="s">
        <v>637</v>
      </c>
      <c r="F8" s="784">
        <f ca="1">INDIRECT("'数据-取费表'!u"&amp;$G$1)</f>
        <v>0</v>
      </c>
      <c r="G8" s="1592"/>
      <c r="H8" s="2483" t="s">
        <v>1825</v>
      </c>
      <c r="I8" s="3428" t="s">
        <v>2464</v>
      </c>
      <c r="J8" s="782">
        <f ca="1">ROUND(M8*M10*M9*(1-M11)/10000,0)</f>
        <v>0</v>
      </c>
      <c r="K8" s="340" t="s">
        <v>2535</v>
      </c>
      <c r="L8" s="783" t="s">
        <v>1739</v>
      </c>
      <c r="M8" s="784">
        <f ca="1">INDIRECT("'数据-取费表'!z"&amp;$G$1)</f>
        <v>0</v>
      </c>
    </row>
    <row r="9" spans="1:25" ht="18" customHeight="1">
      <c r="A9" s="2479"/>
      <c r="B9" s="3429"/>
      <c r="C9" s="1826"/>
      <c r="D9" s="1823"/>
      <c r="E9" s="61" t="s">
        <v>638</v>
      </c>
      <c r="F9" s="784">
        <f ca="1">IF(INDIRECT("'数据-取费表'!ah"&amp;$G$1)="",INDIRECT("'数据-取费表'!k"&amp;$G$1),INDIRECT("'数据-取费表'!ah"&amp;$G$1))</f>
        <v>0</v>
      </c>
      <c r="G9" s="1592"/>
      <c r="H9" s="2468"/>
      <c r="I9" s="3429"/>
      <c r="J9" s="787"/>
      <c r="K9" s="788"/>
      <c r="L9" s="783" t="s">
        <v>1740</v>
      </c>
      <c r="M9" s="784">
        <f ca="1">F9</f>
        <v>0</v>
      </c>
    </row>
    <row r="10" spans="1:25" ht="18" customHeight="1">
      <c r="A10" s="2472"/>
      <c r="B10" s="3430"/>
      <c r="C10" s="1826"/>
      <c r="D10" s="1823"/>
      <c r="E10" s="61" t="s">
        <v>639</v>
      </c>
      <c r="F10" s="784">
        <f ca="1">INDIRECT("'数据-取费表'!ai"&amp;$G$1)</f>
        <v>0</v>
      </c>
      <c r="G10" s="1592"/>
      <c r="H10" s="2468"/>
      <c r="I10" s="3430"/>
      <c r="J10" s="787"/>
      <c r="K10" s="788"/>
      <c r="L10" s="783" t="s">
        <v>1741</v>
      </c>
      <c r="M10" s="784">
        <f ca="1">INDIRECT("'数据-取费表'!ai"&amp;$G$1)</f>
        <v>0</v>
      </c>
    </row>
    <row r="11" spans="1:25" ht="18" customHeight="1">
      <c r="A11" s="785"/>
      <c r="B11" s="3431"/>
      <c r="C11" s="1826"/>
      <c r="D11" s="1823"/>
      <c r="E11" s="61" t="s">
        <v>640</v>
      </c>
      <c r="F11" s="793">
        <f ca="1">INDIRECT("'数据-取费表'!w"&amp;$G$1)</f>
        <v>0</v>
      </c>
      <c r="G11" s="1592"/>
      <c r="H11" s="2484"/>
      <c r="I11" s="3430"/>
      <c r="J11" s="787"/>
      <c r="K11" s="788"/>
      <c r="L11" s="794" t="s">
        <v>1742</v>
      </c>
      <c r="M11" s="795">
        <f ca="1">INDIRECT("'数据-取费表'!ab"&amp;$G$1)</f>
        <v>0</v>
      </c>
    </row>
    <row r="12" spans="1:25" ht="18" customHeight="1">
      <c r="A12" s="1830" t="s">
        <v>1826</v>
      </c>
      <c r="B12" s="2473" t="s">
        <v>2460</v>
      </c>
      <c r="C12" s="798">
        <f ca="1">ROUND(IF(F12="押一",C8/12*F13,IF(F12="押二",C8/12*2*F13,IF(F12="押三",C8/12*3*F13,C13*F13))),0)</f>
        <v>0</v>
      </c>
      <c r="D12" s="2480" t="s">
        <v>2978</v>
      </c>
      <c r="E12" s="2477" t="s">
        <v>2465</v>
      </c>
      <c r="F12" s="2600"/>
      <c r="G12" s="1592"/>
      <c r="H12" s="2540" t="s">
        <v>1826</v>
      </c>
      <c r="I12" s="2545" t="s">
        <v>2460</v>
      </c>
      <c r="J12" s="782">
        <f ca="1">ROUND(IF(M12="押一",J8/12*M13,IF(M12="押二",J8/12*2*M13,IF(M12="押三",J8/12*3*M13,J13*M13))),0)</f>
        <v>0</v>
      </c>
      <c r="K12" s="2480" t="s">
        <v>2978</v>
      </c>
      <c r="L12" s="2477" t="s">
        <v>2465</v>
      </c>
      <c r="M12" s="2600"/>
    </row>
    <row r="13" spans="1:25" ht="18" customHeight="1">
      <c r="A13" s="789"/>
      <c r="B13" s="2474" t="s">
        <v>2574</v>
      </c>
      <c r="C13" s="2478"/>
      <c r="D13" s="788"/>
      <c r="E13" s="2477" t="s">
        <v>2457</v>
      </c>
      <c r="F13" s="795">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1">
        <f ca="1">ROUND(C31*F15,0)</f>
        <v>0</v>
      </c>
      <c r="D15" s="1834" t="s">
        <v>642</v>
      </c>
      <c r="E15" s="794" t="s">
        <v>643</v>
      </c>
      <c r="F15" s="799">
        <f ca="1">INDIRECT("'数据-取费表'!y"&amp;$G$1)</f>
        <v>0</v>
      </c>
      <c r="G15" s="1592"/>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2"/>
      <c r="H16" s="802" t="s">
        <v>2070</v>
      </c>
      <c r="I16" s="2231" t="s">
        <v>2826</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0.05</v>
      </c>
      <c r="G17" s="1593"/>
      <c r="H17" s="802" t="s">
        <v>2071</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2070</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2"/>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0.03</v>
      </c>
      <c r="G22" s="1593"/>
      <c r="H22" s="1832" t="s">
        <v>1851</v>
      </c>
      <c r="I22" s="1822" t="s">
        <v>668</v>
      </c>
      <c r="J22" s="54">
        <f ca="1">ROUND(M22*M23/10000,0)</f>
        <v>0</v>
      </c>
      <c r="K22" s="813" t="s">
        <v>669</v>
      </c>
      <c r="L22" s="783" t="s">
        <v>670</v>
      </c>
      <c r="M22" s="639">
        <f>'数据-取费表'!B52</f>
        <v>1.5</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0.03</v>
      </c>
      <c r="G23" s="1593"/>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51" t="str">
        <f>IF(F25&lt;=1,"单利计息。","复利计息。")&amp;"建造成本、管理费用、销售费用产生的利息。"</f>
        <v>复利计息。建造成本、管理费用、销售费用产生的利息。</v>
      </c>
      <c r="E24" s="1982"/>
      <c r="F24" s="56"/>
      <c r="G24" s="1592"/>
      <c r="H24" s="1831" t="s">
        <v>2071</v>
      </c>
      <c r="I24" s="783" t="s">
        <v>676</v>
      </c>
      <c r="J24" s="53">
        <f ca="1">ROUND(J16*M24,0)</f>
        <v>0</v>
      </c>
      <c r="K24" s="1977" t="s">
        <v>677</v>
      </c>
      <c r="L24" s="783" t="s">
        <v>649</v>
      </c>
      <c r="M24" s="816">
        <f ca="1">INDIRECT("'数据-取费表'!Ak"&amp;$G$1)</f>
        <v>0</v>
      </c>
    </row>
    <row r="25" spans="1:25" s="2064" customFormat="1" ht="18" customHeight="1">
      <c r="A25" s="802" t="s">
        <v>1876</v>
      </c>
      <c r="B25" s="783" t="s">
        <v>2438</v>
      </c>
      <c r="C25" s="53">
        <f ca="1">ROUND(IF('数据-取费表'!B22&lt;=1,(C21+C22)*F26*F25/2,(C21+C22)*(POWER((1+F26),F25/2)-1)),0)</f>
        <v>0</v>
      </c>
      <c r="D25" s="2550" t="str">
        <f>IF(F25&lt;=1,"(建造成本+管理费用)×利率×(建设周期÷2)","(建造成本+管理费用)×((1+利率)^(建设周期÷2)-1)")</f>
        <v>(建造成本+管理费用)×((1+利率)^(建设周期÷2)-1)</v>
      </c>
      <c r="E25" s="783" t="s">
        <v>678</v>
      </c>
      <c r="F25" s="639">
        <f>'数据-取费表'!B20</f>
        <v>3</v>
      </c>
      <c r="G25" s="1593"/>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2.2000000000000001E-3</v>
      </c>
      <c r="D26" s="2550"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2"/>
      <c r="H27" s="796" t="s">
        <v>1829</v>
      </c>
      <c r="I27" s="2986" t="s">
        <v>2823</v>
      </c>
      <c r="J27" s="798">
        <f ca="1">J7-J18</f>
        <v>0</v>
      </c>
      <c r="K27" s="1979" t="s">
        <v>700</v>
      </c>
      <c r="L27" s="1981"/>
      <c r="M27" s="819"/>
    </row>
    <row r="28" spans="1:25" ht="18" customHeight="1">
      <c r="A28" s="802" t="s">
        <v>1876</v>
      </c>
      <c r="B28" s="783" t="s">
        <v>2439</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3"/>
      <c r="H31" s="822" t="s">
        <v>1873</v>
      </c>
      <c r="I31" s="2987" t="s">
        <v>2825</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66"/>
      <c r="F32" s="2470"/>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1.5</v>
      </c>
      <c r="G36" s="2062"/>
      <c r="H36" s="2065"/>
      <c r="I36" s="3427"/>
      <c r="J36" s="2079"/>
      <c r="K36" s="2080"/>
      <c r="L36" s="2079"/>
      <c r="M36" s="2079"/>
    </row>
    <row r="37" spans="1:18" ht="18" customHeight="1">
      <c r="A37" s="814"/>
      <c r="B37" s="792"/>
      <c r="C37" s="69"/>
      <c r="D37" s="815"/>
      <c r="E37" s="783" t="s">
        <v>674</v>
      </c>
      <c r="F37" s="784">
        <f ca="1">INDIRECT("'数据-取费表'!r"&amp;$G$1)</f>
        <v>0</v>
      </c>
      <c r="G37" s="2062"/>
      <c r="H37" s="2065"/>
      <c r="I37" s="3427"/>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096" t="s">
        <v>2966</v>
      </c>
      <c r="F43" s="3097">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11">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098" t="s">
        <v>2969</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1" t="str">
        <f ca="1">IF(M48="住宅",0,IF(L49&gt;J52,L61,J61))</f>
        <v>0</v>
      </c>
      <c r="O47" s="2373" t="s">
        <v>2411</v>
      </c>
      <c r="P47" s="1592"/>
      <c r="Q47" s="1604"/>
      <c r="R47" s="1592"/>
    </row>
    <row r="48" spans="1:18" s="2059" customFormat="1" ht="18" customHeight="1" thickBot="1">
      <c r="A48" s="2084"/>
      <c r="C48" s="2087"/>
      <c r="D48" s="2088"/>
      <c r="E48" s="2088"/>
      <c r="F48" s="2089"/>
      <c r="G48" s="2090"/>
      <c r="I48" s="3121" t="s">
        <v>2345</v>
      </c>
      <c r="J48" s="2360"/>
      <c r="K48" s="3128" t="s">
        <v>2350</v>
      </c>
      <c r="L48" s="3132">
        <f ca="1">INDIRECT("'数据-取费表'!d"&amp;$G$1)</f>
        <v>0</v>
      </c>
      <c r="M48" s="3095"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0" t="s">
        <v>2346</v>
      </c>
      <c r="J49" s="2361"/>
      <c r="K49" s="3129"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0" t="s">
        <v>2347</v>
      </c>
      <c r="J50" s="2362"/>
      <c r="K50" s="3130"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0" t="s">
        <v>2348</v>
      </c>
      <c r="J51" s="3125">
        <f>SUMPRODUCT((I64:I66=J48)*(J63:L63=J49)*(J64:L66))</f>
        <v>0</v>
      </c>
      <c r="K51" s="3130" t="s">
        <v>2354</v>
      </c>
      <c r="L51" s="2363"/>
      <c r="O51" s="2380" t="s">
        <v>2384</v>
      </c>
      <c r="P51" s="2378" t="s">
        <v>2408</v>
      </c>
      <c r="Q51" s="2379">
        <f ca="1">C31</f>
        <v>0</v>
      </c>
      <c r="R51" s="2378" t="s">
        <v>2381</v>
      </c>
    </row>
    <row r="52" spans="1:18" s="2059" customFormat="1" ht="18" customHeight="1" thickBot="1">
      <c r="A52" s="2096"/>
      <c r="F52" s="2085"/>
      <c r="I52" s="3122" t="s">
        <v>2349</v>
      </c>
      <c r="J52" s="3126">
        <f>IF(J50="",J51,J50+J51-YEAR('数据-取费表'!B3))</f>
        <v>0</v>
      </c>
      <c r="K52" s="3100" t="s">
        <v>2355</v>
      </c>
      <c r="L52" s="3133">
        <f ca="1">ROUND(-PV(INDIRECT("'数据-取费表'!h"&amp;$G$1),L49,(C40-C14*J36),0),0)</f>
        <v>0</v>
      </c>
      <c r="O52" s="2380" t="s">
        <v>2385</v>
      </c>
      <c r="P52" s="2378" t="s">
        <v>2386</v>
      </c>
      <c r="Q52" s="2381" t="e">
        <f ca="1">J59</f>
        <v>#VALUE!</v>
      </c>
      <c r="R52" s="2382"/>
    </row>
    <row r="53" spans="1:18" s="2059" customFormat="1" ht="18" customHeight="1" thickBot="1">
      <c r="A53" s="2096"/>
      <c r="F53" s="2085"/>
      <c r="I53" s="3123" t="s">
        <v>2422</v>
      </c>
      <c r="J53" s="2364"/>
      <c r="K53" s="3123" t="s">
        <v>2421</v>
      </c>
      <c r="L53" s="2364"/>
      <c r="O53" s="2380" t="s">
        <v>2387</v>
      </c>
      <c r="P53" s="2378" t="s">
        <v>2388</v>
      </c>
      <c r="Q53" s="2381">
        <f>J53</f>
        <v>0</v>
      </c>
      <c r="R53" s="2382"/>
    </row>
    <row r="54" spans="1:18" s="2059" customFormat="1" ht="29.25" thickBot="1">
      <c r="A54" s="2096"/>
      <c r="I54" s="3124" t="s">
        <v>2982</v>
      </c>
      <c r="J54" s="3127">
        <f ca="1">IF(M48="住宅",MAX(J52,L49-'数据-取费表'!B20),MIN(J52,L49-'数据-取费表'!B20))</f>
        <v>-3</v>
      </c>
      <c r="K54" s="3432"/>
      <c r="L54" s="3433"/>
      <c r="O54" s="2380" t="s">
        <v>2389</v>
      </c>
      <c r="P54" s="2378" t="s">
        <v>2390</v>
      </c>
      <c r="Q54" s="2379">
        <f ca="1">J54</f>
        <v>-3</v>
      </c>
      <c r="R54" s="2378" t="s">
        <v>2391</v>
      </c>
    </row>
    <row r="55" spans="1:18" s="2059" customFormat="1" ht="18" customHeight="1" thickBot="1">
      <c r="A55" s="2096"/>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7" t="s">
        <v>2392</v>
      </c>
      <c r="P55" s="2378" t="s">
        <v>2409</v>
      </c>
      <c r="Q55" s="2379">
        <f ca="1">Q49+Q50</f>
        <v>0</v>
      </c>
      <c r="R55" s="2382" t="s">
        <v>2393</v>
      </c>
    </row>
    <row r="56" spans="1:18" s="2059" customFormat="1" ht="16.5" thickBot="1">
      <c r="A56" s="2096"/>
      <c r="B56" s="2097"/>
      <c r="C56" s="2097"/>
      <c r="I56" s="3136" t="s">
        <v>2356</v>
      </c>
      <c r="J56" s="3075" t="e">
        <f ca="1">ROUND(IF(J48="钢混",J58/J51,1-(1-2%)*(J51-J58)/J51),3)</f>
        <v>#VALUE!</v>
      </c>
      <c r="K56" s="3137" t="s">
        <v>2357</v>
      </c>
      <c r="L56" s="2365"/>
      <c r="O56" s="2383" t="s">
        <v>2412</v>
      </c>
      <c r="P56" s="1592"/>
      <c r="Q56" s="1604"/>
      <c r="R56" s="1592"/>
    </row>
    <row r="57" spans="1:18" s="2059" customFormat="1" ht="43.5" thickBot="1">
      <c r="A57" s="2096"/>
      <c r="B57" s="2097"/>
      <c r="C57" s="2097"/>
      <c r="I57" s="3138" t="s">
        <v>2358</v>
      </c>
      <c r="J57" s="3148" t="s">
        <v>1679</v>
      </c>
      <c r="K57" s="3100" t="s">
        <v>2363</v>
      </c>
      <c r="L57" s="1908">
        <f ca="1">IF(L49&lt;J52,"——",L49-J52)</f>
        <v>0</v>
      </c>
      <c r="O57" s="2374" t="s">
        <v>2376</v>
      </c>
      <c r="P57" s="2375" t="s">
        <v>2377</v>
      </c>
      <c r="Q57" s="2376" t="s">
        <v>2378</v>
      </c>
      <c r="R57" s="2375" t="s">
        <v>2379</v>
      </c>
    </row>
    <row r="58" spans="1:18" s="2059" customFormat="1" ht="29.25" thickBot="1">
      <c r="A58" s="2096"/>
      <c r="B58" s="2097"/>
      <c r="C58" s="2097"/>
      <c r="I58" s="3139" t="s">
        <v>2359</v>
      </c>
      <c r="J58" s="3140" t="str">
        <f ca="1">IF(OR(M48="住宅",J52&lt;L49,J57="是"),"——",J52-L49)</f>
        <v>——</v>
      </c>
      <c r="K58" s="3100"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39" t="s">
        <v>2360</v>
      </c>
      <c r="J59" s="3076" t="e">
        <f ca="1">IF(J56&lt;0.4,0.4,J56)</f>
        <v>#VALUE!</v>
      </c>
      <c r="K59" s="3100"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39" t="s">
        <v>2361</v>
      </c>
      <c r="J60" s="3140" t="str">
        <f ca="1">IF(OR(M48="住宅",J52&lt;L49,J57="是"),"——",ROUND(C30*J59,0))</f>
        <v>——</v>
      </c>
      <c r="K60" s="3100"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1" t="s">
        <v>2362</v>
      </c>
      <c r="J61" s="3142" t="str">
        <f ca="1">IF(OR(M48="住宅",J52&lt;L49,J57="是"),"0",ROUND(J60/(1+J53)^J54,0))</f>
        <v>0</v>
      </c>
      <c r="K61" s="3143" t="s">
        <v>2367</v>
      </c>
      <c r="L61" s="3142"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4" t="s">
        <v>2368</v>
      </c>
      <c r="J63" s="3145" t="s">
        <v>2369</v>
      </c>
      <c r="K63" s="3145" t="s">
        <v>2370</v>
      </c>
      <c r="L63" s="3145" t="s">
        <v>2351</v>
      </c>
      <c r="M63" s="3146" t="s">
        <v>2946</v>
      </c>
      <c r="O63" s="2380" t="s">
        <v>2389</v>
      </c>
      <c r="P63" s="2378" t="s">
        <v>2397</v>
      </c>
      <c r="Q63" s="2379">
        <f ca="1">L60</f>
        <v>0</v>
      </c>
      <c r="R63" s="2382" t="s">
        <v>2398</v>
      </c>
    </row>
    <row r="64" spans="1:18" s="2059" customFormat="1" ht="15.75" thickBot="1">
      <c r="A64" s="2096"/>
      <c r="B64" s="2097"/>
      <c r="C64" s="2097"/>
      <c r="I64" s="3144" t="s">
        <v>2371</v>
      </c>
      <c r="J64" s="3145">
        <v>70</v>
      </c>
      <c r="K64" s="3145">
        <v>50</v>
      </c>
      <c r="L64" s="3145">
        <v>80</v>
      </c>
      <c r="M64" s="3147">
        <v>0.02</v>
      </c>
      <c r="O64" s="2377" t="s">
        <v>2392</v>
      </c>
      <c r="P64" s="2378" t="s">
        <v>2409</v>
      </c>
      <c r="Q64" s="2379" t="e">
        <f ca="1">Q58+Q59</f>
        <v>#DIV/0!</v>
      </c>
      <c r="R64" s="2382" t="s">
        <v>2393</v>
      </c>
    </row>
    <row r="65" spans="1:18" s="2059" customFormat="1" ht="16.5" thickBot="1">
      <c r="A65" s="2096"/>
      <c r="B65" s="2097"/>
      <c r="C65" s="2097"/>
      <c r="I65" s="3144" t="s">
        <v>2372</v>
      </c>
      <c r="J65" s="3145">
        <v>50</v>
      </c>
      <c r="K65" s="3145">
        <v>35</v>
      </c>
      <c r="L65" s="3145">
        <v>60</v>
      </c>
      <c r="M65" s="845">
        <v>0</v>
      </c>
      <c r="O65" s="2383" t="s">
        <v>2416</v>
      </c>
      <c r="P65" s="1592"/>
      <c r="Q65" s="1604"/>
      <c r="R65" s="1592"/>
    </row>
    <row r="66" spans="1:18" s="2059" customFormat="1" ht="15.75" thickBot="1">
      <c r="A66" s="2096"/>
      <c r="B66" s="2097"/>
      <c r="C66" s="2097"/>
      <c r="I66" s="3144" t="s">
        <v>2373</v>
      </c>
      <c r="J66" s="3145">
        <v>40</v>
      </c>
      <c r="K66" s="3145">
        <v>30</v>
      </c>
      <c r="L66" s="3145">
        <v>50</v>
      </c>
      <c r="M66" s="3147">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41" t="s">
        <v>2577</v>
      </c>
      <c r="C1" s="3441"/>
      <c r="D1" s="3441"/>
      <c r="E1" s="3441"/>
      <c r="F1" s="3441"/>
      <c r="G1" s="3440" t="s">
        <v>2578</v>
      </c>
      <c r="H1" s="3440"/>
      <c r="I1" s="3440"/>
      <c r="J1" s="3440"/>
      <c r="K1" s="3440"/>
      <c r="L1" s="3440"/>
      <c r="N1" s="3440" t="s">
        <v>2579</v>
      </c>
      <c r="O1" s="3440"/>
      <c r="P1" s="3440"/>
      <c r="Q1" s="3440"/>
      <c r="R1" s="2633"/>
      <c r="S1" s="3440" t="s">
        <v>2580</v>
      </c>
      <c r="T1" s="3440"/>
      <c r="U1" s="3440"/>
      <c r="V1" s="3440"/>
      <c r="X1" s="3439" t="s">
        <v>2640</v>
      </c>
      <c r="Y1" s="3440"/>
      <c r="Z1" s="3440"/>
      <c r="AA1" s="3440"/>
      <c r="AB1" s="3440"/>
      <c r="AD1" s="3439" t="s">
        <v>2644</v>
      </c>
      <c r="AE1" s="3440"/>
      <c r="AF1" s="3440"/>
      <c r="AG1" s="3440"/>
      <c r="AH1" s="3440"/>
    </row>
    <row r="2" spans="1:34" s="2734" customFormat="1" ht="14.25" thickBot="1">
      <c r="B2" s="2742" t="s">
        <v>2581</v>
      </c>
      <c r="C2" s="2742" t="s">
        <v>2642</v>
      </c>
      <c r="D2" s="2735" t="s">
        <v>1645</v>
      </c>
      <c r="E2" s="2735" t="s">
        <v>1950</v>
      </c>
      <c r="F2" s="2742" t="s">
        <v>2643</v>
      </c>
      <c r="G2" s="2738"/>
      <c r="H2" s="2737"/>
      <c r="I2" s="2742" t="s">
        <v>2960</v>
      </c>
      <c r="J2" s="2735" t="s">
        <v>2962</v>
      </c>
      <c r="K2" s="2735" t="s">
        <v>2963</v>
      </c>
      <c r="L2" s="2742" t="s">
        <v>2964</v>
      </c>
      <c r="N2" s="2742" t="s">
        <v>2581</v>
      </c>
      <c r="O2" s="2735" t="s">
        <v>2961</v>
      </c>
      <c r="P2" s="2735" t="s">
        <v>1950</v>
      </c>
      <c r="Q2" s="2742" t="s">
        <v>2643</v>
      </c>
      <c r="R2" s="2736"/>
      <c r="S2" s="2742" t="s">
        <v>2581</v>
      </c>
      <c r="T2" s="2735" t="s">
        <v>2961</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5" customFormat="1" ht="14.25">
      <c r="A3" s="3117" t="s">
        <v>2973</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7" customFormat="1" ht="14.25">
      <c r="B4" s="2728"/>
      <c r="C4" s="2728"/>
      <c r="D4" s="2729"/>
      <c r="E4" s="2729"/>
      <c r="F4" s="2728"/>
      <c r="G4" s="2733"/>
      <c r="H4" s="2730"/>
      <c r="I4" s="3101"/>
      <c r="J4" s="3101"/>
      <c r="K4" s="3101"/>
      <c r="L4" s="3101"/>
      <c r="N4" s="2733"/>
      <c r="O4" s="2731"/>
      <c r="P4" s="2731"/>
      <c r="Q4" s="2731"/>
      <c r="R4" s="2731"/>
      <c r="S4" s="2733"/>
      <c r="T4" s="2731"/>
      <c r="U4" s="2731"/>
      <c r="V4" s="2731"/>
      <c r="W4" s="3114"/>
      <c r="X4" s="2732"/>
      <c r="Y4" s="2732"/>
      <c r="Z4" s="2732"/>
      <c r="AA4" s="2732"/>
      <c r="AB4" s="2732"/>
      <c r="AD4" s="2652"/>
      <c r="AE4" s="2652"/>
      <c r="AF4" s="2652"/>
      <c r="AG4" s="2652"/>
      <c r="AH4" s="2652"/>
    </row>
    <row r="5" spans="1:34" s="3089" customFormat="1" ht="13.5" thickBot="1">
      <c r="A5" s="3087" t="s">
        <v>2993</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8">
        <v>1</v>
      </c>
      <c r="I5" s="3102">
        <v>0</v>
      </c>
      <c r="J5" s="3102">
        <v>0</v>
      </c>
      <c r="K5" s="3102">
        <v>0</v>
      </c>
      <c r="L5" s="3102">
        <v>0</v>
      </c>
      <c r="N5" s="2740">
        <f t="shared" ref="N5" si="6">I5/100</f>
        <v>0</v>
      </c>
      <c r="O5" s="2740">
        <f t="shared" ref="O5" si="7">J5/100</f>
        <v>0</v>
      </c>
      <c r="P5" s="2740">
        <f t="shared" ref="P5" si="8">K5/100</f>
        <v>0</v>
      </c>
      <c r="Q5" s="2740">
        <f t="shared" ref="Q5" si="9">L5/100</f>
        <v>0</v>
      </c>
      <c r="R5" s="3090"/>
      <c r="S5" s="3091"/>
      <c r="T5" s="3090"/>
      <c r="U5" s="3090"/>
      <c r="V5" s="3090"/>
      <c r="W5" s="3115" t="s">
        <v>2974</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9" customFormat="1">
      <c r="A6" s="2634" t="s">
        <v>2994</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35">
        <v>2018</v>
      </c>
      <c r="H6" s="2637">
        <v>4</v>
      </c>
      <c r="I6" s="3173">
        <v>0.96</v>
      </c>
      <c r="J6" s="3173">
        <v>1.03</v>
      </c>
      <c r="K6" s="3173">
        <v>0.92</v>
      </c>
      <c r="L6" s="3174">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2983</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5"/>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2984</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5"/>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2980</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36"/>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2971</v>
      </c>
      <c r="B10" s="3119">
        <v>439</v>
      </c>
      <c r="C10" s="3119">
        <v>327</v>
      </c>
      <c r="D10" s="3119">
        <f t="shared" si="43"/>
        <v>327</v>
      </c>
      <c r="E10" s="3119">
        <v>627</v>
      </c>
      <c r="F10" s="3120">
        <v>283</v>
      </c>
      <c r="G10" s="3434">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2975</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5"/>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435"/>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436"/>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34">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5"/>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35"/>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38"/>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37">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5"/>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35"/>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38"/>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37">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5"/>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35"/>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38"/>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442">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43"/>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443"/>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444"/>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437">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435"/>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435"/>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438"/>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437">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5">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435">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438">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437">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5">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435">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438">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437">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5">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435">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438">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437">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5">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435">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438">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437">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5">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435">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438">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437">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5">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435">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438">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437">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5">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435">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438">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437">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5">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435">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438">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437">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435">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435">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438">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437">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435">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435">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438">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中铁建设集团房地产有限公司：</v>
      </c>
    </row>
    <row r="4" spans="1:4" ht="56.25">
      <c r="A4" s="1791" t="str">
        <f>"受贵公司委托，我公司对"&amp;项目基本情况!K2&amp;项目基本情况!B9&amp;"进行了预评估。"</f>
        <v>受贵公司委托，我公司对北京市房山区青龙湖中心区01-0010、0021地块R2二类居住用地、01-0015地块B4综合性商业金融服务业用地出让国有建设用地使用权抵押价格进行了预评估。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24151.66平方米。根据《建设工程规划许可证》[]、《出让合同》[]，估价对象规划建筑面积为48217.25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2019年3月22日</v>
      </c>
    </row>
    <row r="12" spans="1:4" ht="18.75">
      <c r="A12" s="1797" t="s">
        <v>2026</v>
      </c>
    </row>
    <row r="13" spans="1:4" ht="18.75">
      <c r="A13" s="1791" t="s">
        <v>2945</v>
      </c>
    </row>
    <row r="14" spans="1:4" ht="37.5">
      <c r="A14" s="1791" t="str">
        <f>"根据"&amp;项目基本情况!F12&amp;"，本次评估估价对象证载（地类）用途为"&amp;项目基本情况!B12&amp;"。"</f>
        <v>根据《国有土地使用证》[]，本次评估估价对象证载（地类）用途为住宅、商业。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根据《国有土地使用证》[]，估价对象（分摊）出让国有建设用地使用权面积为24151.66平方米。根据《建设工程规划许可证》[]、《出让合同》[]，估价对象规划建筑面积为48217.25平方米。</v>
      </c>
    </row>
    <row r="21" spans="1:1" ht="18.75">
      <c r="A21" s="1791" t="s">
        <v>2075</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12月2日、商业2058年12月2日、2068年12月2日、地下车库2068年12月2日、地下仓储2068年12月2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45" sqref="F45"/>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t="s">
        <v>35</v>
      </c>
      <c r="D1" s="3099" t="s">
        <v>3041</v>
      </c>
      <c r="E1" s="2366" t="s">
        <v>2375</v>
      </c>
      <c r="F1" s="2367">
        <f ca="1">J53</f>
        <v>46.73</v>
      </c>
      <c r="G1" s="773">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3809</v>
      </c>
      <c r="C2" s="2057"/>
      <c r="D2" s="2055"/>
      <c r="E2" s="2056"/>
      <c r="F2" s="2056"/>
      <c r="G2" s="1590"/>
      <c r="H2" s="2057"/>
      <c r="I2" s="2057"/>
      <c r="J2" s="2057"/>
      <c r="K2" s="2058"/>
      <c r="L2" s="2057"/>
      <c r="M2" s="2057"/>
    </row>
    <row r="3" spans="1:33" ht="18" customHeight="1" thickBot="1">
      <c r="A3" s="832" t="s">
        <v>1728</v>
      </c>
      <c r="B3" s="833">
        <f ca="1">IF(ISERROR(B2*10000/F43),0,ROUND(B2*10000/F43,0))</f>
        <v>4350</v>
      </c>
      <c r="C3" s="2057"/>
      <c r="D3" s="2055"/>
      <c r="E3" s="2056"/>
      <c r="F3" s="2056"/>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2459</v>
      </c>
      <c r="C5" s="55">
        <f ca="1">C6+C10+C12</f>
        <v>345</v>
      </c>
      <c r="D5" s="2475" t="s">
        <v>2462</v>
      </c>
      <c r="E5" s="2469"/>
      <c r="F5" s="2470"/>
      <c r="G5" s="1592"/>
      <c r="H5" s="780">
        <v>1</v>
      </c>
      <c r="I5" s="781" t="s">
        <v>2459</v>
      </c>
      <c r="J5" s="55">
        <f ca="1">J6+J10+J12</f>
        <v>0</v>
      </c>
      <c r="K5" s="2475" t="s">
        <v>2462</v>
      </c>
      <c r="L5" s="2469"/>
      <c r="M5" s="2470"/>
    </row>
    <row r="6" spans="1:33" ht="18" customHeight="1">
      <c r="A6" s="1830" t="s">
        <v>1825</v>
      </c>
      <c r="B6" s="3428" t="s">
        <v>2464</v>
      </c>
      <c r="C6" s="782">
        <f ca="1">ROUND(F6*F8*F7*(1-F9)/10000,0)</f>
        <v>345</v>
      </c>
      <c r="D6" s="2476" t="s">
        <v>2463</v>
      </c>
      <c r="E6" s="783" t="s">
        <v>1739</v>
      </c>
      <c r="F6" s="784">
        <f ca="1">INDIRECT("'数据-取费表'!u"&amp;$G$1)</f>
        <v>1.2</v>
      </c>
      <c r="G6" s="1592"/>
      <c r="H6" s="2483" t="s">
        <v>2469</v>
      </c>
      <c r="I6" s="3428" t="s">
        <v>2464</v>
      </c>
      <c r="J6" s="782">
        <f ca="1">ROUND(M6*M8*M7*(1-M9)/10000,0)</f>
        <v>0</v>
      </c>
      <c r="K6" s="340" t="s">
        <v>1738</v>
      </c>
      <c r="L6" s="783" t="s">
        <v>1739</v>
      </c>
      <c r="M6" s="784">
        <f ca="1">INDIRECT("'数据-取费表'!z"&amp;$G$1)</f>
        <v>0</v>
      </c>
    </row>
    <row r="7" spans="1:33" ht="18" customHeight="1">
      <c r="A7" s="2479"/>
      <c r="B7" s="3429"/>
      <c r="C7" s="787"/>
      <c r="D7" s="788"/>
      <c r="E7" s="783" t="s">
        <v>1740</v>
      </c>
      <c r="F7" s="784">
        <f ca="1">IF(INDIRECT("'数据-取费表'!ah"&amp;$G$1)="",INDIRECT("'数据-取费表'!k"&amp;$G$1),INDIRECT("'数据-取费表'!ah"&amp;$G$1))</f>
        <v>8755.64</v>
      </c>
      <c r="G7" s="1592"/>
      <c r="H7" s="2468"/>
      <c r="I7" s="3429"/>
      <c r="J7" s="787"/>
      <c r="K7" s="788"/>
      <c r="L7" s="783" t="s">
        <v>1740</v>
      </c>
      <c r="M7" s="784">
        <f ca="1">F7</f>
        <v>8755.64</v>
      </c>
    </row>
    <row r="8" spans="1:33" ht="18" customHeight="1">
      <c r="A8" s="2472"/>
      <c r="B8" s="3430"/>
      <c r="C8" s="787"/>
      <c r="D8" s="788"/>
      <c r="E8" s="783" t="s">
        <v>1741</v>
      </c>
      <c r="F8" s="784">
        <f ca="1">INDIRECT("'数据-取费表'!ai"&amp;$G$1)</f>
        <v>365</v>
      </c>
      <c r="G8" s="1592"/>
      <c r="H8" s="2468"/>
      <c r="I8" s="3430"/>
      <c r="J8" s="787"/>
      <c r="K8" s="788"/>
      <c r="L8" s="783" t="s">
        <v>1741</v>
      </c>
      <c r="M8" s="784">
        <f ca="1">INDIRECT("'数据-取费表'!ai"&amp;$G$1)</f>
        <v>365</v>
      </c>
    </row>
    <row r="9" spans="1:33" ht="18" customHeight="1">
      <c r="A9" s="785"/>
      <c r="B9" s="3431"/>
      <c r="C9" s="787"/>
      <c r="D9" s="788"/>
      <c r="E9" s="783" t="s">
        <v>1742</v>
      </c>
      <c r="F9" s="793">
        <f ca="1">INDIRECT("'数据-取费表'!w"&amp;$G$1)</f>
        <v>0.1</v>
      </c>
      <c r="G9" s="1592"/>
      <c r="H9" s="2484"/>
      <c r="I9" s="3430"/>
      <c r="J9" s="787"/>
      <c r="K9" s="788"/>
      <c r="L9" s="794" t="s">
        <v>1742</v>
      </c>
      <c r="M9" s="795">
        <f ca="1">INDIRECT("'数据-取费表'!ab"&amp;$G$1)</f>
        <v>0</v>
      </c>
    </row>
    <row r="10" spans="1:33" ht="18" customHeight="1">
      <c r="A10" s="1830" t="s">
        <v>2467</v>
      </c>
      <c r="B10" s="2473" t="s">
        <v>2460</v>
      </c>
      <c r="C10" s="798">
        <f ca="1">ROUND(IF(F10="押一",C6/12*F11,IF(F10="押二",C6/12*2*F11,IF(F10="押三",C6/12*3*F11,C11*F11))),0)</f>
        <v>0</v>
      </c>
      <c r="D10" s="2480" t="s">
        <v>2978</v>
      </c>
      <c r="E10" s="2477" t="s">
        <v>2465</v>
      </c>
      <c r="F10" s="2600" t="s">
        <v>3165</v>
      </c>
      <c r="G10" s="1592"/>
      <c r="H10" s="2540" t="s">
        <v>2470</v>
      </c>
      <c r="I10" s="2545" t="s">
        <v>2460</v>
      </c>
      <c r="J10" s="782">
        <f ca="1">ROUND(IF(M10="押一",J6/12*M11,IF(M10="押二",J6/12*2*M11,IF(M10="押三",J6/12*3*M11,J11*M11))),0)</f>
        <v>0</v>
      </c>
      <c r="K10" s="2480" t="s">
        <v>2978</v>
      </c>
      <c r="L10" s="2477" t="s">
        <v>2465</v>
      </c>
      <c r="M10" s="2600"/>
    </row>
    <row r="11" spans="1:33" ht="18" customHeight="1">
      <c r="A11" s="789"/>
      <c r="B11" s="2474" t="s">
        <v>2574</v>
      </c>
      <c r="C11" s="2478"/>
      <c r="D11" s="788"/>
      <c r="E11" s="2477" t="s">
        <v>2466</v>
      </c>
      <c r="F11" s="795">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1">
        <f ca="1">ROUND(C29*F13,0)</f>
        <v>7387</v>
      </c>
      <c r="D13" s="1834" t="s">
        <v>2298</v>
      </c>
      <c r="E13" s="1834" t="s">
        <v>1745</v>
      </c>
      <c r="F13" s="2515">
        <f ca="1">INDIRECT("'数据-取费表'!y"&amp;$G$1)</f>
        <v>1</v>
      </c>
      <c r="G13" s="1592"/>
      <c r="H13" s="1829">
        <v>2</v>
      </c>
      <c r="I13" s="1827" t="s">
        <v>1743</v>
      </c>
      <c r="J13" s="1819">
        <f ca="1">ROUND(J14*J15,0)</f>
        <v>0</v>
      </c>
      <c r="K13" s="1821" t="s">
        <v>1744</v>
      </c>
      <c r="L13" s="2531"/>
      <c r="M13" s="2532"/>
    </row>
    <row r="14" spans="1:33" ht="18" customHeight="1">
      <c r="A14" s="1648" t="s">
        <v>1885</v>
      </c>
      <c r="B14" s="783" t="s">
        <v>645</v>
      </c>
      <c r="C14" s="803">
        <f ca="1">INDIRECT("'数据-取费表'!m"&amp;$G$1)+INDIRECT("'数据-取费表'!t"&amp;$G$1)</f>
        <v>5078</v>
      </c>
      <c r="D14" s="1979" t="s">
        <v>1746</v>
      </c>
      <c r="E14" s="1980"/>
      <c r="F14" s="804"/>
      <c r="G14" s="1592"/>
      <c r="H14" s="1649" t="s">
        <v>1831</v>
      </c>
      <c r="I14" s="2231" t="s">
        <v>2827</v>
      </c>
      <c r="J14" s="53">
        <f ca="1">C29</f>
        <v>7387</v>
      </c>
      <c r="K14" s="26"/>
      <c r="L14" s="800"/>
      <c r="M14" s="801"/>
    </row>
    <row r="15" spans="1:33" s="2064" customFormat="1" ht="18" customHeight="1" thickBot="1">
      <c r="A15" s="1648" t="s">
        <v>1886</v>
      </c>
      <c r="B15" s="783" t="s">
        <v>647</v>
      </c>
      <c r="C15" s="53">
        <f ca="1">ROUND(C14*F15,0)</f>
        <v>254</v>
      </c>
      <c r="D15" s="805" t="s">
        <v>1747</v>
      </c>
      <c r="E15" s="805" t="s">
        <v>1748</v>
      </c>
      <c r="F15" s="806">
        <f>'数据-取费表'!B33</f>
        <v>0.05</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9" t="s">
        <v>1749</v>
      </c>
      <c r="I16" s="1827" t="s">
        <v>1750</v>
      </c>
      <c r="J16" s="791">
        <f ca="1">ROUND(J17+J22+J23+J24,0)</f>
        <v>733</v>
      </c>
      <c r="K16" s="1821" t="s">
        <v>1751</v>
      </c>
      <c r="L16" s="2465"/>
      <c r="M16" s="2470"/>
    </row>
    <row r="17" spans="1:33" s="2064" customFormat="1" ht="18" customHeight="1">
      <c r="A17" s="1648" t="s">
        <v>1888</v>
      </c>
      <c r="B17" s="783" t="s">
        <v>653</v>
      </c>
      <c r="C17" s="53">
        <f ca="1">ROUND(F17*(F43+INDIRECT("'数据-取费表'!S"&amp;$G$1))/10000,0)</f>
        <v>175</v>
      </c>
      <c r="D17" s="783" t="s">
        <v>1752</v>
      </c>
      <c r="E17" s="783" t="s">
        <v>1753</v>
      </c>
      <c r="F17" s="56">
        <f>'数据-取费表'!B35</f>
        <v>200</v>
      </c>
      <c r="G17" s="1593"/>
      <c r="H17" s="1649" t="s">
        <v>1831</v>
      </c>
      <c r="I17" s="783" t="s">
        <v>656</v>
      </c>
      <c r="J17" s="53">
        <f ca="1">ROUND(IF(项目基本情况!B11="自然人",J5*M17,J18+J19+J20),0)</f>
        <v>622</v>
      </c>
      <c r="K17" s="2464" t="s">
        <v>1754</v>
      </c>
      <c r="L17" s="2463" t="s">
        <v>1755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3" t="s">
        <v>659</v>
      </c>
      <c r="C18" s="53">
        <f ca="1">ROUND(C14*F18,0)</f>
        <v>76</v>
      </c>
      <c r="D18" s="783" t="s">
        <v>1747</v>
      </c>
      <c r="E18" s="783" t="s">
        <v>1748</v>
      </c>
      <c r="F18" s="808">
        <f>'数据-取费表'!B36</f>
        <v>1.4999999999999999E-2</v>
      </c>
      <c r="G18" s="1593"/>
      <c r="H18" s="1648" t="s">
        <v>1885</v>
      </c>
      <c r="I18" s="783" t="s">
        <v>1756</v>
      </c>
      <c r="J18" s="53">
        <f ca="1">ROUND(J5*M18/1.05,1)</f>
        <v>0</v>
      </c>
      <c r="K18" s="2463" t="s">
        <v>1757</v>
      </c>
      <c r="L18" s="783" t="s">
        <v>1748</v>
      </c>
      <c r="M18" s="808">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3" t="s">
        <v>662</v>
      </c>
      <c r="C19" s="53">
        <f ca="1">SUM(C14:C18)</f>
        <v>5583</v>
      </c>
      <c r="D19" s="260" t="s">
        <v>1758</v>
      </c>
      <c r="E19" s="1982"/>
      <c r="F19" s="56"/>
      <c r="G19" s="1592"/>
      <c r="H19" s="1648" t="s">
        <v>1886</v>
      </c>
      <c r="I19" s="783" t="s">
        <v>1759</v>
      </c>
      <c r="J19" s="53">
        <f ca="1">IF(K19="按租金收入计税",ROUND(J5*M19,1),ROUND(C29*F33*0.7,1))</f>
        <v>620.5</v>
      </c>
      <c r="K19" s="810" t="s">
        <v>665</v>
      </c>
      <c r="L19" s="783" t="s">
        <v>1748</v>
      </c>
      <c r="M19" s="808">
        <f>IF(K19="按租金收入计税",'数据-取费表'!B51,'数据-取费表'!B50)</f>
        <v>1.2E-2</v>
      </c>
    </row>
    <row r="20" spans="1:33" s="2064" customFormat="1" ht="18" customHeight="1">
      <c r="A20" s="1649" t="s">
        <v>1890</v>
      </c>
      <c r="B20" s="783" t="s">
        <v>666</v>
      </c>
      <c r="C20" s="53">
        <f ca="1">ROUND(C19*F20,0)</f>
        <v>167</v>
      </c>
      <c r="D20" s="811" t="s">
        <v>1760</v>
      </c>
      <c r="E20" s="783" t="s">
        <v>1748</v>
      </c>
      <c r="F20" s="808">
        <f>'数据-取费表'!B37</f>
        <v>0.03</v>
      </c>
      <c r="G20" s="1593"/>
      <c r="H20" s="1651" t="s">
        <v>1881</v>
      </c>
      <c r="I20" s="340" t="s">
        <v>1761</v>
      </c>
      <c r="J20" s="54">
        <f ca="1">ROUND(M20*M21/10000,0)</f>
        <v>1</v>
      </c>
      <c r="K20" s="813" t="s">
        <v>1762</v>
      </c>
      <c r="L20" s="783" t="s">
        <v>1763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3" t="s">
        <v>1764</v>
      </c>
      <c r="C21" s="53" t="s">
        <v>1765</v>
      </c>
      <c r="D21" s="811" t="s">
        <v>2299</v>
      </c>
      <c r="E21" s="783" t="s">
        <v>1766</v>
      </c>
      <c r="F21" s="808">
        <f>'数据-取费表'!B38</f>
        <v>0.03</v>
      </c>
      <c r="G21" s="1593"/>
      <c r="H21" s="2485"/>
      <c r="I21" s="792"/>
      <c r="J21" s="69"/>
      <c r="K21" s="815"/>
      <c r="L21" s="783" t="s">
        <v>1767</v>
      </c>
      <c r="M21" s="784">
        <f ca="1">INDIRECT("'数据-取费表'!r"&amp;$G$1)</f>
        <v>4385.63</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3" t="s">
        <v>1768</v>
      </c>
      <c r="C22" s="53"/>
      <c r="D22" s="2551" t="str">
        <f>IF(F23&lt;=1,"单利计息。","复利计息。")&amp;"建造成本、管理费用、销售费用产生的利息。"</f>
        <v>复利计息。建造成本、管理费用、销售费用产生的利息。</v>
      </c>
      <c r="E22" s="1982"/>
      <c r="F22" s="56"/>
      <c r="G22" s="1592"/>
      <c r="H22" s="1649" t="s">
        <v>1890</v>
      </c>
      <c r="I22" s="783" t="s">
        <v>1769</v>
      </c>
      <c r="J22" s="53">
        <f ca="1">ROUND(J14*M22,0)</f>
        <v>111</v>
      </c>
      <c r="K22" s="2463" t="s">
        <v>1770</v>
      </c>
      <c r="L22" s="783" t="s">
        <v>1748</v>
      </c>
      <c r="M22" s="816">
        <f ca="1">INDIRECT("'数据-取费表'!Ak"&amp;$G$1)</f>
        <v>1.4999999999999999E-2</v>
      </c>
    </row>
    <row r="23" spans="1:33" s="2064" customFormat="1" ht="18" customHeight="1">
      <c r="A23" s="1648" t="s">
        <v>1832</v>
      </c>
      <c r="B23" s="783" t="s">
        <v>2536</v>
      </c>
      <c r="C23" s="53">
        <f ca="1">ROUND(IF('数据-取费表'!B22&lt;=1,(C19+C20)*F24*F23/2,(C19+C20)*(POWER((1+F24),F23/2)-1)),0)</f>
        <v>415</v>
      </c>
      <c r="D23" s="2550" t="str">
        <f>IF(F23&lt;=1,"(建造成本+管理费用)×利率×(建设周期÷2)","(建造成本+管理费用)×((1+利率)^(建设周期÷2)-1)")</f>
        <v>(建造成本+管理费用)×((1+利率)^(建设周期÷2)-1)</v>
      </c>
      <c r="E23" s="783" t="s">
        <v>1771</v>
      </c>
      <c r="F23" s="639">
        <f>'数据-取费表'!B20</f>
        <v>3</v>
      </c>
      <c r="G23" s="1593"/>
      <c r="H23" s="1649" t="s">
        <v>1891</v>
      </c>
      <c r="I23" s="783" t="s">
        <v>679</v>
      </c>
      <c r="J23" s="53">
        <f ca="1">ROUND(J13*M23,0)</f>
        <v>0</v>
      </c>
      <c r="K23" s="2463" t="s">
        <v>1772</v>
      </c>
      <c r="L23" s="783" t="s">
        <v>1748</v>
      </c>
      <c r="M23" s="817">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3" t="s">
        <v>1773</v>
      </c>
      <c r="C24" s="53">
        <f ca="1">ROUND(IF('数据-取费表'!B22&lt;=1,F21*F24*F23/2,F21*(POWER((1+F24),F23/2)-1)),4)</f>
        <v>2.2000000000000001E-3</v>
      </c>
      <c r="D24" s="2550" t="str">
        <f>IF(F23&lt;=1,"销售费用×利率×(建设周期÷2)","销售费用×((1+利率)^(建设周期÷2)-1)")</f>
        <v>销售费用×((1+利率)^(建设周期÷2)-1)</v>
      </c>
      <c r="E24" s="783" t="s">
        <v>1774</v>
      </c>
      <c r="F24" s="818">
        <f ca="1">'数据-取费表'!B40</f>
        <v>4.7500000000000001E-2</v>
      </c>
      <c r="G24" s="1593"/>
      <c r="H24" s="2530" t="s">
        <v>1892</v>
      </c>
      <c r="I24" s="2525" t="s">
        <v>666</v>
      </c>
      <c r="J24" s="2523">
        <f ca="1">ROUND(J5*M24,0)</f>
        <v>0</v>
      </c>
      <c r="K24" s="2524" t="s">
        <v>1775</v>
      </c>
      <c r="L24" s="2525" t="s">
        <v>1748</v>
      </c>
      <c r="M24" s="2521">
        <f ca="1">INDIRECT("'数据-取费表'!Am"&amp;$G$1)</f>
        <v>1.4999999999999999E-2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3" t="s">
        <v>684</v>
      </c>
      <c r="C25" s="53"/>
      <c r="D25" s="260" t="s">
        <v>1776</v>
      </c>
      <c r="E25" s="1982"/>
      <c r="F25" s="56"/>
      <c r="G25" s="1592"/>
      <c r="H25" s="1829" t="s">
        <v>1777</v>
      </c>
      <c r="I25" s="2985" t="s">
        <v>2823</v>
      </c>
      <c r="J25" s="791">
        <f ca="1">J5-J16</f>
        <v>-733</v>
      </c>
      <c r="K25" s="2527" t="s">
        <v>1778</v>
      </c>
      <c r="L25" s="2528"/>
      <c r="M25" s="2529"/>
    </row>
    <row r="26" spans="1:33" ht="18" customHeight="1">
      <c r="A26" s="1648" t="s">
        <v>1832</v>
      </c>
      <c r="B26" s="783" t="s">
        <v>2439</v>
      </c>
      <c r="C26" s="53">
        <f ca="1">ROUND((C19+C20)*F26,0)</f>
        <v>575</v>
      </c>
      <c r="D26" s="811" t="s">
        <v>1779</v>
      </c>
      <c r="E26" s="794" t="s">
        <v>1780</v>
      </c>
      <c r="F26" s="793">
        <f ca="1">INDIRECT("'数据-取费表'!q"&amp;$G$1)</f>
        <v>0.1</v>
      </c>
      <c r="G26" s="1592"/>
      <c r="H26" s="2481" t="s">
        <v>1781</v>
      </c>
      <c r="I26" s="2232" t="s">
        <v>2828</v>
      </c>
      <c r="J26" s="782">
        <f ca="1">IF(J5&lt;&gt;0,ROUND(J25*(1-((1+M28)/(1+M26))^M27)/(M26-M28),0),0)</f>
        <v>0</v>
      </c>
      <c r="K26" s="813" t="s">
        <v>1782</v>
      </c>
      <c r="L26" s="783" t="s">
        <v>2420</v>
      </c>
      <c r="M26" s="793">
        <f ca="1">INDIRECT("'数据-取费表'!I"&amp;$G$1)</f>
        <v>0.05</v>
      </c>
    </row>
    <row r="27" spans="1:33" ht="18" customHeight="1">
      <c r="A27" s="1648" t="s">
        <v>1833</v>
      </c>
      <c r="B27" s="783" t="s">
        <v>686</v>
      </c>
      <c r="C27" s="53">
        <f ca="1">ROUND(F21*F26,4)</f>
        <v>3.0000000000000001E-3</v>
      </c>
      <c r="D27" s="811" t="s">
        <v>1783</v>
      </c>
      <c r="E27" s="805"/>
      <c r="F27" s="806"/>
      <c r="G27" s="1592"/>
      <c r="H27" s="2482"/>
      <c r="I27" s="786"/>
      <c r="J27" s="787"/>
      <c r="K27" s="820" t="s">
        <v>1784</v>
      </c>
      <c r="L27" s="783" t="s">
        <v>1785</v>
      </c>
      <c r="M27" s="821">
        <f ca="1">INDIRECT("'数据-取费表'!ag"&amp;$G$1)</f>
        <v>0</v>
      </c>
    </row>
    <row r="28" spans="1:33" s="2064" customFormat="1" ht="18" customHeight="1">
      <c r="A28" s="1650" t="s">
        <v>1842</v>
      </c>
      <c r="B28" s="783" t="s">
        <v>687</v>
      </c>
      <c r="C28" s="53">
        <f>ROUND(F28/(1+'数据-取费表'!C42),4)</f>
        <v>5.2400000000000002E-2</v>
      </c>
      <c r="D28" s="811" t="s">
        <v>2300</v>
      </c>
      <c r="E28" s="783" t="s">
        <v>1786</v>
      </c>
      <c r="F28" s="808">
        <f>'数据-取费表'!B41</f>
        <v>5.5000000000000007E-2</v>
      </c>
      <c r="G28" s="1593"/>
      <c r="H28" s="1829"/>
      <c r="I28" s="790"/>
      <c r="J28" s="791"/>
      <c r="K28" s="815"/>
      <c r="L28" s="783" t="s">
        <v>1787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7387</v>
      </c>
      <c r="D29" s="2524"/>
      <c r="E29" s="2525"/>
      <c r="F29" s="2526"/>
      <c r="G29" s="1593"/>
      <c r="H29" s="822" t="s">
        <v>1788</v>
      </c>
      <c r="I29" s="823" t="s">
        <v>1789</v>
      </c>
      <c r="J29" s="824">
        <f ca="1">ROUND(J26/(1+F40)^F41,0)</f>
        <v>0</v>
      </c>
      <c r="K29" s="825" t="s">
        <v>1790</v>
      </c>
      <c r="L29" s="826"/>
      <c r="M29" s="827">
        <f ca="1">INDIRECT("'数据-取费表'!k"&amp;$G$1)</f>
        <v>8755.64</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191</v>
      </c>
      <c r="D30" s="1821" t="s">
        <v>1792</v>
      </c>
      <c r="E30" s="2465"/>
      <c r="F30" s="2470"/>
      <c r="G30" s="2062"/>
      <c r="H30" s="2065"/>
      <c r="I30" s="2066"/>
      <c r="J30" s="2067"/>
      <c r="K30" s="2068"/>
      <c r="L30" s="2069"/>
      <c r="M30" s="2070"/>
    </row>
    <row r="31" spans="1:33" ht="18" customHeight="1">
      <c r="A31" s="1649" t="s">
        <v>1831</v>
      </c>
      <c r="B31" s="783" t="s">
        <v>656</v>
      </c>
      <c r="C31" s="53">
        <f ca="1">ROUND(IF(项目基本情况!B11="自然人",C5*F31,C32+C33+C34),1)</f>
        <v>60.2</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3" t="s">
        <v>1795</v>
      </c>
      <c r="C32" s="53">
        <f ca="1">ROUND(C5*F32/1.05,1)</f>
        <v>18.100000000000001</v>
      </c>
      <c r="D32" s="1977" t="s">
        <v>1796</v>
      </c>
      <c r="E32" s="783" t="s">
        <v>1797</v>
      </c>
      <c r="F32" s="808">
        <f>'数据-取费表'!B41</f>
        <v>5.5000000000000007E-2</v>
      </c>
      <c r="G32" s="2062"/>
      <c r="H32" s="2071"/>
      <c r="I32" s="2072"/>
      <c r="J32" s="2073"/>
      <c r="K32" s="2074"/>
      <c r="L32" s="2075"/>
      <c r="M32" s="2076"/>
    </row>
    <row r="33" spans="1:18" ht="18" customHeight="1">
      <c r="A33" s="1648" t="s">
        <v>1833</v>
      </c>
      <c r="B33" s="783" t="s">
        <v>1798</v>
      </c>
      <c r="C33" s="53">
        <f ca="1">IF(D33="按租金收入计税",ROUND(C5*F33,1),IF(D33="按房产原值计税",ROUND(C29*F33*0.7,1),INDIRECT("'数据-取费表'!Aj"&amp;$G$1)))</f>
        <v>41.4</v>
      </c>
      <c r="D33" s="810" t="s">
        <v>3042</v>
      </c>
      <c r="E33" s="783" t="s">
        <v>1797</v>
      </c>
      <c r="F33" s="808">
        <f>IF(D33="按租金收入计税",'数据-取费表'!B51,'数据-取费表'!B50)</f>
        <v>0.12</v>
      </c>
      <c r="G33" s="2062"/>
      <c r="H33" s="2077"/>
      <c r="I33" s="2077"/>
      <c r="J33" s="2077"/>
      <c r="K33" s="2078"/>
      <c r="L33" s="2077"/>
      <c r="M33" s="2077"/>
    </row>
    <row r="34" spans="1:18" ht="18" customHeight="1">
      <c r="A34" s="1651" t="s">
        <v>1834</v>
      </c>
      <c r="B34" s="340" t="s">
        <v>1799</v>
      </c>
      <c r="C34" s="54">
        <f ca="1">ROUND(F34*F35/10000,1)</f>
        <v>0.7</v>
      </c>
      <c r="D34" s="813" t="s">
        <v>1800</v>
      </c>
      <c r="E34" s="783" t="s">
        <v>1801</v>
      </c>
      <c r="F34" s="639">
        <f>'数据-取费表'!B52</f>
        <v>1.5</v>
      </c>
      <c r="G34" s="2062"/>
      <c r="H34" s="2065"/>
      <c r="I34" s="834" t="s">
        <v>1814</v>
      </c>
      <c r="J34" s="835"/>
      <c r="K34" s="2080"/>
      <c r="L34" s="2079"/>
      <c r="M34" s="2079"/>
    </row>
    <row r="35" spans="1:18" ht="18" customHeight="1">
      <c r="A35" s="814"/>
      <c r="B35" s="792"/>
      <c r="C35" s="69"/>
      <c r="D35" s="815"/>
      <c r="E35" s="783" t="s">
        <v>1802</v>
      </c>
      <c r="F35" s="784">
        <f ca="1">INDIRECT("'数据-取费表'!r"&amp;$G$1)</f>
        <v>4385.63</v>
      </c>
      <c r="G35" s="2062"/>
      <c r="H35" s="2065"/>
      <c r="I35" s="836" t="s">
        <v>1815</v>
      </c>
      <c r="J35" s="837">
        <f ca="1">ROUND(C13*J36,0)</f>
        <v>591</v>
      </c>
      <c r="K35" s="2078"/>
      <c r="L35" s="2077"/>
      <c r="M35" s="2077"/>
    </row>
    <row r="36" spans="1:18" ht="18" customHeight="1">
      <c r="A36" s="1649" t="s">
        <v>1890</v>
      </c>
      <c r="B36" s="783" t="s">
        <v>1803</v>
      </c>
      <c r="C36" s="53">
        <f ca="1">ROUND(C29*F36,1)</f>
        <v>110.8</v>
      </c>
      <c r="D36" s="1977" t="s">
        <v>1804</v>
      </c>
      <c r="E36" s="783" t="s">
        <v>1797</v>
      </c>
      <c r="F36" s="816">
        <f ca="1">INDIRECT("'数据-取费表'!Ak"&amp;$G$1)</f>
        <v>1.4999999999999999E-2</v>
      </c>
      <c r="G36" s="2062"/>
      <c r="H36" s="2077"/>
      <c r="I36" s="838" t="s">
        <v>1816</v>
      </c>
      <c r="J36" s="839">
        <f ca="1">INDIRECT("'数据-取费表'!j"&amp;$G$1)</f>
        <v>0.08</v>
      </c>
      <c r="K36" s="2082"/>
      <c r="L36" s="2077"/>
      <c r="M36" s="2077"/>
    </row>
    <row r="37" spans="1:18" ht="18" customHeight="1">
      <c r="A37" s="1649" t="s">
        <v>1891</v>
      </c>
      <c r="B37" s="783" t="s">
        <v>679</v>
      </c>
      <c r="C37" s="53">
        <f ca="1">ROUND(C13*F37,1)</f>
        <v>14.8</v>
      </c>
      <c r="D37" s="1977" t="s">
        <v>1805</v>
      </c>
      <c r="E37" s="783" t="s">
        <v>1797</v>
      </c>
      <c r="F37" s="817">
        <f ca="1">INDIRECT("'数据-取费表'!Al"&amp;$G$1)</f>
        <v>2E-3</v>
      </c>
      <c r="G37" s="2062"/>
      <c r="H37" s="2077"/>
      <c r="I37" s="840" t="s">
        <v>1817</v>
      </c>
      <c r="J37" s="841"/>
      <c r="K37" s="2082"/>
      <c r="L37" s="2077"/>
      <c r="M37" s="2077"/>
    </row>
    <row r="38" spans="1:18" ht="18" customHeight="1" thickBot="1">
      <c r="A38" s="2530" t="s">
        <v>1892</v>
      </c>
      <c r="B38" s="2525" t="s">
        <v>666</v>
      </c>
      <c r="C38" s="2523">
        <f ca="1">ROUND(C5*F38,1)</f>
        <v>5.2</v>
      </c>
      <c r="D38" s="2524" t="s">
        <v>1806</v>
      </c>
      <c r="E38" s="2525" t="s">
        <v>1797</v>
      </c>
      <c r="F38" s="2521">
        <f ca="1">INDIRECT("'数据-取费表'!Am"&amp;$G$1)</f>
        <v>1.4999999999999999E-2</v>
      </c>
      <c r="G38" s="2062"/>
      <c r="H38" s="2077"/>
      <c r="I38" s="842" t="s">
        <v>1818</v>
      </c>
      <c r="J38" s="843"/>
      <c r="K38" s="2083"/>
      <c r="L38" s="2077"/>
      <c r="M38" s="2077"/>
    </row>
    <row r="39" spans="1:18" ht="24.6" customHeight="1" thickTop="1">
      <c r="A39" s="1829" t="s">
        <v>1895</v>
      </c>
      <c r="B39" s="2985" t="s">
        <v>2823</v>
      </c>
      <c r="C39" s="791">
        <f ca="1">C5-C30</f>
        <v>154</v>
      </c>
      <c r="D39" s="2527" t="s">
        <v>1807</v>
      </c>
      <c r="E39" s="2528"/>
      <c r="F39" s="2529"/>
      <c r="G39" s="2062"/>
      <c r="H39" s="2077"/>
      <c r="I39" s="836" t="s">
        <v>1819</v>
      </c>
      <c r="J39" s="844">
        <f ca="1">ROUND(J35/C39,3)</f>
        <v>3.8380000000000001</v>
      </c>
      <c r="K39" s="2083"/>
      <c r="L39" s="2077"/>
      <c r="M39" s="2077"/>
    </row>
    <row r="40" spans="1:18" ht="18" customHeight="1">
      <c r="A40" s="780" t="s">
        <v>1896</v>
      </c>
      <c r="B40" s="2232" t="s">
        <v>2302</v>
      </c>
      <c r="C40" s="782">
        <f ca="1">ROUND(C39*(1-((1+F42)/(1+F40))^F41)/(F40-F42),0)</f>
        <v>3809</v>
      </c>
      <c r="D40" s="813" t="s">
        <v>1808</v>
      </c>
      <c r="E40" s="783" t="s">
        <v>2420</v>
      </c>
      <c r="F40" s="793">
        <f ca="1">INDIRECT("'数据-取费表'!I"&amp;$G$1)</f>
        <v>0.05</v>
      </c>
      <c r="G40" s="2062"/>
      <c r="H40" s="2062"/>
      <c r="I40" s="836" t="s">
        <v>1820</v>
      </c>
      <c r="J40" s="844">
        <f ca="1">1-J39</f>
        <v>-2.8380000000000001</v>
      </c>
      <c r="K40" s="2083"/>
      <c r="L40" s="2062"/>
      <c r="M40" s="2062"/>
    </row>
    <row r="41" spans="1:18" ht="18" customHeight="1">
      <c r="A41" s="785"/>
      <c r="B41" s="786"/>
      <c r="C41" s="787"/>
      <c r="D41" s="820" t="s">
        <v>1809</v>
      </c>
      <c r="E41" s="783" t="s">
        <v>2968</v>
      </c>
      <c r="F41" s="821">
        <f ca="1">IF(INDIRECT("'数据-取费表'!af"&amp;$G$1)=0,INDIRECT("'数据-取费表'!ae"&amp;$G$1),INDIRECT("'数据-取费表'!af"&amp;$G$1))</f>
        <v>46.73</v>
      </c>
      <c r="G41" s="2062"/>
      <c r="H41" s="1988"/>
      <c r="I41" s="842" t="s">
        <v>1821</v>
      </c>
      <c r="J41" s="845"/>
      <c r="K41" s="2082"/>
      <c r="L41" s="1988"/>
      <c r="M41" s="1988"/>
    </row>
    <row r="42" spans="1:18" ht="18" customHeight="1">
      <c r="A42" s="789"/>
      <c r="B42" s="790"/>
      <c r="C42" s="791"/>
      <c r="D42" s="815"/>
      <c r="E42" s="783" t="s">
        <v>1810</v>
      </c>
      <c r="F42" s="793">
        <f ca="1">INDIRECT("'数据-取费表'!v"&amp;$G$1)</f>
        <v>0.02</v>
      </c>
      <c r="G42" s="2062"/>
      <c r="H42" s="1988"/>
      <c r="I42" s="846" t="s">
        <v>1822</v>
      </c>
      <c r="J42" s="844">
        <f ca="1">ROUND(C13/C40,3)</f>
        <v>1.9390000000000001</v>
      </c>
      <c r="K42" s="2082"/>
      <c r="L42" s="1988"/>
      <c r="M42" s="1988"/>
    </row>
    <row r="43" spans="1:18" ht="18" customHeight="1" thickBot="1">
      <c r="A43" s="822" t="s">
        <v>1788</v>
      </c>
      <c r="B43" s="823" t="s">
        <v>1811</v>
      </c>
      <c r="C43" s="824">
        <f ca="1">ROUND(C40*10000/F43,0)</f>
        <v>4350</v>
      </c>
      <c r="D43" s="825" t="s">
        <v>1812</v>
      </c>
      <c r="E43" s="826" t="s">
        <v>1813</v>
      </c>
      <c r="F43" s="827">
        <f ca="1">INDIRECT("'数据-取费表'!k"&amp;$G$1)</f>
        <v>8755.64</v>
      </c>
      <c r="G43" s="2062"/>
      <c r="H43" s="1988"/>
      <c r="I43" s="846" t="s">
        <v>1823</v>
      </c>
      <c r="J43" s="847">
        <f ca="1">1-J42</f>
        <v>-0.93900000000000006</v>
      </c>
      <c r="K43" s="2082"/>
      <c r="L43" s="1988"/>
      <c r="M43" s="1988"/>
    </row>
    <row r="44" spans="1:18" s="2059" customFormat="1" ht="18" customHeight="1">
      <c r="A44" s="2085"/>
      <c r="B44" s="2085"/>
      <c r="C44" s="2102">
        <f ca="1">C43*35/10000</f>
        <v>15.225</v>
      </c>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-6071</v>
      </c>
      <c r="D46" s="2085"/>
      <c r="E46" s="2085"/>
      <c r="F46" s="2085"/>
      <c r="I46" s="2357" t="s">
        <v>2344</v>
      </c>
      <c r="J46" s="2358"/>
      <c r="K46" s="2359"/>
      <c r="L46" s="3131">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1" t="s">
        <v>2345</v>
      </c>
      <c r="J47" s="2360" t="s">
        <v>3043</v>
      </c>
      <c r="K47" s="3128" t="s">
        <v>2350</v>
      </c>
      <c r="L47" s="3132">
        <f ca="1">INDIRECT("'数据-取费表'!d"&amp;$G$1)</f>
        <v>50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0" t="s">
        <v>2346</v>
      </c>
      <c r="J48" s="2361" t="s">
        <v>2351</v>
      </c>
      <c r="K48" s="3129" t="s">
        <v>2352</v>
      </c>
      <c r="L48" s="1908">
        <f ca="1">INDIRECT("'数据-取费表'!f"&amp;$G$1)</f>
        <v>49.73</v>
      </c>
      <c r="O48" s="2377" t="s">
        <v>2380</v>
      </c>
      <c r="P48" s="2378" t="s">
        <v>2406</v>
      </c>
      <c r="Q48" s="2379">
        <f ca="1">C40+J29</f>
        <v>3809</v>
      </c>
      <c r="R48" s="2378" t="s">
        <v>2381</v>
      </c>
    </row>
    <row r="49" spans="1:18" s="2059" customFormat="1" ht="18" customHeight="1" thickBot="1">
      <c r="A49" s="785"/>
      <c r="B49" s="786"/>
      <c r="C49" s="787"/>
      <c r="D49" s="788"/>
      <c r="E49" s="783" t="s">
        <v>1740</v>
      </c>
      <c r="F49" s="784">
        <f ca="1">F7</f>
        <v>8755.64</v>
      </c>
      <c r="G49" s="2090"/>
      <c r="H49" s="2093"/>
      <c r="I49" s="3100" t="s">
        <v>2347</v>
      </c>
      <c r="J49" s="2362"/>
      <c r="K49" s="3130" t="s">
        <v>2353</v>
      </c>
      <c r="L49" s="2363"/>
      <c r="O49" s="2377" t="s">
        <v>2382</v>
      </c>
      <c r="P49" s="2378" t="s">
        <v>2407</v>
      </c>
      <c r="Q49" s="2379" t="str">
        <f ca="1">J60</f>
        <v>0</v>
      </c>
      <c r="R49" s="2378" t="s">
        <v>2383</v>
      </c>
    </row>
    <row r="50" spans="1:18" s="2059" customFormat="1" ht="18" customHeight="1" thickBot="1">
      <c r="A50" s="785"/>
      <c r="B50" s="786"/>
      <c r="C50" s="787"/>
      <c r="D50" s="788"/>
      <c r="E50" s="783" t="s">
        <v>1741</v>
      </c>
      <c r="F50" s="784">
        <f ca="1">F8</f>
        <v>365</v>
      </c>
      <c r="G50" s="2095"/>
      <c r="H50" s="2093"/>
      <c r="I50" s="3100" t="s">
        <v>2348</v>
      </c>
      <c r="J50" s="3125">
        <f>SUMPRODUCT((I63:I65=J47)*(J62:L62=J48)*(J63:L65))</f>
        <v>60</v>
      </c>
      <c r="K50" s="3130" t="s">
        <v>2354</v>
      </c>
      <c r="L50" s="2363"/>
      <c r="O50" s="2380" t="s">
        <v>2384</v>
      </c>
      <c r="P50" s="2378" t="s">
        <v>2408</v>
      </c>
      <c r="Q50" s="2379">
        <f ca="1">C29</f>
        <v>7387</v>
      </c>
      <c r="R50" s="2378" t="s">
        <v>2381</v>
      </c>
    </row>
    <row r="51" spans="1:18" s="2059" customFormat="1" ht="18" customHeight="1" thickBot="1">
      <c r="A51" s="785"/>
      <c r="B51" s="786"/>
      <c r="C51" s="787"/>
      <c r="D51" s="788"/>
      <c r="E51" s="783" t="s">
        <v>640</v>
      </c>
      <c r="F51" s="2350"/>
      <c r="H51" s="2093"/>
      <c r="I51" s="3122" t="s">
        <v>2349</v>
      </c>
      <c r="J51" s="3126">
        <f>IF(J49="",J50,J49+J50-YEAR('数据-取费表'!B2))</f>
        <v>60</v>
      </c>
      <c r="K51" s="3100" t="s">
        <v>2355</v>
      </c>
      <c r="L51" s="3133">
        <f ca="1">ROUND(-PV(INDIRECT("'数据-取费表'!h"&amp;$G$1),L48,(C39-C13*J36),0),0)</f>
        <v>-8622</v>
      </c>
      <c r="O51" s="2380" t="s">
        <v>2385</v>
      </c>
      <c r="P51" s="2378" t="s">
        <v>2386</v>
      </c>
      <c r="Q51" s="2381" t="e">
        <f ca="1">J58</f>
        <v>#VALUE!</v>
      </c>
      <c r="R51" s="2382"/>
    </row>
    <row r="52" spans="1:18" s="2059" customFormat="1" ht="18" customHeight="1" thickBot="1">
      <c r="A52" s="780" t="s">
        <v>2537</v>
      </c>
      <c r="B52" s="2473" t="s">
        <v>2460</v>
      </c>
      <c r="C52" s="798">
        <f ca="1">ROUND(IF(F52="押一",C48/12*F11,IF(F52="押二",C48/12*2*F11,IF(F52="押三",C48/12*3*F11,C53*F11))),0)</f>
        <v>0</v>
      </c>
      <c r="D52" s="2480" t="s">
        <v>2979</v>
      </c>
      <c r="E52" s="2477" t="s">
        <v>2465</v>
      </c>
      <c r="F52" s="2600"/>
      <c r="I52" s="3123" t="s">
        <v>2422</v>
      </c>
      <c r="J52" s="2364"/>
      <c r="K52" s="3123" t="s">
        <v>2421</v>
      </c>
      <c r="L52" s="2364"/>
      <c r="O52" s="2380" t="s">
        <v>2387</v>
      </c>
      <c r="P52" s="2378" t="s">
        <v>2388</v>
      </c>
      <c r="Q52" s="2381">
        <f>J52</f>
        <v>0</v>
      </c>
      <c r="R52" s="2382"/>
    </row>
    <row r="53" spans="1:18" s="2059" customFormat="1" ht="39.75" customHeight="1" thickBot="1">
      <c r="A53" s="785"/>
      <c r="B53" s="2474" t="s">
        <v>2574</v>
      </c>
      <c r="C53" s="2478"/>
      <c r="D53" s="2480"/>
      <c r="E53" s="2477"/>
      <c r="F53" s="799"/>
      <c r="I53" s="3124" t="s">
        <v>2982</v>
      </c>
      <c r="J53" s="3127">
        <f ca="1">IF(M47="住宅",IF(D1="——",MAX(J51,L48),MAX(J51,L48-'数据-取费表'!B20)),IF(D1="——",MIN(J51,L48),MIN(J51,L48-'数据-取费表'!B20)))</f>
        <v>46.73</v>
      </c>
      <c r="K53" s="3445" t="s">
        <v>2970</v>
      </c>
      <c r="L53" s="3446"/>
      <c r="O53" s="2380" t="s">
        <v>2389</v>
      </c>
      <c r="P53" s="2378" t="s">
        <v>2390</v>
      </c>
      <c r="Q53" s="2379">
        <f ca="1">J53</f>
        <v>46.73</v>
      </c>
      <c r="R53" s="2378" t="s">
        <v>2391</v>
      </c>
    </row>
    <row r="54" spans="1:18" s="2059" customFormat="1" ht="18" customHeight="1" thickBot="1">
      <c r="A54" s="2516" t="s">
        <v>2468</v>
      </c>
      <c r="B54" s="2517" t="s">
        <v>2461</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3809</v>
      </c>
      <c r="R54" s="2382" t="s">
        <v>2393</v>
      </c>
    </row>
    <row r="55" spans="1:18" s="2059" customFormat="1" ht="18" customHeight="1" thickTop="1" thickBot="1">
      <c r="A55" s="796">
        <v>2</v>
      </c>
      <c r="B55" s="797" t="s">
        <v>644</v>
      </c>
      <c r="C55" s="798">
        <f ca="1">C13</f>
        <v>7387</v>
      </c>
      <c r="D55" s="794"/>
      <c r="E55" s="794"/>
      <c r="F55" s="799"/>
      <c r="I55" s="3136" t="s">
        <v>2356</v>
      </c>
      <c r="J55" s="3075" t="e">
        <f ca="1">ROUND(IF(J47="钢混",J57/J50,1-(1-2%)*(J50-J57)/J50),3)</f>
        <v>#VALUE!</v>
      </c>
      <c r="K55" s="3137" t="s">
        <v>2357</v>
      </c>
      <c r="L55" s="2365"/>
      <c r="O55" s="2383" t="s">
        <v>2412</v>
      </c>
      <c r="P55" s="1592"/>
      <c r="Q55" s="1604"/>
      <c r="R55" s="1592"/>
    </row>
    <row r="56" spans="1:18" s="2059" customFormat="1" ht="42.75" customHeight="1" thickBot="1">
      <c r="A56" s="1650"/>
      <c r="B56" s="2231" t="s">
        <v>2303</v>
      </c>
      <c r="C56" s="53">
        <f ca="1">C29</f>
        <v>7387</v>
      </c>
      <c r="D56" s="2618"/>
      <c r="E56" s="783"/>
      <c r="F56" s="808"/>
      <c r="I56" s="3138" t="s">
        <v>2358</v>
      </c>
      <c r="J56" s="3148" t="s">
        <v>1679</v>
      </c>
      <c r="K56" s="3100" t="s">
        <v>2363</v>
      </c>
      <c r="L56" s="1908" t="str">
        <f ca="1">IF(L48&lt;J51,"——",L48-J51)</f>
        <v>——</v>
      </c>
      <c r="O56" s="2374" t="s">
        <v>2376</v>
      </c>
      <c r="P56" s="2375" t="s">
        <v>2377</v>
      </c>
      <c r="Q56" s="2376" t="s">
        <v>2378</v>
      </c>
      <c r="R56" s="2375" t="s">
        <v>2379</v>
      </c>
    </row>
    <row r="57" spans="1:18" s="2059" customFormat="1" ht="28.5" customHeight="1" thickBot="1">
      <c r="A57" s="796" t="s">
        <v>1749</v>
      </c>
      <c r="B57" s="797" t="s">
        <v>651</v>
      </c>
      <c r="C57" s="798">
        <f ca="1">ROUND(C58+C63+C64+C65,0)</f>
        <v>126</v>
      </c>
      <c r="D57" s="26" t="s">
        <v>1751</v>
      </c>
      <c r="E57" s="2619"/>
      <c r="F57" s="56"/>
      <c r="I57" s="3139" t="s">
        <v>2359</v>
      </c>
      <c r="J57" s="3140" t="str">
        <f ca="1">IF(OR(M47="住宅",J51&lt;L48,J56="是"),"——",J51-L48)</f>
        <v>——</v>
      </c>
      <c r="K57" s="3100" t="s">
        <v>2364</v>
      </c>
      <c r="L57" s="1908" t="str">
        <f ca="1">IF(L48&lt;J51,"——",IF(L55="比较法",L49,IF(L55="基准地价",L50,L51)))</f>
        <v>——</v>
      </c>
      <c r="O57" s="2377" t="s">
        <v>2380</v>
      </c>
      <c r="P57" s="2378" t="s">
        <v>2410</v>
      </c>
      <c r="Q57" s="2379">
        <f ca="1">C40+J29</f>
        <v>3809</v>
      </c>
      <c r="R57" s="2378" t="s">
        <v>2381</v>
      </c>
    </row>
    <row r="58" spans="1:18" s="2059" customFormat="1" ht="28.5" customHeight="1" thickBot="1">
      <c r="A58" s="1649" t="s">
        <v>1825</v>
      </c>
      <c r="B58" s="783" t="s">
        <v>656</v>
      </c>
      <c r="C58" s="53">
        <f ca="1">ROUND(IF(项目基本情况!B11="自然人",C47*F58,C59+C60+C61),1)</f>
        <v>0.7</v>
      </c>
      <c r="D58" s="2617" t="s">
        <v>657</v>
      </c>
      <c r="E58" s="2618" t="s">
        <v>690</v>
      </c>
      <c r="F58" s="809" t="str">
        <f ca="1">IF(项目基本情况!B11="企业","",IF(INDIRECT("'数据-取费表'!c"&amp;$G$1)="住宅",5%,IF(F48*F49*F50/12/(1+'数据-取费表'!C42)&gt;20000,12%,7%)))</f>
        <v/>
      </c>
      <c r="I58" s="3139" t="s">
        <v>2360</v>
      </c>
      <c r="J58" s="3076" t="e">
        <f ca="1">IF(J55&lt;0.4,0.4,J55)</f>
        <v>#VALUE!</v>
      </c>
      <c r="K58" s="3100"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3" t="s">
        <v>660</v>
      </c>
      <c r="C59" s="53">
        <f ca="1">ROUND(C47*F59/1.05,1)</f>
        <v>0</v>
      </c>
      <c r="D59" s="2618" t="s">
        <v>1757</v>
      </c>
      <c r="E59" s="783" t="s">
        <v>1748</v>
      </c>
      <c r="F59" s="808">
        <f t="shared" ref="F59:F65" si="0">F32</f>
        <v>5.5000000000000007E-2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3" t="s">
        <v>1759</v>
      </c>
      <c r="C60" s="53">
        <f ca="1">IF(D60="按租金收入计税",ROUND(C47*F60,1),IF(D60="按房产原值计税",ROUND(C56*F60*0.7,1),INDIRECT("'数据-取费表'!Aj"&amp;$G$1)))</f>
        <v>0</v>
      </c>
      <c r="D60" s="2618" t="str">
        <f>D33</f>
        <v>按租金收入计税</v>
      </c>
      <c r="E60" s="783" t="s">
        <v>1748</v>
      </c>
      <c r="F60" s="808">
        <f t="shared" si="0"/>
        <v>0.12</v>
      </c>
      <c r="I60" s="3141" t="s">
        <v>2362</v>
      </c>
      <c r="J60" s="3142" t="str">
        <f ca="1">IF(OR(M47="住宅",J51&lt;L48,J56="是"),"0",ROUND(J59/(1+J52)^J53,0))</f>
        <v>0</v>
      </c>
      <c r="K60" s="3143" t="s">
        <v>2367</v>
      </c>
      <c r="L60" s="3142">
        <f ca="1">IF(OR(M47="住宅",L48&lt;J51),0,ROUND(L57*(L58/L59-1),0))</f>
        <v>0</v>
      </c>
      <c r="O60" s="2380" t="s">
        <v>2385</v>
      </c>
      <c r="P60" s="2378" t="s">
        <v>2394</v>
      </c>
      <c r="Q60" s="2381">
        <f>L52</f>
        <v>0</v>
      </c>
      <c r="R60" s="2382"/>
    </row>
    <row r="61" spans="1:18" s="2059" customFormat="1" ht="18" customHeight="1" thickBot="1">
      <c r="A61" s="1651" t="s">
        <v>1834</v>
      </c>
      <c r="B61" s="340" t="s">
        <v>668</v>
      </c>
      <c r="C61" s="54">
        <f ca="1">ROUND(F61*F62/10000,1)</f>
        <v>0.7</v>
      </c>
      <c r="D61" s="813" t="s">
        <v>669</v>
      </c>
      <c r="E61" s="783" t="s">
        <v>670</v>
      </c>
      <c r="F61" s="639">
        <f t="shared" si="0"/>
        <v>1.5</v>
      </c>
      <c r="K61" s="2086"/>
      <c r="O61" s="2380" t="s">
        <v>2387</v>
      </c>
      <c r="P61" s="2378" t="s">
        <v>2395</v>
      </c>
      <c r="Q61" s="2379" t="e">
        <f ca="1">L58</f>
        <v>#DIV/0!</v>
      </c>
      <c r="R61" s="2382" t="s">
        <v>2396</v>
      </c>
    </row>
    <row r="62" spans="1:18" s="2059" customFormat="1" ht="15.75" thickBot="1">
      <c r="A62" s="814"/>
      <c r="B62" s="792"/>
      <c r="C62" s="69"/>
      <c r="D62" s="815"/>
      <c r="E62" s="783" t="s">
        <v>674</v>
      </c>
      <c r="F62" s="784">
        <f t="shared" ca="1" si="0"/>
        <v>4385.63</v>
      </c>
      <c r="I62" s="3144" t="s">
        <v>2368</v>
      </c>
      <c r="J62" s="3145" t="s">
        <v>2369</v>
      </c>
      <c r="K62" s="3145" t="s">
        <v>2370</v>
      </c>
      <c r="L62" s="3145" t="s">
        <v>2351</v>
      </c>
      <c r="M62" s="3146" t="s">
        <v>2946</v>
      </c>
      <c r="O62" s="2380" t="s">
        <v>2389</v>
      </c>
      <c r="P62" s="2378" t="str">
        <f>K59</f>
        <v>建设期及建筑物耐用年限下的土地年期修正系数Kn</v>
      </c>
      <c r="Q62" s="2379" t="e">
        <f ca="1">L59</f>
        <v>#DIV/0!</v>
      </c>
      <c r="R62" s="2382" t="s">
        <v>2398</v>
      </c>
    </row>
    <row r="63" spans="1:18" s="2059" customFormat="1" ht="15.75" thickBot="1">
      <c r="A63" s="1649" t="s">
        <v>1890</v>
      </c>
      <c r="B63" s="783" t="s">
        <v>676</v>
      </c>
      <c r="C63" s="53">
        <f ca="1">ROUND(C56*F63,1)</f>
        <v>110.8</v>
      </c>
      <c r="D63" s="2618" t="s">
        <v>1804</v>
      </c>
      <c r="E63" s="783" t="s">
        <v>1748</v>
      </c>
      <c r="F63" s="816">
        <f t="shared" ca="1" si="0"/>
        <v>1.4999999999999999E-2</v>
      </c>
      <c r="I63" s="3144" t="s">
        <v>2371</v>
      </c>
      <c r="J63" s="3145">
        <v>70</v>
      </c>
      <c r="K63" s="3145">
        <v>50</v>
      </c>
      <c r="L63" s="3145">
        <v>80</v>
      </c>
      <c r="M63" s="3147">
        <v>0.02</v>
      </c>
      <c r="O63" s="2377" t="s">
        <v>2392</v>
      </c>
      <c r="P63" s="2378" t="s">
        <v>2409</v>
      </c>
      <c r="Q63" s="2379">
        <f ca="1">Q57+Q58</f>
        <v>3809</v>
      </c>
      <c r="R63" s="2382" t="s">
        <v>2393</v>
      </c>
    </row>
    <row r="64" spans="1:18" s="2059" customFormat="1" ht="16.5" thickBot="1">
      <c r="A64" s="1649" t="s">
        <v>1891</v>
      </c>
      <c r="B64" s="783" t="s">
        <v>679</v>
      </c>
      <c r="C64" s="53">
        <f ca="1">ROUND(C55*F64,1)</f>
        <v>14.8</v>
      </c>
      <c r="D64" s="2618" t="s">
        <v>680</v>
      </c>
      <c r="E64" s="783" t="s">
        <v>1748</v>
      </c>
      <c r="F64" s="817">
        <f t="shared" ca="1" si="0"/>
        <v>2E-3</v>
      </c>
      <c r="I64" s="3144" t="s">
        <v>2372</v>
      </c>
      <c r="J64" s="3145">
        <v>50</v>
      </c>
      <c r="K64" s="3145">
        <v>35</v>
      </c>
      <c r="L64" s="3145">
        <v>60</v>
      </c>
      <c r="M64" s="845">
        <v>0</v>
      </c>
      <c r="O64" s="2383" t="s">
        <v>2416</v>
      </c>
      <c r="P64" s="1592"/>
      <c r="Q64" s="1604"/>
      <c r="R64" s="1592"/>
    </row>
    <row r="65" spans="1:18" s="2059" customFormat="1" ht="15.75" thickBot="1">
      <c r="A65" s="1649" t="s">
        <v>1892</v>
      </c>
      <c r="B65" s="783" t="s">
        <v>666</v>
      </c>
      <c r="C65" s="53">
        <f ca="1">ROUND(C47*F65,1)</f>
        <v>0</v>
      </c>
      <c r="D65" s="2618" t="s">
        <v>683</v>
      </c>
      <c r="E65" s="783" t="s">
        <v>1748</v>
      </c>
      <c r="F65" s="793">
        <f t="shared" ca="1" si="0"/>
        <v>1.4999999999999999E-2</v>
      </c>
      <c r="I65" s="3144" t="s">
        <v>2373</v>
      </c>
      <c r="J65" s="3145">
        <v>40</v>
      </c>
      <c r="K65" s="3145">
        <v>30</v>
      </c>
      <c r="L65" s="3145">
        <v>50</v>
      </c>
      <c r="M65" s="3147">
        <v>0.02</v>
      </c>
      <c r="O65" s="2374" t="s">
        <v>2376</v>
      </c>
      <c r="P65" s="2375" t="s">
        <v>2377</v>
      </c>
      <c r="Q65" s="2376" t="s">
        <v>2378</v>
      </c>
      <c r="R65" s="2375" t="s">
        <v>2379</v>
      </c>
    </row>
    <row r="66" spans="1:18" s="2059" customFormat="1" ht="24.75" thickBot="1">
      <c r="A66" s="796" t="s">
        <v>1777</v>
      </c>
      <c r="B66" s="2986" t="s">
        <v>2823</v>
      </c>
      <c r="C66" s="798">
        <f ca="1">C47-C57</f>
        <v>-126</v>
      </c>
      <c r="D66" s="2617" t="s">
        <v>700</v>
      </c>
      <c r="E66" s="2616"/>
      <c r="F66" s="819"/>
      <c r="K66" s="2086"/>
      <c r="O66" s="2377" t="s">
        <v>2380</v>
      </c>
      <c r="P66" s="2378" t="s">
        <v>2410</v>
      </c>
      <c r="Q66" s="2379">
        <f ca="1">C40+J29</f>
        <v>3809</v>
      </c>
      <c r="R66" s="2378" t="s">
        <v>2381</v>
      </c>
    </row>
    <row r="67" spans="1:18" s="2059" customFormat="1" ht="20.25" thickBot="1">
      <c r="A67" s="780" t="s">
        <v>1781</v>
      </c>
      <c r="B67" s="2232" t="s">
        <v>2302</v>
      </c>
      <c r="C67" s="782">
        <f ca="1">ROUND(C66*(1-((1+F69)/(1+F67))^F68)/(F67-F69),0)</f>
        <v>-2262</v>
      </c>
      <c r="D67" s="813" t="s">
        <v>704</v>
      </c>
      <c r="E67" s="783" t="s">
        <v>705</v>
      </c>
      <c r="F67" s="793">
        <f ca="1">F40</f>
        <v>0.05</v>
      </c>
      <c r="K67" s="2086"/>
      <c r="O67" s="2377" t="s">
        <v>2382</v>
      </c>
      <c r="P67" s="2378" t="s">
        <v>2413</v>
      </c>
      <c r="Q67" s="2379">
        <f ca="1">L60</f>
        <v>0</v>
      </c>
      <c r="R67" s="2382" t="s">
        <v>2415</v>
      </c>
    </row>
    <row r="68" spans="1:18" ht="21.75" thickBot="1">
      <c r="A68" s="785"/>
      <c r="B68" s="786"/>
      <c r="C68" s="787"/>
      <c r="D68" s="820" t="s">
        <v>1809</v>
      </c>
      <c r="E68" s="783" t="s">
        <v>1785</v>
      </c>
      <c r="F68" s="821">
        <f ca="1">F41</f>
        <v>46.73</v>
      </c>
      <c r="O68" s="2380" t="s">
        <v>2384</v>
      </c>
      <c r="P68" s="2378" t="s">
        <v>2414</v>
      </c>
      <c r="Q68" s="2384">
        <f ca="1">L51</f>
        <v>-8622</v>
      </c>
      <c r="R68" s="2385" t="s">
        <v>2417</v>
      </c>
    </row>
    <row r="69" spans="1:18" ht="20.25" thickBot="1">
      <c r="A69" s="789"/>
      <c r="B69" s="790"/>
      <c r="C69" s="791"/>
      <c r="D69" s="815"/>
      <c r="E69" s="783" t="s">
        <v>710</v>
      </c>
      <c r="F69" s="2350"/>
      <c r="O69" s="2380" t="s">
        <v>2385</v>
      </c>
      <c r="P69" s="2386" t="s">
        <v>2399</v>
      </c>
      <c r="Q69" s="2379">
        <f ca="1">ROUND(Q70-Q71*Q72,0)</f>
        <v>-437</v>
      </c>
      <c r="R69" s="2382"/>
    </row>
    <row r="70" spans="1:18" ht="15.75" thickBot="1">
      <c r="A70" s="822" t="s">
        <v>1788</v>
      </c>
      <c r="B70" s="823" t="s">
        <v>1811</v>
      </c>
      <c r="C70" s="824">
        <f ca="1">ROUND(C67*10000/F70,0)</f>
        <v>-2583</v>
      </c>
      <c r="D70" s="825" t="s">
        <v>1812</v>
      </c>
      <c r="E70" s="826" t="s">
        <v>1813</v>
      </c>
      <c r="F70" s="827">
        <f ca="1">F43</f>
        <v>8755.64</v>
      </c>
      <c r="O70" s="2380" t="s">
        <v>2400</v>
      </c>
      <c r="P70" s="2386" t="s">
        <v>2401</v>
      </c>
      <c r="Q70" s="2379">
        <f ca="1">C39</f>
        <v>154</v>
      </c>
      <c r="R70" s="2378" t="s">
        <v>2381</v>
      </c>
    </row>
    <row r="71" spans="1:18" ht="15.75" thickBot="1">
      <c r="O71" s="2380" t="s">
        <v>2402</v>
      </c>
      <c r="P71" s="2386" t="s">
        <v>2403</v>
      </c>
      <c r="Q71" s="2379">
        <f ca="1">C13</f>
        <v>7387</v>
      </c>
      <c r="R71" s="2378" t="s">
        <v>2381</v>
      </c>
    </row>
    <row r="72" spans="1:18" ht="15.75" thickBot="1">
      <c r="O72" s="2380" t="s">
        <v>2404</v>
      </c>
      <c r="P72" s="2386" t="s">
        <v>2405</v>
      </c>
      <c r="Q72" s="2381">
        <f ca="1">J36</f>
        <v>0.08</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3809</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47" t="s">
        <v>2472</v>
      </c>
      <c r="B1" s="3448"/>
      <c r="C1" s="3449"/>
      <c r="D1" s="3450">
        <f>SUM(I10,I15,I20,I21,I23)</f>
        <v>0</v>
      </c>
      <c r="E1" s="3450"/>
      <c r="F1" s="3450"/>
      <c r="G1" s="3450"/>
      <c r="H1" s="3450"/>
      <c r="I1" s="3451"/>
    </row>
    <row r="2" spans="1:9">
      <c r="A2" s="3452" t="s">
        <v>2473</v>
      </c>
      <c r="B2" s="3453" t="s">
        <v>2474</v>
      </c>
      <c r="C2" s="3453"/>
      <c r="D2" s="2486" t="s">
        <v>2475</v>
      </c>
      <c r="E2" s="2486" t="s">
        <v>2476</v>
      </c>
      <c r="F2" s="2486" t="s">
        <v>2477</v>
      </c>
      <c r="G2" s="2486" t="s">
        <v>2478</v>
      </c>
      <c r="H2" s="2486" t="s">
        <v>2479</v>
      </c>
      <c r="I2" s="2487" t="s">
        <v>2480</v>
      </c>
    </row>
    <row r="3" spans="1:9">
      <c r="A3" s="3452"/>
      <c r="B3" s="3453" t="s">
        <v>2481</v>
      </c>
      <c r="C3" s="3453"/>
      <c r="D3" s="2488"/>
      <c r="E3" s="2486"/>
      <c r="F3" s="2489"/>
      <c r="G3" s="2489"/>
      <c r="H3" s="2490"/>
      <c r="I3" s="2491">
        <f>ROUND(D3*E3*F3*G3*H3/10000,0)</f>
        <v>0</v>
      </c>
    </row>
    <row r="4" spans="1:9">
      <c r="A4" s="3452"/>
      <c r="B4" s="3453" t="s">
        <v>2482</v>
      </c>
      <c r="C4" s="3453"/>
      <c r="D4" s="2488"/>
      <c r="E4" s="2486"/>
      <c r="F4" s="2489"/>
      <c r="G4" s="2489"/>
      <c r="H4" s="2490"/>
      <c r="I4" s="2491">
        <f t="shared" ref="I4:I9" si="0">ROUND(D4*E4*F4*G4*H4/10000,0)</f>
        <v>0</v>
      </c>
    </row>
    <row r="5" spans="1:9">
      <c r="A5" s="3452"/>
      <c r="B5" s="3453" t="s">
        <v>2483</v>
      </c>
      <c r="C5" s="3453"/>
      <c r="D5" s="2488"/>
      <c r="E5" s="2486"/>
      <c r="F5" s="2489"/>
      <c r="G5" s="2489"/>
      <c r="H5" s="2490"/>
      <c r="I5" s="2491">
        <f t="shared" si="0"/>
        <v>0</v>
      </c>
    </row>
    <row r="6" spans="1:9">
      <c r="A6" s="3452"/>
      <c r="B6" s="3453" t="s">
        <v>2484</v>
      </c>
      <c r="C6" s="3453"/>
      <c r="D6" s="2488"/>
      <c r="E6" s="2486"/>
      <c r="F6" s="2489"/>
      <c r="G6" s="2489"/>
      <c r="H6" s="2490"/>
      <c r="I6" s="2491">
        <f t="shared" si="0"/>
        <v>0</v>
      </c>
    </row>
    <row r="7" spans="1:9">
      <c r="A7" s="3452"/>
      <c r="B7" s="3453" t="s">
        <v>2485</v>
      </c>
      <c r="C7" s="3453"/>
      <c r="D7" s="2488"/>
      <c r="E7" s="2486"/>
      <c r="F7" s="2489"/>
      <c r="G7" s="2489"/>
      <c r="H7" s="2490"/>
      <c r="I7" s="2491">
        <f t="shared" si="0"/>
        <v>0</v>
      </c>
    </row>
    <row r="8" spans="1:9">
      <c r="A8" s="3452"/>
      <c r="B8" s="3453" t="s">
        <v>2486</v>
      </c>
      <c r="C8" s="3453"/>
      <c r="D8" s="2488"/>
      <c r="E8" s="2486"/>
      <c r="F8" s="2489"/>
      <c r="G8" s="2489"/>
      <c r="H8" s="2490"/>
      <c r="I8" s="2491">
        <f t="shared" si="0"/>
        <v>0</v>
      </c>
    </row>
    <row r="9" spans="1:9">
      <c r="A9" s="3452"/>
      <c r="B9" s="3453" t="s">
        <v>2487</v>
      </c>
      <c r="C9" s="3453"/>
      <c r="D9" s="2488"/>
      <c r="E9" s="2486"/>
      <c r="F9" s="2489"/>
      <c r="G9" s="2489"/>
      <c r="H9" s="2490"/>
      <c r="I9" s="2491">
        <f t="shared" si="0"/>
        <v>0</v>
      </c>
    </row>
    <row r="10" spans="1:9">
      <c r="A10" s="3452"/>
      <c r="B10" s="3454" t="s">
        <v>2488</v>
      </c>
      <c r="C10" s="3454"/>
      <c r="D10" s="2492">
        <v>527</v>
      </c>
      <c r="E10" s="2492" t="e">
        <f>ROUND(D1*10000/D10/H9,0)</f>
        <v>#DIV/0!</v>
      </c>
      <c r="F10" s="2493"/>
      <c r="G10" s="2493"/>
      <c r="H10" s="2494"/>
      <c r="I10" s="2495">
        <f>SUM(I3:I9)</f>
        <v>0</v>
      </c>
    </row>
    <row r="11" spans="1:9" ht="14.25">
      <c r="A11" s="3452" t="s">
        <v>2489</v>
      </c>
      <c r="B11" s="3453" t="s">
        <v>2490</v>
      </c>
      <c r="C11" s="3453"/>
      <c r="D11" s="2488" t="s">
        <v>2491</v>
      </c>
      <c r="E11" s="2488" t="s">
        <v>2492</v>
      </c>
      <c r="F11" s="2489" t="s">
        <v>2493</v>
      </c>
      <c r="G11" s="2489" t="s">
        <v>2494</v>
      </c>
      <c r="H11" s="2496" t="s">
        <v>2495</v>
      </c>
      <c r="I11" s="2487" t="s">
        <v>2496</v>
      </c>
    </row>
    <row r="12" spans="1:9">
      <c r="A12" s="3452"/>
      <c r="B12" s="3453" t="s">
        <v>2497</v>
      </c>
      <c r="C12" s="3453"/>
      <c r="D12" s="2488"/>
      <c r="E12" s="2488"/>
      <c r="F12" s="2489"/>
      <c r="G12" s="2490"/>
      <c r="H12" s="2497"/>
      <c r="I12" s="2487">
        <f>ROUND(D12*E12*F12*G12/10000,0)</f>
        <v>0</v>
      </c>
    </row>
    <row r="13" spans="1:9">
      <c r="A13" s="3452"/>
      <c r="B13" s="3453" t="s">
        <v>2498</v>
      </c>
      <c r="C13" s="3453"/>
      <c r="D13" s="2488"/>
      <c r="E13" s="2488"/>
      <c r="F13" s="2489"/>
      <c r="G13" s="2490"/>
      <c r="H13" s="2497"/>
      <c r="I13" s="2487">
        <f>ROUND(D13*E13*F13*G13/10000,0)</f>
        <v>0</v>
      </c>
    </row>
    <row r="14" spans="1:9">
      <c r="A14" s="3452"/>
      <c r="B14" s="3453" t="s">
        <v>2499</v>
      </c>
      <c r="C14" s="3453"/>
      <c r="D14" s="2488"/>
      <c r="E14" s="2488"/>
      <c r="F14" s="2489"/>
      <c r="G14" s="2490"/>
      <c r="H14" s="2497"/>
      <c r="I14" s="2487">
        <f>ROUND(D14*E14*F14*G14/10000,0)</f>
        <v>0</v>
      </c>
    </row>
    <row r="15" spans="1:9">
      <c r="A15" s="3452"/>
      <c r="B15" s="3454" t="s">
        <v>2488</v>
      </c>
      <c r="C15" s="3454"/>
      <c r="D15" s="2492"/>
      <c r="E15" s="2492">
        <f>SUM(E12:E14)</f>
        <v>0</v>
      </c>
      <c r="F15" s="2493"/>
      <c r="G15" s="2490"/>
      <c r="H15" s="2497"/>
      <c r="I15" s="2498">
        <f>SUM(I12:I14)</f>
        <v>0</v>
      </c>
    </row>
    <row r="16" spans="1:9" ht="24">
      <c r="A16" s="3452" t="s">
        <v>2500</v>
      </c>
      <c r="B16" s="3453" t="s">
        <v>2501</v>
      </c>
      <c r="C16" s="3453"/>
      <c r="D16" s="2488" t="s">
        <v>2502</v>
      </c>
      <c r="E16" s="2499" t="s">
        <v>2503</v>
      </c>
      <c r="F16" s="2489" t="s">
        <v>2504</v>
      </c>
      <c r="G16" s="2490" t="s">
        <v>2494</v>
      </c>
      <c r="H16" s="2496" t="s">
        <v>2495</v>
      </c>
      <c r="I16" s="2487" t="s">
        <v>2496</v>
      </c>
    </row>
    <row r="17" spans="1:9" ht="14.25">
      <c r="A17" s="3452"/>
      <c r="B17" s="3453" t="s">
        <v>2505</v>
      </c>
      <c r="C17" s="3453"/>
      <c r="D17" s="2488"/>
      <c r="E17" s="2488"/>
      <c r="F17" s="2489"/>
      <c r="G17" s="2490"/>
      <c r="H17" s="2500"/>
      <c r="I17" s="2501">
        <f>ROUND(D17*E17*F17*G17/10000,0)</f>
        <v>0</v>
      </c>
    </row>
    <row r="18" spans="1:9" ht="14.25">
      <c r="A18" s="3452"/>
      <c r="B18" s="3453" t="s">
        <v>2506</v>
      </c>
      <c r="C18" s="3453"/>
      <c r="D18" s="2488"/>
      <c r="E18" s="2488"/>
      <c r="F18" s="2489"/>
      <c r="G18" s="2490"/>
      <c r="H18" s="2500"/>
      <c r="I18" s="2501">
        <f>ROUND(D18*E18*F18*G18/10000,0)</f>
        <v>0</v>
      </c>
    </row>
    <row r="19" spans="1:9" ht="14.25">
      <c r="A19" s="3452"/>
      <c r="B19" s="3453" t="s">
        <v>2507</v>
      </c>
      <c r="C19" s="3453"/>
      <c r="D19" s="2488"/>
      <c r="E19" s="2488"/>
      <c r="F19" s="2489"/>
      <c r="G19" s="2490"/>
      <c r="H19" s="2500"/>
      <c r="I19" s="2501">
        <f>ROUND(D19*E19*F19*G19/10000,0)</f>
        <v>0</v>
      </c>
    </row>
    <row r="20" spans="1:9">
      <c r="A20" s="3452"/>
      <c r="B20" s="3454" t="s">
        <v>2488</v>
      </c>
      <c r="C20" s="3454"/>
      <c r="D20" s="2492">
        <f>SUM(D17:D19)</f>
        <v>0</v>
      </c>
      <c r="E20" s="2492"/>
      <c r="F20" s="2493"/>
      <c r="G20" s="2490"/>
      <c r="H20" s="2497"/>
      <c r="I20" s="2498">
        <f>SUM(I17:I19)</f>
        <v>0</v>
      </c>
    </row>
    <row r="21" spans="1:9">
      <c r="A21" s="3452" t="s">
        <v>2508</v>
      </c>
      <c r="B21" s="3456"/>
      <c r="C21" s="3456"/>
      <c r="D21" s="3456"/>
      <c r="E21" s="3456"/>
      <c r="F21" s="3456"/>
      <c r="G21" s="3456"/>
      <c r="H21" s="2502">
        <v>0.1</v>
      </c>
      <c r="I21" s="2495">
        <f>ROUND(I10*H21,0)</f>
        <v>0</v>
      </c>
    </row>
    <row r="22" spans="1:9" ht="14.25">
      <c r="A22" s="3457" t="s">
        <v>2509</v>
      </c>
      <c r="B22" s="3458"/>
      <c r="C22" s="3459"/>
      <c r="D22" s="2503" t="s">
        <v>2510</v>
      </c>
      <c r="E22" s="2503" t="s">
        <v>2511</v>
      </c>
      <c r="F22" s="2504" t="s">
        <v>2512</v>
      </c>
      <c r="G22" s="2504" t="s">
        <v>2513</v>
      </c>
      <c r="H22" s="2496" t="s">
        <v>2514</v>
      </c>
      <c r="I22" s="2487" t="s">
        <v>2515</v>
      </c>
    </row>
    <row r="23" spans="1:9" ht="14.25" thickBot="1">
      <c r="A23" s="3460"/>
      <c r="B23" s="3461"/>
      <c r="C23" s="3462"/>
      <c r="D23" s="2505"/>
      <c r="E23" s="2505"/>
      <c r="F23" s="2505"/>
      <c r="G23" s="2506"/>
      <c r="H23" s="2507"/>
      <c r="I23" s="2508">
        <f>ROUND(E23*D23*F23*(1-G23)/10000,0)</f>
        <v>0</v>
      </c>
    </row>
    <row r="26" spans="1:9">
      <c r="A26" s="2509" t="s">
        <v>2516</v>
      </c>
      <c r="B26" s="2509"/>
      <c r="C26" s="2509"/>
      <c r="D26" s="2509"/>
      <c r="E26" s="3463">
        <f>C27-C30-C31-C32</f>
        <v>0</v>
      </c>
      <c r="F26" s="3463"/>
      <c r="G26" s="3463"/>
      <c r="H26" s="3017" t="s">
        <v>2844</v>
      </c>
    </row>
    <row r="27" spans="1:9">
      <c r="A27" s="2510">
        <v>1</v>
      </c>
      <c r="B27" s="2511" t="s">
        <v>2517</v>
      </c>
      <c r="C27" s="2511"/>
      <c r="D27" s="2511"/>
      <c r="E27" s="3464"/>
      <c r="F27" s="3464"/>
      <c r="G27" s="3464"/>
    </row>
    <row r="28" spans="1:9">
      <c r="A28" s="2512" t="s">
        <v>2518</v>
      </c>
      <c r="B28" s="2511" t="s">
        <v>2519</v>
      </c>
      <c r="C28" s="2511"/>
      <c r="D28" s="2511"/>
      <c r="E28" s="3464"/>
      <c r="F28" s="3464"/>
      <c r="G28" s="3464"/>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55"/>
      <c r="F32" s="3455"/>
      <c r="G32" s="3455"/>
    </row>
    <row r="33" spans="1:7" hidden="1">
      <c r="A33" s="3465" t="s">
        <v>2527</v>
      </c>
      <c r="B33" s="3466"/>
      <c r="C33" s="3466"/>
      <c r="D33" s="3467"/>
      <c r="E33" s="3463"/>
      <c r="F33" s="3463"/>
      <c r="G33" s="3463"/>
    </row>
    <row r="34" spans="1:7" hidden="1">
      <c r="A34" s="2514">
        <v>1</v>
      </c>
      <c r="B34" s="2511" t="s">
        <v>2528</v>
      </c>
      <c r="C34" s="2511"/>
      <c r="D34" s="2511"/>
      <c r="E34" s="3464"/>
      <c r="F34" s="3464"/>
      <c r="G34" s="3464"/>
    </row>
    <row r="35" spans="1:7" hidden="1">
      <c r="A35" s="2514">
        <v>2</v>
      </c>
      <c r="B35" s="2511" t="s">
        <v>2529</v>
      </c>
      <c r="C35" s="2511"/>
      <c r="D35" s="2511"/>
      <c r="E35" s="3464"/>
      <c r="F35" s="3464"/>
      <c r="G35" s="3464"/>
    </row>
    <row r="36" spans="1:7" hidden="1">
      <c r="A36" s="2514">
        <v>3</v>
      </c>
      <c r="B36" s="2511" t="s">
        <v>2530</v>
      </c>
      <c r="C36" s="2511"/>
      <c r="D36" s="2511"/>
      <c r="E36" s="3464"/>
      <c r="F36" s="3464"/>
      <c r="G36" s="3464"/>
    </row>
    <row r="37" spans="1:7" hidden="1">
      <c r="A37" s="2514">
        <v>4</v>
      </c>
      <c r="B37" s="2511" t="s">
        <v>2531</v>
      </c>
      <c r="C37" s="2511"/>
      <c r="D37" s="2511"/>
      <c r="E37" s="3464"/>
      <c r="F37" s="3464"/>
      <c r="G37" s="3464"/>
    </row>
    <row r="38" spans="1:7" hidden="1">
      <c r="A38" s="3465" t="s">
        <v>2532</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48">
        <v>1</v>
      </c>
      <c r="B7" s="747" t="s">
        <v>609</v>
      </c>
      <c r="C7" s="748">
        <f>C8+C9</f>
        <v>0</v>
      </c>
      <c r="D7" s="748"/>
      <c r="E7" s="749"/>
      <c r="F7" s="749"/>
      <c r="G7" s="2458"/>
    </row>
    <row r="8" spans="1:25" s="2183" customFormat="1" ht="13.5" customHeight="1">
      <c r="A8" s="2448" t="s">
        <v>2441</v>
      </c>
      <c r="B8" s="2451" t="s">
        <v>2443</v>
      </c>
      <c r="C8" s="2452"/>
      <c r="D8" s="748"/>
      <c r="E8" s="749"/>
      <c r="F8" s="749"/>
      <c r="G8" s="750"/>
    </row>
    <row r="9" spans="1:25" s="2183" customFormat="1" ht="13.5" customHeight="1">
      <c r="A9" s="2448" t="s">
        <v>2442</v>
      </c>
      <c r="B9" s="2451" t="s">
        <v>2444</v>
      </c>
      <c r="C9" s="2452"/>
      <c r="D9" s="748"/>
      <c r="E9" s="749"/>
      <c r="F9" s="749"/>
      <c r="G9" s="750"/>
    </row>
    <row r="10" spans="1:25" s="2183" customFormat="1" ht="36">
      <c r="A10" s="2448">
        <v>2</v>
      </c>
      <c r="B10" s="747" t="s">
        <v>613</v>
      </c>
      <c r="C10" s="748">
        <f>C11+C14+C15</f>
        <v>0</v>
      </c>
      <c r="D10" s="759">
        <f>'数据-汇总表'!E3</f>
        <v>48217.250000000007</v>
      </c>
      <c r="E10" s="748">
        <f>'数据-取费表'!B31</f>
        <v>50</v>
      </c>
      <c r="F10" s="760"/>
      <c r="G10" s="758" t="s">
        <v>614</v>
      </c>
    </row>
    <row r="11" spans="1:25" s="2183" customFormat="1" ht="13.5" customHeight="1">
      <c r="A11" s="2448" t="s">
        <v>2441</v>
      </c>
      <c r="B11" s="751" t="s">
        <v>610</v>
      </c>
      <c r="C11" s="752">
        <f>'数据-取费表'!B29</f>
        <v>0</v>
      </c>
      <c r="D11" s="753"/>
      <c r="E11" s="752"/>
      <c r="F11" s="754"/>
      <c r="G11" s="2457" t="s">
        <v>2452</v>
      </c>
    </row>
    <row r="12" spans="1:25" s="2183" customFormat="1" ht="13.5" customHeight="1">
      <c r="A12" s="2455" t="s">
        <v>2449</v>
      </c>
      <c r="B12" s="755" t="s">
        <v>611</v>
      </c>
      <c r="C12" s="756">
        <f>ROUND(D12*E12/10000,0)</f>
        <v>379</v>
      </c>
      <c r="D12" s="757">
        <f>'数据-汇总表'!E5</f>
        <v>25240.000000000004</v>
      </c>
      <c r="E12" s="756">
        <f>'数据-取费表'!B27</f>
        <v>150</v>
      </c>
      <c r="F12" s="754"/>
      <c r="G12" s="758"/>
    </row>
    <row r="13" spans="1:25" s="2183" customFormat="1" ht="13.5" customHeight="1">
      <c r="A13" s="2455" t="s">
        <v>2448</v>
      </c>
      <c r="B13" s="755" t="s">
        <v>612</v>
      </c>
      <c r="C13" s="756">
        <f>ROUND(D13*E13/10000,0)</f>
        <v>437</v>
      </c>
      <c r="D13" s="757">
        <f>'数据-汇总表'!E6</f>
        <v>22977.250000000004</v>
      </c>
      <c r="E13" s="756">
        <f>'数据-取费表'!B28</f>
        <v>190</v>
      </c>
      <c r="F13" s="754"/>
      <c r="G13" s="758"/>
    </row>
    <row r="14" spans="1:25" s="2183" customFormat="1" ht="13.5" customHeight="1">
      <c r="A14" s="2448" t="s">
        <v>2442</v>
      </c>
      <c r="B14" s="2454" t="s">
        <v>2445</v>
      </c>
      <c r="C14" s="2452"/>
      <c r="D14" s="757"/>
      <c r="E14" s="756"/>
      <c r="F14" s="2453"/>
      <c r="G14" s="2456" t="s">
        <v>2450</v>
      </c>
    </row>
    <row r="15" spans="1:25" s="2183" customFormat="1" ht="13.5" customHeight="1">
      <c r="A15" s="2448" t="s">
        <v>2447</v>
      </c>
      <c r="B15" s="2454" t="s">
        <v>2446</v>
      </c>
      <c r="C15" s="2452"/>
      <c r="D15" s="757"/>
      <c r="E15" s="756"/>
      <c r="F15" s="2453"/>
      <c r="G15" s="2456" t="s">
        <v>2451</v>
      </c>
    </row>
    <row r="16" spans="1:25" s="2184" customFormat="1" ht="48">
      <c r="A16" s="2448">
        <v>3</v>
      </c>
      <c r="B16" s="747" t="s">
        <v>615</v>
      </c>
      <c r="C16" s="2452"/>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7" t="s">
        <v>616</v>
      </c>
      <c r="C17" s="255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7" t="s">
        <v>617</v>
      </c>
      <c r="C18" s="748">
        <f>ROUND((C7+C10+C16)*F18,0)</f>
        <v>0</v>
      </c>
      <c r="D18" s="761"/>
      <c r="E18" s="762"/>
      <c r="F18" s="760">
        <f>'数据-取费表'!Q16</f>
        <v>0.22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7" t="s">
        <v>625</v>
      </c>
      <c r="C22" s="748">
        <f ca="1">ROUND(C21*F22,0)</f>
        <v>0</v>
      </c>
      <c r="D22" s="759"/>
      <c r="E22" s="748"/>
      <c r="F22" s="765">
        <f>'数据-取费表'!AP16</f>
        <v>0.91300000000000003</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2" t="s">
        <v>719</v>
      </c>
      <c r="C1" s="2603" t="s">
        <v>720</v>
      </c>
      <c r="D1" s="2604"/>
      <c r="E1" s="2605"/>
      <c r="F1" s="2785"/>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521</v>
      </c>
      <c r="B4" s="512"/>
      <c r="C4" s="3360" t="s">
        <v>522</v>
      </c>
      <c r="D4" s="3361"/>
      <c r="E4" s="3395" t="s">
        <v>523</v>
      </c>
      <c r="F4" s="3396"/>
      <c r="G4" s="3360" t="s">
        <v>524</v>
      </c>
      <c r="H4" s="3361"/>
      <c r="I4" s="3360" t="s">
        <v>525</v>
      </c>
      <c r="J4" s="3361"/>
      <c r="K4" s="852" t="s">
        <v>526</v>
      </c>
      <c r="L4" s="2133"/>
      <c r="M4" s="2134"/>
      <c r="N4" s="2134"/>
      <c r="O4" s="2134"/>
      <c r="P4" s="3362" t="s">
        <v>527</v>
      </c>
      <c r="Q4" s="3363"/>
      <c r="R4" s="3368" t="s">
        <v>523</v>
      </c>
      <c r="S4" s="3369"/>
      <c r="T4" s="3368" t="s">
        <v>524</v>
      </c>
      <c r="U4" s="3369"/>
      <c r="V4" s="3355" t="s">
        <v>525</v>
      </c>
      <c r="W4" s="3355"/>
      <c r="X4" s="1567"/>
      <c r="Y4" s="3368" t="s">
        <v>527</v>
      </c>
      <c r="Z4" s="3369"/>
      <c r="AA4" s="3357" t="s">
        <v>523</v>
      </c>
      <c r="AB4" s="3357" t="s">
        <v>524</v>
      </c>
      <c r="AC4" s="3357" t="s">
        <v>525</v>
      </c>
    </row>
    <row r="5" spans="1:29" ht="15">
      <c r="A5" s="514"/>
      <c r="B5" s="515"/>
      <c r="C5" s="3376" t="s">
        <v>2931</v>
      </c>
      <c r="D5" s="3377"/>
      <c r="E5" s="3397" t="s">
        <v>2932</v>
      </c>
      <c r="F5" s="3398"/>
      <c r="G5" s="3376" t="s">
        <v>2933</v>
      </c>
      <c r="H5" s="3377"/>
      <c r="I5" s="3376" t="s">
        <v>2934</v>
      </c>
      <c r="J5" s="3377"/>
      <c r="K5" s="853"/>
      <c r="L5" s="2133"/>
      <c r="M5" s="2134"/>
      <c r="N5" s="2134"/>
      <c r="O5" s="2134"/>
      <c r="P5" s="3364"/>
      <c r="Q5" s="3365"/>
      <c r="R5" s="3370"/>
      <c r="S5" s="3371"/>
      <c r="T5" s="3370"/>
      <c r="U5" s="3371"/>
      <c r="V5" s="3355"/>
      <c r="W5" s="3355"/>
      <c r="X5" s="1567"/>
      <c r="Y5" s="3370"/>
      <c r="Z5" s="3371"/>
      <c r="AA5" s="3358"/>
      <c r="AB5" s="3358"/>
      <c r="AC5" s="3358"/>
    </row>
    <row r="6" spans="1:29" ht="15.75" thickBot="1">
      <c r="A6" s="516"/>
      <c r="B6" s="517"/>
      <c r="C6" s="3374" t="s">
        <v>2935</v>
      </c>
      <c r="D6" s="3375"/>
      <c r="E6" s="3393" t="s">
        <v>2935</v>
      </c>
      <c r="F6" s="3394"/>
      <c r="G6" s="3374" t="s">
        <v>2935</v>
      </c>
      <c r="H6" s="3375"/>
      <c r="I6" s="3374" t="s">
        <v>2935</v>
      </c>
      <c r="J6" s="3375"/>
      <c r="K6" s="853" t="s">
        <v>528</v>
      </c>
      <c r="L6" s="2133"/>
      <c r="M6" s="2134"/>
      <c r="N6" s="2134"/>
      <c r="O6" s="2134"/>
      <c r="P6" s="3366"/>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86" t="s">
        <v>530</v>
      </c>
      <c r="Q7" s="3388"/>
      <c r="R7" s="1568" t="s">
        <v>13</v>
      </c>
      <c r="S7" s="1569">
        <f t="shared" ref="S7:S15" si="0">F7</f>
        <v>0</v>
      </c>
      <c r="T7" s="1568" t="s">
        <v>13</v>
      </c>
      <c r="U7" s="1569">
        <f t="shared" ref="U7:U15" si="1">H7</f>
        <v>0</v>
      </c>
      <c r="V7" s="1568" t="s">
        <v>13</v>
      </c>
      <c r="W7" s="1569">
        <f t="shared" ref="W7:W15"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86" t="s">
        <v>533</v>
      </c>
      <c r="Q8" s="3387"/>
      <c r="R8" s="1568" t="s">
        <v>13</v>
      </c>
      <c r="S8" s="1569">
        <f t="shared" si="0"/>
        <v>0</v>
      </c>
      <c r="T8" s="1568" t="s">
        <v>13</v>
      </c>
      <c r="U8" s="1569">
        <f t="shared" si="1"/>
        <v>0</v>
      </c>
      <c r="V8" s="1568" t="s">
        <v>13</v>
      </c>
      <c r="W8" s="1569">
        <f t="shared" si="2"/>
        <v>0</v>
      </c>
      <c r="X8" s="1570"/>
      <c r="Y8" s="3386" t="s">
        <v>533</v>
      </c>
      <c r="Z8" s="3387"/>
      <c r="AA8" s="1571" t="e">
        <f t="shared" ref="AA8:AA46" si="3">D8/F8</f>
        <v>#DIV/0!</v>
      </c>
      <c r="AB8" s="1571" t="e">
        <f t="shared" ref="AB8:AB46" si="4">D8/H8</f>
        <v>#DIV/0!</v>
      </c>
      <c r="AC8" s="1571" t="e">
        <f t="shared" ref="AC8:AC46" si="5">D8/J8</f>
        <v>#DIV/0!</v>
      </c>
    </row>
    <row r="9" spans="1:29" s="1219" customFormat="1" ht="15">
      <c r="A9" s="2892"/>
      <c r="B9" s="2899" t="s">
        <v>2757</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54" t="s">
        <v>535</v>
      </c>
      <c r="Q9" s="1150" t="str">
        <f t="shared" ref="Q9:Q15" si="6">B9</f>
        <v>用途</v>
      </c>
      <c r="R9" s="1568" t="s">
        <v>8</v>
      </c>
      <c r="S9" s="1569">
        <f t="shared" si="0"/>
        <v>100</v>
      </c>
      <c r="T9" s="1568" t="s">
        <v>8</v>
      </c>
      <c r="U9" s="1569">
        <f t="shared" si="1"/>
        <v>100</v>
      </c>
      <c r="V9" s="1568" t="s">
        <v>8</v>
      </c>
      <c r="W9" s="1569">
        <f t="shared" si="2"/>
        <v>100</v>
      </c>
      <c r="X9" s="1570"/>
      <c r="Y9" s="3300"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4"/>
      <c r="B11" s="2898" t="s">
        <v>2759</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54"/>
      <c r="Q11" s="1150" t="str">
        <f t="shared" si="6"/>
        <v>容积率</v>
      </c>
      <c r="R11" s="1568" t="s">
        <v>11</v>
      </c>
      <c r="S11" s="1569" t="e">
        <f t="shared" si="0"/>
        <v>#N/A</v>
      </c>
      <c r="T11" s="1568" t="s">
        <v>11</v>
      </c>
      <c r="U11" s="1569" t="e">
        <f t="shared" si="1"/>
        <v>#N/A</v>
      </c>
      <c r="V11" s="1568" t="s">
        <v>11</v>
      </c>
      <c r="W11" s="1569" t="e">
        <f t="shared" si="2"/>
        <v>#N/A</v>
      </c>
      <c r="X11" s="1570"/>
      <c r="Y11" s="3300"/>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54"/>
      <c r="Q12" s="1150">
        <f t="shared" si="6"/>
        <v>111</v>
      </c>
      <c r="R12" s="1568" t="s">
        <v>11</v>
      </c>
      <c r="S12" s="1569">
        <f t="shared" si="0"/>
        <v>100</v>
      </c>
      <c r="T12" s="1568" t="s">
        <v>11</v>
      </c>
      <c r="U12" s="1569">
        <f t="shared" si="1"/>
        <v>100</v>
      </c>
      <c r="V12" s="1568" t="s">
        <v>11</v>
      </c>
      <c r="W12" s="1569">
        <f t="shared" si="2"/>
        <v>100</v>
      </c>
      <c r="X12" s="1570"/>
      <c r="Y12" s="3300"/>
      <c r="Z12" s="1149">
        <f t="shared" si="7"/>
        <v>111</v>
      </c>
      <c r="AA12" s="1571">
        <f>D12/F12</f>
        <v>1</v>
      </c>
      <c r="AB12" s="1571">
        <f>D12/H12</f>
        <v>1</v>
      </c>
      <c r="AC12" s="1571">
        <f>D12/J12</f>
        <v>1</v>
      </c>
    </row>
    <row r="13" spans="1:29" ht="15">
      <c r="A13" s="2895"/>
      <c r="B13" s="2901">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54"/>
      <c r="Q13" s="1150">
        <f t="shared" si="6"/>
        <v>111</v>
      </c>
      <c r="R13" s="1568" t="s">
        <v>11</v>
      </c>
      <c r="S13" s="1569">
        <f t="shared" si="0"/>
        <v>100</v>
      </c>
      <c r="T13" s="1568" t="s">
        <v>11</v>
      </c>
      <c r="U13" s="1569">
        <f t="shared" si="1"/>
        <v>100</v>
      </c>
      <c r="V13" s="1568" t="s">
        <v>11</v>
      </c>
      <c r="W13" s="1569">
        <f t="shared" si="2"/>
        <v>100</v>
      </c>
      <c r="X13" s="1570"/>
      <c r="Y13" s="3300"/>
      <c r="Z13" s="1149">
        <f t="shared" si="7"/>
        <v>111</v>
      </c>
      <c r="AA13" s="1571">
        <f t="shared" si="3"/>
        <v>1</v>
      </c>
      <c r="AB13" s="1571">
        <f t="shared" si="4"/>
        <v>1</v>
      </c>
      <c r="AC13" s="1571">
        <f t="shared" si="5"/>
        <v>1</v>
      </c>
    </row>
    <row r="14" spans="1:29" ht="15.75" thickBot="1">
      <c r="A14" s="2896"/>
      <c r="B14" s="2902">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54"/>
      <c r="Q14" s="1150">
        <f t="shared" si="6"/>
        <v>111</v>
      </c>
      <c r="R14" s="1568" t="s">
        <v>11</v>
      </c>
      <c r="S14" s="1569">
        <f t="shared" si="0"/>
        <v>100</v>
      </c>
      <c r="T14" s="1568" t="s">
        <v>11</v>
      </c>
      <c r="U14" s="1569">
        <f t="shared" si="1"/>
        <v>100</v>
      </c>
      <c r="V14" s="1568" t="s">
        <v>11</v>
      </c>
      <c r="W14" s="1569">
        <f t="shared" si="2"/>
        <v>100</v>
      </c>
      <c r="X14" s="1570"/>
      <c r="Y14" s="3300"/>
      <c r="Z14" s="1149">
        <f t="shared" si="7"/>
        <v>111</v>
      </c>
      <c r="AA14" s="1571">
        <f t="shared" si="3"/>
        <v>1</v>
      </c>
      <c r="AB14" s="1571">
        <f t="shared" si="4"/>
        <v>1</v>
      </c>
      <c r="AC14" s="1571">
        <f t="shared" si="5"/>
        <v>1</v>
      </c>
    </row>
    <row r="15" spans="1:29" ht="99.75">
      <c r="A15" s="2888"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89" t="s">
        <v>540</v>
      </c>
      <c r="Q15" s="1572" t="str">
        <f t="shared" si="6"/>
        <v>居住社区成熟度</v>
      </c>
      <c r="R15" s="1573" t="s">
        <v>11</v>
      </c>
      <c r="S15" s="1574">
        <f t="shared" si="0"/>
        <v>100</v>
      </c>
      <c r="T15" s="1573" t="s">
        <v>11</v>
      </c>
      <c r="U15" s="1574">
        <f t="shared" si="1"/>
        <v>100</v>
      </c>
      <c r="V15" s="1573" t="s">
        <v>11</v>
      </c>
      <c r="W15" s="1574">
        <f t="shared" si="2"/>
        <v>100</v>
      </c>
      <c r="X15" s="1567"/>
      <c r="Y15" s="3389"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3390"/>
      <c r="Q16" s="1572"/>
      <c r="R16" s="1573"/>
      <c r="S16" s="1574"/>
      <c r="T16" s="1573"/>
      <c r="U16" s="1574"/>
      <c r="V16" s="1573"/>
      <c r="W16" s="1574"/>
      <c r="X16" s="1567"/>
      <c r="Y16" s="339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0"/>
      <c r="Q17" s="1572" t="str">
        <f>B17</f>
        <v>交通便捷度</v>
      </c>
      <c r="R17" s="1573" t="s">
        <v>11</v>
      </c>
      <c r="S17" s="1574">
        <f>F17</f>
        <v>100</v>
      </c>
      <c r="T17" s="1573" t="s">
        <v>11</v>
      </c>
      <c r="U17" s="1574">
        <f>H17</f>
        <v>100</v>
      </c>
      <c r="V17" s="1573" t="s">
        <v>11</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3390"/>
      <c r="Q18" s="1572"/>
      <c r="R18" s="1573"/>
      <c r="S18" s="1574"/>
      <c r="T18" s="1573"/>
      <c r="U18" s="1574"/>
      <c r="V18" s="1573"/>
      <c r="W18" s="1574"/>
      <c r="X18" s="1567"/>
      <c r="Y18" s="3390"/>
      <c r="Z18" s="1575"/>
      <c r="AA18" s="1576">
        <v>1</v>
      </c>
      <c r="AB18" s="1576">
        <v>1</v>
      </c>
      <c r="AC18" s="1576">
        <v>1</v>
      </c>
    </row>
    <row r="19" spans="1:29" ht="42.75">
      <c r="A19" s="531"/>
      <c r="B19" s="257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0"/>
      <c r="Q19" s="1572" t="str">
        <f>B19</f>
        <v>公共配套设施</v>
      </c>
      <c r="R19" s="1573" t="s">
        <v>11</v>
      </c>
      <c r="S19" s="1574">
        <f>F19</f>
        <v>100</v>
      </c>
      <c r="T19" s="1573" t="s">
        <v>11</v>
      </c>
      <c r="U19" s="1574">
        <f>H19</f>
        <v>100</v>
      </c>
      <c r="V19" s="1573" t="s">
        <v>11</v>
      </c>
      <c r="W19" s="1574">
        <f>J19</f>
        <v>100</v>
      </c>
      <c r="X19" s="1567"/>
      <c r="Y19" s="3390"/>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3390"/>
      <c r="Q20" s="1572"/>
      <c r="R20" s="1573"/>
      <c r="S20" s="1574"/>
      <c r="T20" s="1573"/>
      <c r="U20" s="1574"/>
      <c r="V20" s="1573"/>
      <c r="W20" s="1574"/>
      <c r="X20" s="1567"/>
      <c r="Y20" s="3390"/>
      <c r="Z20" s="1575"/>
      <c r="AA20" s="1576">
        <v>1</v>
      </c>
      <c r="AB20" s="1576">
        <v>1</v>
      </c>
      <c r="AC20" s="1576">
        <v>1</v>
      </c>
    </row>
    <row r="21" spans="1:29" ht="28.5">
      <c r="A21" s="531"/>
      <c r="B21" s="257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0"/>
      <c r="Q21" s="2558" t="str">
        <f>B21</f>
        <v>基础设施水平</v>
      </c>
      <c r="R21" s="1573" t="s">
        <v>11</v>
      </c>
      <c r="S21" s="1574">
        <f>F21</f>
        <v>100</v>
      </c>
      <c r="T21" s="1573" t="s">
        <v>11</v>
      </c>
      <c r="U21" s="1574">
        <f>H21</f>
        <v>100</v>
      </c>
      <c r="V21" s="1573" t="s">
        <v>11</v>
      </c>
      <c r="W21" s="1574">
        <f>J21</f>
        <v>100</v>
      </c>
      <c r="X21" s="2560"/>
      <c r="Y21" s="3390"/>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8"/>
      <c r="L22" s="2142"/>
      <c r="M22" s="2134"/>
      <c r="N22" s="2134"/>
      <c r="O22" s="2141"/>
      <c r="P22" s="3390"/>
      <c r="Q22" s="2558"/>
      <c r="R22" s="1573"/>
      <c r="S22" s="1574"/>
      <c r="T22" s="1573"/>
      <c r="U22" s="1574"/>
      <c r="V22" s="1573"/>
      <c r="W22" s="1574"/>
      <c r="X22" s="2560"/>
      <c r="Y22" s="3390"/>
      <c r="Z22" s="2559"/>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0"/>
      <c r="Q23" s="1572" t="str">
        <f>B23</f>
        <v>自然及人文环境</v>
      </c>
      <c r="R23" s="1573" t="s">
        <v>11</v>
      </c>
      <c r="S23" s="1574">
        <f>F23</f>
        <v>100</v>
      </c>
      <c r="T23" s="1573" t="s">
        <v>11</v>
      </c>
      <c r="U23" s="1574">
        <f>H23</f>
        <v>100</v>
      </c>
      <c r="V23" s="1573" t="s">
        <v>11</v>
      </c>
      <c r="W23" s="1574">
        <f>J23</f>
        <v>100</v>
      </c>
      <c r="X23" s="1567"/>
      <c r="Y23" s="3390"/>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3390"/>
      <c r="Q24" s="1572"/>
      <c r="R24" s="1573"/>
      <c r="S24" s="1574"/>
      <c r="T24" s="1573"/>
      <c r="U24" s="1574"/>
      <c r="V24" s="1573"/>
      <c r="W24" s="1574"/>
      <c r="X24" s="1567"/>
      <c r="Y24" s="3390"/>
      <c r="Z24" s="1575"/>
      <c r="AA24" s="1576">
        <v>1</v>
      </c>
      <c r="AB24" s="1576">
        <v>1</v>
      </c>
      <c r="AC24" s="1576">
        <v>1</v>
      </c>
    </row>
    <row r="25" spans="1:29" ht="15">
      <c r="A25" s="531"/>
      <c r="B25" s="1895" t="s">
        <v>2257</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0"/>
      <c r="Q25" s="1572" t="str">
        <f t="shared" ref="Q25:Q46" si="11">B25</f>
        <v>楼层-1</v>
      </c>
      <c r="R25" s="1573" t="s">
        <v>11</v>
      </c>
      <c r="S25" s="1574">
        <f>F25</f>
        <v>100</v>
      </c>
      <c r="T25" s="1573" t="s">
        <v>11</v>
      </c>
      <c r="U25" s="1574">
        <f>H25</f>
        <v>100</v>
      </c>
      <c r="V25" s="1573" t="s">
        <v>11</v>
      </c>
      <c r="W25" s="1574">
        <f>J25</f>
        <v>100</v>
      </c>
      <c r="X25" s="1567"/>
      <c r="Y25" s="3390"/>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0"/>
      <c r="Q26" s="1572" t="str">
        <f t="shared" si="11"/>
        <v>朝向</v>
      </c>
      <c r="R26" s="1573" t="s">
        <v>11</v>
      </c>
      <c r="S26" s="1574">
        <f>F26</f>
        <v>100</v>
      </c>
      <c r="T26" s="1573" t="s">
        <v>11</v>
      </c>
      <c r="U26" s="1574">
        <f>H26</f>
        <v>100</v>
      </c>
      <c r="V26" s="1573" t="s">
        <v>11</v>
      </c>
      <c r="W26" s="1574">
        <f>J26</f>
        <v>100</v>
      </c>
      <c r="X26" s="1567"/>
      <c r="Y26" s="3390"/>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0"/>
      <c r="Q27" s="1150" t="str">
        <f t="shared" si="11"/>
        <v>道路级别</v>
      </c>
      <c r="R27" s="1568" t="s">
        <v>11</v>
      </c>
      <c r="S27" s="1569">
        <f>F27</f>
        <v>100</v>
      </c>
      <c r="T27" s="1568" t="s">
        <v>11</v>
      </c>
      <c r="U27" s="1569">
        <f>H27</f>
        <v>100</v>
      </c>
      <c r="V27" s="1568" t="s">
        <v>11</v>
      </c>
      <c r="W27" s="1569">
        <f>J27</f>
        <v>100</v>
      </c>
      <c r="X27" s="1570"/>
      <c r="Y27" s="3390"/>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0"/>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0"/>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0"/>
      <c r="Q29" s="1572">
        <f t="shared" si="11"/>
        <v>111</v>
      </c>
      <c r="R29" s="1573" t="s">
        <v>11</v>
      </c>
      <c r="S29" s="1574">
        <f t="shared" si="12"/>
        <v>100</v>
      </c>
      <c r="T29" s="1573" t="s">
        <v>11</v>
      </c>
      <c r="U29" s="1574">
        <f t="shared" si="13"/>
        <v>100</v>
      </c>
      <c r="V29" s="1573" t="s">
        <v>11</v>
      </c>
      <c r="W29" s="1574">
        <f t="shared" si="14"/>
        <v>100</v>
      </c>
      <c r="X29" s="1567"/>
      <c r="Y29" s="339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0"/>
      <c r="Q30" s="1572">
        <f t="shared" si="11"/>
        <v>111</v>
      </c>
      <c r="R30" s="1573" t="s">
        <v>11</v>
      </c>
      <c r="S30" s="1574">
        <f t="shared" si="12"/>
        <v>100</v>
      </c>
      <c r="T30" s="1573" t="s">
        <v>11</v>
      </c>
      <c r="U30" s="1574">
        <f t="shared" si="13"/>
        <v>100</v>
      </c>
      <c r="V30" s="1573" t="s">
        <v>11</v>
      </c>
      <c r="W30" s="1574">
        <f t="shared" si="14"/>
        <v>100</v>
      </c>
      <c r="X30" s="1567"/>
      <c r="Y30" s="3390"/>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0"/>
      <c r="Q31" s="1572">
        <f t="shared" si="11"/>
        <v>111</v>
      </c>
      <c r="R31" s="1573" t="s">
        <v>11</v>
      </c>
      <c r="S31" s="1574">
        <f t="shared" si="12"/>
        <v>100</v>
      </c>
      <c r="T31" s="1573" t="s">
        <v>11</v>
      </c>
      <c r="U31" s="1574">
        <f t="shared" si="13"/>
        <v>100</v>
      </c>
      <c r="V31" s="1573" t="s">
        <v>11</v>
      </c>
      <c r="W31" s="1574">
        <f t="shared" si="14"/>
        <v>100</v>
      </c>
      <c r="X31" s="1567"/>
      <c r="Y31" s="3390"/>
      <c r="Z31" s="1575">
        <f t="shared" si="15"/>
        <v>111</v>
      </c>
      <c r="AA31" s="1576">
        <f t="shared" si="3"/>
        <v>1</v>
      </c>
      <c r="AB31" s="1576">
        <f t="shared" si="4"/>
        <v>1</v>
      </c>
      <c r="AC31" s="1576">
        <f t="shared" si="5"/>
        <v>1</v>
      </c>
    </row>
    <row r="32" spans="1:29" ht="15">
      <c r="A32" s="2885" t="s">
        <v>2756</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91" t="s">
        <v>550</v>
      </c>
      <c r="Q32" s="1572" t="str">
        <f t="shared" si="11"/>
        <v>建筑类型</v>
      </c>
      <c r="R32" s="1573" t="s">
        <v>11</v>
      </c>
      <c r="S32" s="1574">
        <f t="shared" si="12"/>
        <v>100</v>
      </c>
      <c r="T32" s="1573" t="s">
        <v>11</v>
      </c>
      <c r="U32" s="1574">
        <f t="shared" si="13"/>
        <v>100</v>
      </c>
      <c r="V32" s="1573" t="s">
        <v>11</v>
      </c>
      <c r="W32" s="1574">
        <f t="shared" si="14"/>
        <v>100</v>
      </c>
      <c r="X32" s="1567"/>
      <c r="Y32" s="3392"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92"/>
      <c r="Q33" s="1605" t="str">
        <f t="shared" si="11"/>
        <v>项目建筑规模</v>
      </c>
      <c r="R33" s="1577" t="s">
        <v>11</v>
      </c>
      <c r="S33" s="1578" t="e">
        <f t="shared" si="12"/>
        <v>#N/A</v>
      </c>
      <c r="T33" s="1577" t="s">
        <v>11</v>
      </c>
      <c r="U33" s="1578" t="e">
        <f t="shared" si="13"/>
        <v>#N/A</v>
      </c>
      <c r="V33" s="1577" t="s">
        <v>11</v>
      </c>
      <c r="W33" s="1578" t="e">
        <f t="shared" si="14"/>
        <v>#N/A</v>
      </c>
      <c r="X33" s="1579"/>
      <c r="Y33" s="3392"/>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92"/>
      <c r="Q34" s="1572" t="str">
        <f t="shared" si="11"/>
        <v>建筑结构</v>
      </c>
      <c r="R34" s="1573" t="s">
        <v>11</v>
      </c>
      <c r="S34" s="1574">
        <f t="shared" si="12"/>
        <v>100</v>
      </c>
      <c r="T34" s="1573" t="s">
        <v>11</v>
      </c>
      <c r="U34" s="1574">
        <f t="shared" si="13"/>
        <v>100</v>
      </c>
      <c r="V34" s="1573" t="s">
        <v>11</v>
      </c>
      <c r="W34" s="1574">
        <f t="shared" si="14"/>
        <v>100</v>
      </c>
      <c r="X34" s="1567"/>
      <c r="Y34" s="3392"/>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92"/>
      <c r="Q35" s="1572" t="str">
        <f t="shared" si="11"/>
        <v>建筑品质</v>
      </c>
      <c r="R35" s="1573" t="s">
        <v>11</v>
      </c>
      <c r="S35" s="1574">
        <f t="shared" si="12"/>
        <v>100</v>
      </c>
      <c r="T35" s="1573" t="s">
        <v>11</v>
      </c>
      <c r="U35" s="1574">
        <f t="shared" si="13"/>
        <v>100</v>
      </c>
      <c r="V35" s="1573" t="s">
        <v>11</v>
      </c>
      <c r="W35" s="1574">
        <f t="shared" si="14"/>
        <v>100</v>
      </c>
      <c r="X35" s="1567"/>
      <c r="Y35" s="3392"/>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92"/>
      <c r="Q36" s="1572" t="str">
        <f t="shared" si="11"/>
        <v>公共部分装修</v>
      </c>
      <c r="R36" s="1573" t="s">
        <v>11</v>
      </c>
      <c r="S36" s="1574">
        <f t="shared" si="12"/>
        <v>100</v>
      </c>
      <c r="T36" s="1573" t="s">
        <v>11</v>
      </c>
      <c r="U36" s="1574">
        <f t="shared" si="13"/>
        <v>100</v>
      </c>
      <c r="V36" s="1573" t="s">
        <v>11</v>
      </c>
      <c r="W36" s="1574">
        <f t="shared" si="14"/>
        <v>100</v>
      </c>
      <c r="X36" s="1567"/>
      <c r="Y36" s="3392"/>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92"/>
      <c r="Q37" s="1150" t="str">
        <f t="shared" si="11"/>
        <v>成新度</v>
      </c>
      <c r="R37" s="1568" t="s">
        <v>11</v>
      </c>
      <c r="S37" s="1569" t="e">
        <f t="shared" si="12"/>
        <v>#N/A</v>
      </c>
      <c r="T37" s="1568" t="s">
        <v>11</v>
      </c>
      <c r="U37" s="1569" t="e">
        <f t="shared" si="13"/>
        <v>#N/A</v>
      </c>
      <c r="V37" s="1568" t="s">
        <v>11</v>
      </c>
      <c r="W37" s="1569" t="e">
        <f t="shared" si="14"/>
        <v>#N/A</v>
      </c>
      <c r="X37" s="1570"/>
      <c r="Y37" s="3392"/>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92" t="s">
        <v>550</v>
      </c>
      <c r="Q38" s="1572" t="str">
        <f t="shared" si="11"/>
        <v>物业管理</v>
      </c>
      <c r="R38" s="1573" t="s">
        <v>11</v>
      </c>
      <c r="S38" s="1574">
        <f t="shared" si="12"/>
        <v>100</v>
      </c>
      <c r="T38" s="1573" t="s">
        <v>11</v>
      </c>
      <c r="U38" s="1574">
        <f t="shared" si="13"/>
        <v>100</v>
      </c>
      <c r="V38" s="1573" t="s">
        <v>11</v>
      </c>
      <c r="W38" s="1574">
        <f t="shared" si="14"/>
        <v>100</v>
      </c>
      <c r="X38" s="1567"/>
      <c r="Y38" s="3392" t="s">
        <v>550</v>
      </c>
      <c r="Z38" s="1575" t="str">
        <f t="shared" si="15"/>
        <v>物业管理</v>
      </c>
      <c r="AA38" s="1576">
        <f t="shared" si="3"/>
        <v>1</v>
      </c>
      <c r="AB38" s="1576">
        <f t="shared" si="4"/>
        <v>1</v>
      </c>
      <c r="AC38" s="1576">
        <f t="shared" si="5"/>
        <v>1</v>
      </c>
    </row>
    <row r="39" spans="1:29" ht="15">
      <c r="A39" s="593"/>
      <c r="B39" s="1895"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92"/>
      <c r="Q39" s="1572" t="str">
        <f t="shared" si="11"/>
        <v>市政基础设施</v>
      </c>
      <c r="R39" s="1573" t="s">
        <v>11</v>
      </c>
      <c r="S39" s="1574">
        <f t="shared" si="12"/>
        <v>100</v>
      </c>
      <c r="T39" s="1573" t="s">
        <v>11</v>
      </c>
      <c r="U39" s="1574">
        <f t="shared" si="13"/>
        <v>100</v>
      </c>
      <c r="V39" s="1573" t="s">
        <v>11</v>
      </c>
      <c r="W39" s="1574">
        <f t="shared" si="14"/>
        <v>100</v>
      </c>
      <c r="X39" s="1567"/>
      <c r="Y39" s="3392"/>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92"/>
      <c r="Q40" s="1572" t="str">
        <f t="shared" si="11"/>
        <v>房型</v>
      </c>
      <c r="R40" s="1573" t="s">
        <v>11</v>
      </c>
      <c r="S40" s="1574">
        <f t="shared" si="12"/>
        <v>100</v>
      </c>
      <c r="T40" s="1573" t="s">
        <v>11</v>
      </c>
      <c r="U40" s="1574">
        <f t="shared" si="13"/>
        <v>100</v>
      </c>
      <c r="V40" s="1573" t="s">
        <v>11</v>
      </c>
      <c r="W40" s="1574">
        <f t="shared" si="14"/>
        <v>100</v>
      </c>
      <c r="X40" s="1567"/>
      <c r="Y40" s="3392"/>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2"/>
      <c r="Q41" s="1605" t="str">
        <f t="shared" si="11"/>
        <v>单套/主力户型建筑面积</v>
      </c>
      <c r="R41" s="1577" t="s">
        <v>11</v>
      </c>
      <c r="S41" s="1578">
        <f t="shared" si="12"/>
        <v>100</v>
      </c>
      <c r="T41" s="1577" t="s">
        <v>11</v>
      </c>
      <c r="U41" s="1578">
        <f t="shared" si="13"/>
        <v>100</v>
      </c>
      <c r="V41" s="1577" t="s">
        <v>11</v>
      </c>
      <c r="W41" s="1578">
        <f t="shared" si="14"/>
        <v>100</v>
      </c>
      <c r="X41" s="1579"/>
      <c r="Y41" s="3392"/>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92"/>
      <c r="Q42" s="1572" t="str">
        <f t="shared" si="11"/>
        <v>内部装修</v>
      </c>
      <c r="R42" s="1573" t="s">
        <v>11</v>
      </c>
      <c r="S42" s="1574">
        <f t="shared" si="12"/>
        <v>100</v>
      </c>
      <c r="T42" s="1573" t="s">
        <v>11</v>
      </c>
      <c r="U42" s="1574">
        <f t="shared" si="13"/>
        <v>100</v>
      </c>
      <c r="V42" s="1573" t="s">
        <v>11</v>
      </c>
      <c r="W42" s="1574">
        <f t="shared" si="14"/>
        <v>100</v>
      </c>
      <c r="X42" s="1567"/>
      <c r="Y42" s="3392"/>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2"/>
      <c r="Q43" s="1572" t="str">
        <f t="shared" si="11"/>
        <v>内部装修维护情况</v>
      </c>
      <c r="R43" s="1573" t="s">
        <v>11</v>
      </c>
      <c r="S43" s="1574">
        <f t="shared" si="12"/>
        <v>100</v>
      </c>
      <c r="T43" s="1573" t="s">
        <v>11</v>
      </c>
      <c r="U43" s="1574">
        <f t="shared" si="13"/>
        <v>100</v>
      </c>
      <c r="V43" s="1573" t="s">
        <v>11</v>
      </c>
      <c r="W43" s="1574">
        <f t="shared" si="14"/>
        <v>100</v>
      </c>
      <c r="X43" s="1567"/>
      <c r="Y43" s="339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2"/>
      <c r="Q44" s="1150">
        <f t="shared" si="11"/>
        <v>111</v>
      </c>
      <c r="R44" s="1568" t="s">
        <v>11</v>
      </c>
      <c r="S44" s="1569">
        <f t="shared" si="12"/>
        <v>100</v>
      </c>
      <c r="T44" s="1568" t="s">
        <v>11</v>
      </c>
      <c r="U44" s="1569">
        <f t="shared" si="13"/>
        <v>100</v>
      </c>
      <c r="V44" s="1568" t="s">
        <v>11</v>
      </c>
      <c r="W44" s="1569">
        <f t="shared" si="14"/>
        <v>100</v>
      </c>
      <c r="X44" s="1570"/>
      <c r="Y44" s="339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2"/>
      <c r="Q45" s="1572">
        <f t="shared" si="11"/>
        <v>111</v>
      </c>
      <c r="R45" s="1573" t="s">
        <v>11</v>
      </c>
      <c r="S45" s="1574">
        <f t="shared" si="12"/>
        <v>100</v>
      </c>
      <c r="T45" s="1573" t="s">
        <v>11</v>
      </c>
      <c r="U45" s="1574">
        <f t="shared" si="13"/>
        <v>100</v>
      </c>
      <c r="V45" s="1573" t="s">
        <v>11</v>
      </c>
      <c r="W45" s="1574">
        <f t="shared" si="14"/>
        <v>100</v>
      </c>
      <c r="X45" s="1567"/>
      <c r="Y45" s="3392"/>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0"/>
      <c r="Q46" s="1572">
        <f t="shared" si="11"/>
        <v>111</v>
      </c>
      <c r="R46" s="1573" t="s">
        <v>10</v>
      </c>
      <c r="S46" s="1574">
        <f t="shared" si="12"/>
        <v>100</v>
      </c>
      <c r="T46" s="1573" t="s">
        <v>10</v>
      </c>
      <c r="U46" s="1574">
        <f t="shared" si="13"/>
        <v>100</v>
      </c>
      <c r="V46" s="1573" t="s">
        <v>10</v>
      </c>
      <c r="W46" s="1574">
        <f t="shared" si="14"/>
        <v>100</v>
      </c>
      <c r="X46" s="1567"/>
      <c r="Y46" s="3470"/>
      <c r="Z46" s="1575">
        <f t="shared" si="15"/>
        <v>111</v>
      </c>
      <c r="AA46" s="1576">
        <f t="shared" si="3"/>
        <v>1</v>
      </c>
      <c r="AB46" s="1576">
        <f t="shared" si="4"/>
        <v>1</v>
      </c>
      <c r="AC46" s="1576">
        <f t="shared" si="5"/>
        <v>1</v>
      </c>
    </row>
    <row r="47" spans="1:29" ht="15">
      <c r="A47" s="606" t="s">
        <v>736</v>
      </c>
      <c r="B47" s="886"/>
      <c r="C47" s="2606" t="s">
        <v>9</v>
      </c>
      <c r="D47" s="2607"/>
      <c r="E47" s="2608"/>
      <c r="F47" s="2609"/>
      <c r="G47" s="2610"/>
      <c r="H47" s="2611"/>
      <c r="I47" s="2608"/>
      <c r="J47" s="2611"/>
      <c r="K47" s="1606"/>
      <c r="L47" s="2144"/>
      <c r="M47" s="2145"/>
      <c r="N47" s="2134"/>
      <c r="O47" s="2145"/>
      <c r="P47" s="3354" t="str">
        <f>A47</f>
        <v>成交单价（元/平方米）</v>
      </c>
      <c r="Q47" s="3354"/>
      <c r="R47" s="3469">
        <f>E47</f>
        <v>0</v>
      </c>
      <c r="S47" s="3469"/>
      <c r="T47" s="3469">
        <f>G47</f>
        <v>0</v>
      </c>
      <c r="U47" s="3469"/>
      <c r="V47" s="3469">
        <f>I47</f>
        <v>0</v>
      </c>
      <c r="W47" s="3469"/>
      <c r="X47" s="1559"/>
      <c r="Y47" s="1581"/>
      <c r="Z47" s="1559"/>
      <c r="AA47" s="1559"/>
      <c r="AB47" s="1559"/>
      <c r="AC47" s="1559"/>
    </row>
    <row r="48" spans="1:29" ht="15.75" thickBot="1">
      <c r="A48" s="614" t="s">
        <v>2761</v>
      </c>
      <c r="B48" s="887"/>
      <c r="C48" s="2612" t="e">
        <f>R49</f>
        <v>#DIV/0!</v>
      </c>
      <c r="D48" s="2613"/>
      <c r="E48" s="2614" t="e">
        <f>R48</f>
        <v>#DIV/0!</v>
      </c>
      <c r="F48" s="2614"/>
      <c r="G48" s="2612" t="e">
        <f>T48</f>
        <v>#DIV/0!</v>
      </c>
      <c r="H48" s="2613"/>
      <c r="I48" s="2614" t="e">
        <f>V48</f>
        <v>#DIV/0!</v>
      </c>
      <c r="J48" s="2613"/>
      <c r="K48" s="1607"/>
      <c r="L48" s="2144"/>
      <c r="M48" s="2145"/>
      <c r="N48" s="2145"/>
      <c r="O48" s="2145"/>
      <c r="P48" s="3354" t="str">
        <f>A48</f>
        <v>比较价格（元/平方米）</v>
      </c>
      <c r="Q48" s="3354"/>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9"/>
      <c r="Y48" s="1559"/>
      <c r="Z48" s="1559"/>
      <c r="AA48" s="1559"/>
      <c r="AB48" s="1559"/>
      <c r="AC48" s="1559"/>
    </row>
    <row r="49" spans="1:29" ht="15.75" thickBot="1">
      <c r="A49" s="620" t="s">
        <v>2937</v>
      </c>
      <c r="B49" s="621"/>
      <c r="C49" s="2615" t="e">
        <f>R49</f>
        <v>#DIV/0!</v>
      </c>
      <c r="D49" s="2615"/>
      <c r="E49" s="2615"/>
      <c r="F49" s="2615"/>
      <c r="G49" s="2615"/>
      <c r="H49" s="2615"/>
      <c r="I49" s="2615"/>
      <c r="J49" s="2615"/>
      <c r="K49" s="1608"/>
      <c r="L49" s="2144"/>
      <c r="M49" s="2145"/>
      <c r="N49" s="2145"/>
      <c r="O49" s="2145"/>
      <c r="P49" s="3351" t="str">
        <f>A49</f>
        <v>估价对象XX用房的比较价格（楼面单价，元/平方米）</v>
      </c>
      <c r="Q49" s="3352"/>
      <c r="R49" s="3468" t="e">
        <f>IF(F1="售价",ROUND(AVERAGE(R48:V48),0),ROUND(AVERAGE(R48:V48),1))</f>
        <v>#DIV/0!</v>
      </c>
      <c r="S49" s="3468"/>
      <c r="T49" s="3468"/>
      <c r="U49" s="3468"/>
      <c r="V49" s="3468"/>
      <c r="W49" s="346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2559</v>
      </c>
      <c r="C82" s="2577" t="s">
        <v>2560</v>
      </c>
      <c r="D82" s="2577" t="s">
        <v>2561</v>
      </c>
      <c r="E82" s="2577" t="s">
        <v>2562</v>
      </c>
      <c r="F82" s="2577" t="s">
        <v>2563</v>
      </c>
      <c r="G82" s="2577" t="s">
        <v>2564</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9"/>
      <c r="E1" s="505"/>
      <c r="F1" s="2785"/>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521</v>
      </c>
      <c r="B4" s="512"/>
      <c r="C4" s="3360" t="s">
        <v>522</v>
      </c>
      <c r="D4" s="3361"/>
      <c r="E4" s="3395" t="s">
        <v>523</v>
      </c>
      <c r="F4" s="3396"/>
      <c r="G4" s="3360" t="s">
        <v>524</v>
      </c>
      <c r="H4" s="3361"/>
      <c r="I4" s="3360" t="s">
        <v>525</v>
      </c>
      <c r="J4" s="3361"/>
      <c r="K4" s="513" t="s">
        <v>526</v>
      </c>
      <c r="L4" s="2133"/>
      <c r="M4" s="2134"/>
      <c r="N4" s="2134"/>
      <c r="O4" s="2134"/>
      <c r="P4" s="3362" t="s">
        <v>527</v>
      </c>
      <c r="Q4" s="3363"/>
      <c r="R4" s="3368" t="s">
        <v>523</v>
      </c>
      <c r="S4" s="3369"/>
      <c r="T4" s="3368" t="s">
        <v>524</v>
      </c>
      <c r="U4" s="3369"/>
      <c r="V4" s="3355" t="s">
        <v>525</v>
      </c>
      <c r="W4" s="3355"/>
      <c r="X4" s="1567"/>
      <c r="Y4" s="3368" t="s">
        <v>527</v>
      </c>
      <c r="Z4" s="3369"/>
      <c r="AA4" s="3357" t="s">
        <v>523</v>
      </c>
      <c r="AB4" s="3355" t="s">
        <v>524</v>
      </c>
      <c r="AC4" s="3357" t="s">
        <v>525</v>
      </c>
    </row>
    <row r="5" spans="1:29" ht="15">
      <c r="A5" s="514"/>
      <c r="B5" s="515"/>
      <c r="C5" s="3376" t="s">
        <v>2931</v>
      </c>
      <c r="D5" s="3377"/>
      <c r="E5" s="3397" t="s">
        <v>2932</v>
      </c>
      <c r="F5" s="3398"/>
      <c r="G5" s="3376" t="s">
        <v>2933</v>
      </c>
      <c r="H5" s="3377"/>
      <c r="I5" s="3376" t="s">
        <v>2934</v>
      </c>
      <c r="J5" s="3377"/>
      <c r="K5" s="513"/>
      <c r="L5" s="2133"/>
      <c r="M5" s="2134"/>
      <c r="N5" s="2134"/>
      <c r="O5" s="2134"/>
      <c r="P5" s="3364"/>
      <c r="Q5" s="3365"/>
      <c r="R5" s="3370"/>
      <c r="S5" s="3371"/>
      <c r="T5" s="3370"/>
      <c r="U5" s="3371"/>
      <c r="V5" s="3355"/>
      <c r="W5" s="3355"/>
      <c r="X5" s="1567"/>
      <c r="Y5" s="3370"/>
      <c r="Z5" s="3371"/>
      <c r="AA5" s="3358"/>
      <c r="AB5" s="3355"/>
      <c r="AC5" s="3358"/>
    </row>
    <row r="6" spans="1:29" ht="15.75" thickBot="1">
      <c r="A6" s="516"/>
      <c r="B6" s="517"/>
      <c r="C6" s="3374" t="s">
        <v>2935</v>
      </c>
      <c r="D6" s="3375"/>
      <c r="E6" s="3393" t="s">
        <v>2935</v>
      </c>
      <c r="F6" s="3394"/>
      <c r="G6" s="3374" t="s">
        <v>2935</v>
      </c>
      <c r="H6" s="3375"/>
      <c r="I6" s="3374" t="s">
        <v>2935</v>
      </c>
      <c r="J6" s="3375"/>
      <c r="K6" s="513" t="s">
        <v>528</v>
      </c>
      <c r="L6" s="2133"/>
      <c r="M6" s="2134"/>
      <c r="N6" s="2134"/>
      <c r="O6" s="2134"/>
      <c r="P6" s="3366"/>
      <c r="Q6" s="3367"/>
      <c r="R6" s="3370"/>
      <c r="S6" s="3371"/>
      <c r="T6" s="3372"/>
      <c r="U6" s="3373"/>
      <c r="V6" s="3355"/>
      <c r="W6" s="3355"/>
      <c r="X6" s="1567"/>
      <c r="Y6" s="3372"/>
      <c r="Z6" s="3373"/>
      <c r="AA6" s="3359"/>
      <c r="AB6" s="3355"/>
      <c r="AC6" s="3359"/>
    </row>
    <row r="7" spans="1:29" s="1219" customFormat="1" ht="15.75" thickBot="1">
      <c r="A7" s="2890"/>
      <c r="B7" s="2897" t="s">
        <v>529</v>
      </c>
      <c r="C7" s="518">
        <f>'数据-取费表'!B2</f>
        <v>43546</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86" t="s">
        <v>530</v>
      </c>
      <c r="Q7" s="3388"/>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86" t="s">
        <v>533</v>
      </c>
      <c r="Q8" s="3387"/>
      <c r="R8" s="1568" t="s">
        <v>8</v>
      </c>
      <c r="S8" s="1569">
        <f t="shared" si="0"/>
        <v>0</v>
      </c>
      <c r="T8" s="1568" t="s">
        <v>8</v>
      </c>
      <c r="U8" s="1569">
        <f t="shared" si="1"/>
        <v>0</v>
      </c>
      <c r="V8" s="1568" t="s">
        <v>8</v>
      </c>
      <c r="W8" s="1569">
        <f t="shared" si="2"/>
        <v>0</v>
      </c>
      <c r="X8" s="1570"/>
      <c r="Y8" s="3386" t="s">
        <v>533</v>
      </c>
      <c r="Z8" s="3387"/>
      <c r="AA8" s="1571" t="e">
        <f t="shared" ref="AA8:AA46" si="3">D8/F8</f>
        <v>#DIV/0!</v>
      </c>
      <c r="AB8" s="1571" t="e">
        <f t="shared" ref="AB8:AB46" si="4">D8/H8</f>
        <v>#DIV/0!</v>
      </c>
      <c r="AC8" s="1571" t="e">
        <f t="shared" ref="AC8:AC46" si="5">D8/J8</f>
        <v>#DIV/0!</v>
      </c>
    </row>
    <row r="9" spans="1:29" s="1219" customFormat="1" ht="15">
      <c r="A9" s="2892"/>
      <c r="B9" s="2899"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54" t="s">
        <v>535</v>
      </c>
      <c r="Q9" s="1150" t="str">
        <f t="shared" ref="Q9:Q15" si="6">B9</f>
        <v>用途</v>
      </c>
      <c r="R9" s="1568" t="s">
        <v>8</v>
      </c>
      <c r="S9" s="1569">
        <f t="shared" si="0"/>
        <v>100</v>
      </c>
      <c r="T9" s="1568" t="s">
        <v>8</v>
      </c>
      <c r="U9" s="1569">
        <f t="shared" si="1"/>
        <v>100</v>
      </c>
      <c r="V9" s="1568" t="s">
        <v>8</v>
      </c>
      <c r="W9" s="1569">
        <f t="shared" si="2"/>
        <v>100</v>
      </c>
      <c r="X9" s="1570"/>
      <c r="Y9" s="3300"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4"/>
      <c r="B11" s="2898"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54"/>
      <c r="Q11" s="1150" t="str">
        <f t="shared" si="6"/>
        <v>容积率</v>
      </c>
      <c r="R11" s="1568" t="s">
        <v>8</v>
      </c>
      <c r="S11" s="1569" t="e">
        <f t="shared" si="0"/>
        <v>#N/A</v>
      </c>
      <c r="T11" s="1568" t="s">
        <v>8</v>
      </c>
      <c r="U11" s="1569" t="e">
        <f t="shared" si="1"/>
        <v>#N/A</v>
      </c>
      <c r="V11" s="1568" t="s">
        <v>8</v>
      </c>
      <c r="W11" s="1569" t="e">
        <f t="shared" si="2"/>
        <v>#N/A</v>
      </c>
      <c r="X11" s="1570"/>
      <c r="Y11" s="3300"/>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
      <c r="A13" s="2895"/>
      <c r="B13" s="2901">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15.75" thickBot="1">
      <c r="A14" s="2896"/>
      <c r="B14" s="2902">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54"/>
      <c r="Q14" s="1150">
        <f t="shared" si="6"/>
        <v>111</v>
      </c>
      <c r="R14" s="1568" t="s">
        <v>8</v>
      </c>
      <c r="S14" s="1569">
        <f t="shared" si="0"/>
        <v>100</v>
      </c>
      <c r="T14" s="1568" t="s">
        <v>8</v>
      </c>
      <c r="U14" s="1569">
        <f t="shared" si="1"/>
        <v>100</v>
      </c>
      <c r="V14" s="1568" t="s">
        <v>8</v>
      </c>
      <c r="W14" s="1569">
        <f t="shared" si="2"/>
        <v>100</v>
      </c>
      <c r="X14" s="1570"/>
      <c r="Y14" s="3300"/>
      <c r="Z14" s="1149">
        <f t="shared" si="7"/>
        <v>111</v>
      </c>
      <c r="AA14" s="1571">
        <f t="shared" si="3"/>
        <v>1</v>
      </c>
      <c r="AB14" s="1571">
        <f t="shared" si="4"/>
        <v>1</v>
      </c>
      <c r="AC14" s="1571">
        <f t="shared" si="5"/>
        <v>1</v>
      </c>
    </row>
    <row r="15" spans="1:29" ht="71.25">
      <c r="A15" s="2888" t="s">
        <v>2755</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89" t="s">
        <v>540</v>
      </c>
      <c r="Q15" s="1572" t="str">
        <f t="shared" si="6"/>
        <v>商业繁华度</v>
      </c>
      <c r="R15" s="1573" t="s">
        <v>8</v>
      </c>
      <c r="S15" s="1574">
        <f t="shared" si="0"/>
        <v>100</v>
      </c>
      <c r="T15" s="1573" t="s">
        <v>8</v>
      </c>
      <c r="U15" s="1574">
        <f t="shared" si="1"/>
        <v>100</v>
      </c>
      <c r="V15" s="1573" t="s">
        <v>8</v>
      </c>
      <c r="W15" s="1574">
        <f t="shared" si="2"/>
        <v>100</v>
      </c>
      <c r="X15" s="1567"/>
      <c r="Y15" s="3389"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0"/>
      <c r="Q16" s="1572"/>
      <c r="R16" s="1573"/>
      <c r="S16" s="1574"/>
      <c r="T16" s="1573"/>
      <c r="U16" s="1574"/>
      <c r="V16" s="1573"/>
      <c r="W16" s="1574"/>
      <c r="X16" s="1567"/>
      <c r="Y16" s="339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0"/>
      <c r="Q18" s="1572"/>
      <c r="R18" s="1573"/>
      <c r="S18" s="1574"/>
      <c r="T18" s="1573"/>
      <c r="U18" s="1574"/>
      <c r="V18" s="1573"/>
      <c r="W18" s="1574"/>
      <c r="X18" s="1567"/>
      <c r="Y18" s="3390"/>
      <c r="Z18" s="1575"/>
      <c r="AA18" s="1576">
        <v>1</v>
      </c>
      <c r="AB18" s="1576">
        <v>1</v>
      </c>
      <c r="AC18" s="1576">
        <v>1</v>
      </c>
    </row>
    <row r="19" spans="1:29" ht="42.75">
      <c r="A19" s="531"/>
      <c r="B19" s="257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390"/>
      <c r="Q20" s="1572"/>
      <c r="R20" s="1573"/>
      <c r="S20" s="1574"/>
      <c r="T20" s="1573"/>
      <c r="U20" s="1574"/>
      <c r="V20" s="1573"/>
      <c r="W20" s="1574"/>
      <c r="X20" s="1567"/>
      <c r="Y20" s="3390"/>
      <c r="Z20" s="1575"/>
      <c r="AA20" s="1576">
        <v>1</v>
      </c>
      <c r="AB20" s="1576">
        <v>1</v>
      </c>
      <c r="AC20" s="1576">
        <v>1</v>
      </c>
    </row>
    <row r="21" spans="1:29" ht="28.5">
      <c r="A21" s="531"/>
      <c r="B21" s="257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0"/>
      <c r="Q21" s="2558" t="str">
        <f>B21</f>
        <v>基础设施水平</v>
      </c>
      <c r="R21" s="1573" t="s">
        <v>8</v>
      </c>
      <c r="S21" s="1574">
        <f>F21</f>
        <v>100</v>
      </c>
      <c r="T21" s="1573" t="s">
        <v>8</v>
      </c>
      <c r="U21" s="1574">
        <f>H21</f>
        <v>100</v>
      </c>
      <c r="V21" s="1573" t="s">
        <v>8</v>
      </c>
      <c r="W21" s="1574">
        <f>J21</f>
        <v>100</v>
      </c>
      <c r="X21" s="2560"/>
      <c r="Y21" s="3390"/>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81"/>
      <c r="L22" s="2142"/>
      <c r="M22" s="2134"/>
      <c r="N22" s="2134"/>
      <c r="O22" s="2141"/>
      <c r="P22" s="3390"/>
      <c r="Q22" s="2558"/>
      <c r="R22" s="1573"/>
      <c r="S22" s="1574"/>
      <c r="T22" s="1573"/>
      <c r="U22" s="1574"/>
      <c r="V22" s="1573"/>
      <c r="W22" s="1574"/>
      <c r="X22" s="2560"/>
      <c r="Y22" s="3390"/>
      <c r="Z22" s="2559"/>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0"/>
      <c r="Q23" s="1572" t="str">
        <f>B23</f>
        <v>自然及人文环境</v>
      </c>
      <c r="R23" s="1573" t="s">
        <v>8</v>
      </c>
      <c r="S23" s="1574">
        <f>F23</f>
        <v>100</v>
      </c>
      <c r="T23" s="1573" t="s">
        <v>8</v>
      </c>
      <c r="U23" s="1574">
        <f>H23</f>
        <v>100</v>
      </c>
      <c r="V23" s="1573" t="s">
        <v>8</v>
      </c>
      <c r="W23" s="1574">
        <f>J23</f>
        <v>100</v>
      </c>
      <c r="X23" s="1567"/>
      <c r="Y23" s="3390"/>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390"/>
      <c r="Q24" s="1572"/>
      <c r="R24" s="1573"/>
      <c r="S24" s="1574"/>
      <c r="T24" s="1573"/>
      <c r="U24" s="1574"/>
      <c r="V24" s="1573"/>
      <c r="W24" s="1574"/>
      <c r="X24" s="1567"/>
      <c r="Y24" s="3390"/>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0"/>
      <c r="Q25" s="1572" t="str">
        <f t="shared" ref="Q25:Q46" si="11">B25</f>
        <v>临街状况</v>
      </c>
      <c r="R25" s="1573" t="s">
        <v>8</v>
      </c>
      <c r="S25" s="1574">
        <f>F25</f>
        <v>100</v>
      </c>
      <c r="T25" s="1573" t="s">
        <v>8</v>
      </c>
      <c r="U25" s="1574">
        <f>H25</f>
        <v>100</v>
      </c>
      <c r="V25" s="1573" t="s">
        <v>8</v>
      </c>
      <c r="W25" s="1574">
        <f>J25</f>
        <v>100</v>
      </c>
      <c r="X25" s="1567"/>
      <c r="Y25" s="3390"/>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0"/>
      <c r="Q26" s="1572" t="str">
        <f t="shared" si="11"/>
        <v>平面位置/可视性</v>
      </c>
      <c r="R26" s="1573" t="s">
        <v>8</v>
      </c>
      <c r="S26" s="1574">
        <f>F26</f>
        <v>100</v>
      </c>
      <c r="T26" s="1573" t="s">
        <v>8</v>
      </c>
      <c r="U26" s="1574">
        <f>H26</f>
        <v>100</v>
      </c>
      <c r="V26" s="1573" t="s">
        <v>8</v>
      </c>
      <c r="W26" s="1574">
        <f>J26</f>
        <v>100</v>
      </c>
      <c r="X26" s="1567"/>
      <c r="Y26" s="3390"/>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0"/>
      <c r="Q27" s="1150" t="str">
        <f t="shared" si="11"/>
        <v>人流量</v>
      </c>
      <c r="R27" s="1568" t="s">
        <v>8</v>
      </c>
      <c r="S27" s="1569">
        <f>F27</f>
        <v>100</v>
      </c>
      <c r="T27" s="1568" t="s">
        <v>8</v>
      </c>
      <c r="U27" s="1569">
        <f>H27</f>
        <v>100</v>
      </c>
      <c r="V27" s="1568" t="s">
        <v>8</v>
      </c>
      <c r="W27" s="1569">
        <f>J27</f>
        <v>100</v>
      </c>
      <c r="X27" s="1570"/>
      <c r="Y27" s="3390"/>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0"/>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0"/>
      <c r="Q29" s="1572">
        <f t="shared" si="11"/>
        <v>111</v>
      </c>
      <c r="R29" s="1573" t="s">
        <v>8</v>
      </c>
      <c r="S29" s="1574">
        <f t="shared" si="12"/>
        <v>100</v>
      </c>
      <c r="T29" s="1573" t="s">
        <v>8</v>
      </c>
      <c r="U29" s="1574">
        <f t="shared" si="13"/>
        <v>100</v>
      </c>
      <c r="V29" s="1573" t="s">
        <v>8</v>
      </c>
      <c r="W29" s="1574">
        <f t="shared" si="14"/>
        <v>100</v>
      </c>
      <c r="X29" s="1567"/>
      <c r="Y29" s="339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
      <c r="A32" s="2885"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1" t="s">
        <v>550</v>
      </c>
      <c r="Q32" s="1572" t="str">
        <f t="shared" si="11"/>
        <v>商业类型</v>
      </c>
      <c r="R32" s="1573" t="s">
        <v>8</v>
      </c>
      <c r="S32" s="1574">
        <f t="shared" si="12"/>
        <v>100</v>
      </c>
      <c r="T32" s="1573" t="s">
        <v>8</v>
      </c>
      <c r="U32" s="1574">
        <f t="shared" si="13"/>
        <v>100</v>
      </c>
      <c r="V32" s="1573" t="s">
        <v>8</v>
      </c>
      <c r="W32" s="1574">
        <f t="shared" si="14"/>
        <v>100</v>
      </c>
      <c r="X32" s="1567"/>
      <c r="Y32" s="3392"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2"/>
      <c r="Q33" s="1605" t="str">
        <f t="shared" si="11"/>
        <v>项目建筑规模</v>
      </c>
      <c r="R33" s="1577" t="s">
        <v>8</v>
      </c>
      <c r="S33" s="1578" t="e">
        <f t="shared" si="12"/>
        <v>#N/A</v>
      </c>
      <c r="T33" s="1577" t="s">
        <v>8</v>
      </c>
      <c r="U33" s="1578" t="e">
        <f t="shared" si="13"/>
        <v>#N/A</v>
      </c>
      <c r="V33" s="1577" t="s">
        <v>8</v>
      </c>
      <c r="W33" s="1578" t="e">
        <f t="shared" si="14"/>
        <v>#N/A</v>
      </c>
      <c r="X33" s="1579"/>
      <c r="Y33" s="3392"/>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2"/>
      <c r="Q34" s="1572" t="str">
        <f t="shared" si="11"/>
        <v>建筑结构</v>
      </c>
      <c r="R34" s="1573" t="s">
        <v>8</v>
      </c>
      <c r="S34" s="1574">
        <f t="shared" si="12"/>
        <v>100</v>
      </c>
      <c r="T34" s="1573" t="s">
        <v>8</v>
      </c>
      <c r="U34" s="1574">
        <f t="shared" si="13"/>
        <v>100</v>
      </c>
      <c r="V34" s="1573" t="s">
        <v>8</v>
      </c>
      <c r="W34" s="1574">
        <f t="shared" si="14"/>
        <v>100</v>
      </c>
      <c r="X34" s="1567"/>
      <c r="Y34" s="3392"/>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2"/>
      <c r="Q35" s="1572" t="str">
        <f t="shared" si="11"/>
        <v>公共部分装修</v>
      </c>
      <c r="R35" s="1573" t="s">
        <v>8</v>
      </c>
      <c r="S35" s="1574">
        <f t="shared" si="12"/>
        <v>100</v>
      </c>
      <c r="T35" s="1573" t="s">
        <v>8</v>
      </c>
      <c r="U35" s="1574">
        <f t="shared" si="13"/>
        <v>100</v>
      </c>
      <c r="V35" s="1573" t="s">
        <v>8</v>
      </c>
      <c r="W35" s="1574">
        <f t="shared" si="14"/>
        <v>100</v>
      </c>
      <c r="X35" s="1567"/>
      <c r="Y35" s="3392"/>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2"/>
      <c r="Q36" s="1572" t="str">
        <f t="shared" si="11"/>
        <v>成新度</v>
      </c>
      <c r="R36" s="1573" t="s">
        <v>8</v>
      </c>
      <c r="S36" s="1574" t="e">
        <f t="shared" si="12"/>
        <v>#N/A</v>
      </c>
      <c r="T36" s="1573" t="s">
        <v>8</v>
      </c>
      <c r="U36" s="1574" t="e">
        <f t="shared" si="13"/>
        <v>#N/A</v>
      </c>
      <c r="V36" s="1573" t="s">
        <v>8</v>
      </c>
      <c r="W36" s="1574" t="e">
        <f t="shared" si="14"/>
        <v>#N/A</v>
      </c>
      <c r="X36" s="1567"/>
      <c r="Y36" s="3392"/>
      <c r="Z36" s="1575" t="str">
        <f t="shared" si="15"/>
        <v>成新度</v>
      </c>
      <c r="AA36" s="1576" t="e">
        <f t="shared" si="3"/>
        <v>#N/A</v>
      </c>
      <c r="AB36" s="1576" t="e">
        <f t="shared" si="4"/>
        <v>#N/A</v>
      </c>
      <c r="AC36" s="1576" t="e">
        <f t="shared" si="5"/>
        <v>#N/A</v>
      </c>
    </row>
    <row r="37" spans="1:29" s="1219"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2"/>
      <c r="Q37" s="1150" t="str">
        <f t="shared" si="11"/>
        <v>市政基础设施</v>
      </c>
      <c r="R37" s="1568" t="s">
        <v>8</v>
      </c>
      <c r="S37" s="1569">
        <f t="shared" si="12"/>
        <v>100</v>
      </c>
      <c r="T37" s="1568" t="s">
        <v>8</v>
      </c>
      <c r="U37" s="1569">
        <f t="shared" si="13"/>
        <v>100</v>
      </c>
      <c r="V37" s="1568" t="s">
        <v>8</v>
      </c>
      <c r="W37" s="1569">
        <f t="shared" si="14"/>
        <v>100</v>
      </c>
      <c r="X37" s="1570"/>
      <c r="Y37" s="3392"/>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2" t="s">
        <v>766</v>
      </c>
      <c r="Q38" s="1572" t="str">
        <f t="shared" si="11"/>
        <v>业态</v>
      </c>
      <c r="R38" s="1573" t="s">
        <v>8</v>
      </c>
      <c r="S38" s="1574">
        <f t="shared" si="12"/>
        <v>100</v>
      </c>
      <c r="T38" s="1573" t="s">
        <v>8</v>
      </c>
      <c r="U38" s="1574">
        <f t="shared" si="13"/>
        <v>100</v>
      </c>
      <c r="V38" s="1573" t="s">
        <v>8</v>
      </c>
      <c r="W38" s="1574">
        <f t="shared" si="14"/>
        <v>100</v>
      </c>
      <c r="X38" s="1567"/>
      <c r="Y38" s="3392"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2"/>
      <c r="Q39" s="1572" t="str">
        <f t="shared" si="11"/>
        <v>层高</v>
      </c>
      <c r="R39" s="1573" t="s">
        <v>8</v>
      </c>
      <c r="S39" s="1574">
        <f t="shared" si="12"/>
        <v>100</v>
      </c>
      <c r="T39" s="1573" t="s">
        <v>8</v>
      </c>
      <c r="U39" s="1574">
        <f t="shared" si="13"/>
        <v>100</v>
      </c>
      <c r="V39" s="1573" t="s">
        <v>8</v>
      </c>
      <c r="W39" s="1574">
        <f t="shared" si="14"/>
        <v>100</v>
      </c>
      <c r="X39" s="1567"/>
      <c r="Y39" s="3392"/>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2"/>
      <c r="Q40" s="1572" t="str">
        <f t="shared" si="11"/>
        <v>单套建筑面积</v>
      </c>
      <c r="R40" s="1573" t="s">
        <v>8</v>
      </c>
      <c r="S40" s="1574">
        <f t="shared" si="12"/>
        <v>100</v>
      </c>
      <c r="T40" s="1573" t="s">
        <v>8</v>
      </c>
      <c r="U40" s="1574">
        <f t="shared" si="13"/>
        <v>100</v>
      </c>
      <c r="V40" s="1573" t="s">
        <v>8</v>
      </c>
      <c r="W40" s="1574">
        <f t="shared" si="14"/>
        <v>100</v>
      </c>
      <c r="X40" s="1567"/>
      <c r="Y40" s="3392"/>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2"/>
      <c r="Q41" s="1605" t="str">
        <f t="shared" si="11"/>
        <v>进深比</v>
      </c>
      <c r="R41" s="1577" t="s">
        <v>8</v>
      </c>
      <c r="S41" s="1578">
        <f t="shared" si="12"/>
        <v>100</v>
      </c>
      <c r="T41" s="1577" t="s">
        <v>8</v>
      </c>
      <c r="U41" s="1578">
        <f t="shared" si="13"/>
        <v>100</v>
      </c>
      <c r="V41" s="1577" t="s">
        <v>8</v>
      </c>
      <c r="W41" s="1578">
        <f t="shared" si="14"/>
        <v>100</v>
      </c>
      <c r="X41" s="1579"/>
      <c r="Y41" s="3392"/>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2"/>
      <c r="Q42" s="1572" t="str">
        <f t="shared" si="11"/>
        <v>内部装修</v>
      </c>
      <c r="R42" s="1573" t="s">
        <v>8</v>
      </c>
      <c r="S42" s="1574">
        <f t="shared" si="12"/>
        <v>100</v>
      </c>
      <c r="T42" s="1573" t="s">
        <v>8</v>
      </c>
      <c r="U42" s="1574">
        <f t="shared" si="13"/>
        <v>100</v>
      </c>
      <c r="V42" s="1573" t="s">
        <v>8</v>
      </c>
      <c r="W42" s="1574">
        <f t="shared" si="14"/>
        <v>100</v>
      </c>
      <c r="X42" s="1567"/>
      <c r="Y42" s="3392"/>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2"/>
      <c r="Q43" s="1572" t="str">
        <f t="shared" si="11"/>
        <v>内部装修维护情况</v>
      </c>
      <c r="R43" s="1573" t="s">
        <v>8</v>
      </c>
      <c r="S43" s="1574">
        <f t="shared" si="12"/>
        <v>100</v>
      </c>
      <c r="T43" s="1573" t="s">
        <v>8</v>
      </c>
      <c r="U43" s="1574">
        <f t="shared" si="13"/>
        <v>100</v>
      </c>
      <c r="V43" s="1573" t="s">
        <v>8</v>
      </c>
      <c r="W43" s="1574">
        <f t="shared" si="14"/>
        <v>100</v>
      </c>
      <c r="X43" s="1567"/>
      <c r="Y43" s="339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2"/>
      <c r="Q44" s="1150">
        <f t="shared" si="11"/>
        <v>111</v>
      </c>
      <c r="R44" s="1568" t="s">
        <v>8</v>
      </c>
      <c r="S44" s="1569">
        <f t="shared" si="12"/>
        <v>100</v>
      </c>
      <c r="T44" s="1568" t="s">
        <v>8</v>
      </c>
      <c r="U44" s="1569">
        <f t="shared" si="13"/>
        <v>100</v>
      </c>
      <c r="V44" s="1568" t="s">
        <v>8</v>
      </c>
      <c r="W44" s="1569">
        <f t="shared" si="14"/>
        <v>100</v>
      </c>
      <c r="X44" s="1570"/>
      <c r="Y44" s="339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2"/>
      <c r="Q45" s="1572">
        <f t="shared" si="11"/>
        <v>111</v>
      </c>
      <c r="R45" s="1573" t="s">
        <v>8</v>
      </c>
      <c r="S45" s="1574">
        <f t="shared" si="12"/>
        <v>100</v>
      </c>
      <c r="T45" s="1573" t="s">
        <v>8</v>
      </c>
      <c r="U45" s="1574">
        <f t="shared" si="13"/>
        <v>100</v>
      </c>
      <c r="V45" s="1573" t="s">
        <v>8</v>
      </c>
      <c r="W45" s="1574">
        <f t="shared" si="14"/>
        <v>100</v>
      </c>
      <c r="X45" s="1567"/>
      <c r="Y45" s="3392"/>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0"/>
      <c r="Q46" s="1572">
        <f t="shared" si="11"/>
        <v>111</v>
      </c>
      <c r="R46" s="1573" t="s">
        <v>8</v>
      </c>
      <c r="S46" s="1574">
        <f t="shared" si="12"/>
        <v>100</v>
      </c>
      <c r="T46" s="1573" t="s">
        <v>8</v>
      </c>
      <c r="U46" s="1574">
        <f t="shared" si="13"/>
        <v>100</v>
      </c>
      <c r="V46" s="1573" t="s">
        <v>8</v>
      </c>
      <c r="W46" s="1574">
        <f t="shared" si="14"/>
        <v>100</v>
      </c>
      <c r="X46" s="1567"/>
      <c r="Y46" s="3470"/>
      <c r="Z46" s="1575">
        <f t="shared" si="15"/>
        <v>111</v>
      </c>
      <c r="AA46" s="1576">
        <f t="shared" si="3"/>
        <v>1</v>
      </c>
      <c r="AB46" s="1576">
        <f t="shared" si="4"/>
        <v>1</v>
      </c>
      <c r="AC46" s="1576">
        <f t="shared" si="5"/>
        <v>1</v>
      </c>
    </row>
    <row r="47" spans="1:29" ht="15">
      <c r="A47" s="606" t="s">
        <v>736</v>
      </c>
      <c r="B47" s="886"/>
      <c r="C47" s="2606" t="s">
        <v>1</v>
      </c>
      <c r="D47" s="2607"/>
      <c r="E47" s="2608"/>
      <c r="F47" s="2609"/>
      <c r="G47" s="2610"/>
      <c r="H47" s="2611"/>
      <c r="I47" s="2608"/>
      <c r="J47" s="2611"/>
      <c r="K47" s="1611"/>
      <c r="L47" s="2144"/>
      <c r="M47" s="2145"/>
      <c r="N47" s="2134"/>
      <c r="O47" s="2145"/>
      <c r="P47" s="3354" t="str">
        <f>A47</f>
        <v>成交单价（元/平方米）</v>
      </c>
      <c r="Q47" s="3354"/>
      <c r="R47" s="3469">
        <f>E47</f>
        <v>0</v>
      </c>
      <c r="S47" s="3469"/>
      <c r="T47" s="3469">
        <f>G47</f>
        <v>0</v>
      </c>
      <c r="U47" s="3469"/>
      <c r="V47" s="3469">
        <f>I47</f>
        <v>0</v>
      </c>
      <c r="W47" s="3469"/>
      <c r="X47" s="1559"/>
      <c r="Y47" s="1581"/>
      <c r="Z47" s="1559"/>
      <c r="AA47" s="1559"/>
      <c r="AB47" s="1559"/>
      <c r="AC47" s="1559"/>
    </row>
    <row r="48" spans="1:29" ht="15.75" thickBot="1">
      <c r="A48" s="614" t="s">
        <v>2761</v>
      </c>
      <c r="B48" s="887"/>
      <c r="C48" s="2612" t="e">
        <f>R49</f>
        <v>#DIV/0!</v>
      </c>
      <c r="D48" s="2613"/>
      <c r="E48" s="2614" t="e">
        <f>R48</f>
        <v>#DIV/0!</v>
      </c>
      <c r="F48" s="2614"/>
      <c r="G48" s="2612" t="e">
        <f>T48</f>
        <v>#DIV/0!</v>
      </c>
      <c r="H48" s="2613"/>
      <c r="I48" s="2614" t="e">
        <f>V48</f>
        <v>#DIV/0!</v>
      </c>
      <c r="J48" s="2613"/>
      <c r="K48" s="1612"/>
      <c r="L48" s="2144"/>
      <c r="M48" s="2145"/>
      <c r="N48" s="2134"/>
      <c r="O48" s="2145"/>
      <c r="P48" s="3354" t="str">
        <f>A48</f>
        <v>比较价格（元/平方米）</v>
      </c>
      <c r="Q48" s="3354"/>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9"/>
      <c r="Y48" s="1559"/>
      <c r="Z48" s="1559"/>
      <c r="AA48" s="1559"/>
      <c r="AB48" s="1559"/>
      <c r="AC48" s="1559"/>
    </row>
    <row r="49" spans="1:29" ht="15.75" thickBot="1">
      <c r="A49" s="620" t="s">
        <v>2937</v>
      </c>
      <c r="B49" s="621"/>
      <c r="C49" s="2615" t="e">
        <f>R49</f>
        <v>#DIV/0!</v>
      </c>
      <c r="D49" s="2615"/>
      <c r="E49" s="2615"/>
      <c r="F49" s="2615"/>
      <c r="G49" s="2615"/>
      <c r="H49" s="2615"/>
      <c r="I49" s="2615"/>
      <c r="J49" s="2615"/>
      <c r="K49" s="1613"/>
      <c r="L49" s="2144"/>
      <c r="M49" s="2145"/>
      <c r="N49" s="2134"/>
      <c r="O49" s="2145"/>
      <c r="P49" s="3351" t="str">
        <f>A49</f>
        <v>估价对象XX用房的比较价格（楼面单价，元/平方米）</v>
      </c>
      <c r="Q49" s="3352"/>
      <c r="R49" s="3468" t="e">
        <f>IF(F1="售价",ROUND(AVERAGE(R48:V48),0),ROUND(AVERAGE(R48:V48),1))</f>
        <v>#DIV/0!</v>
      </c>
      <c r="S49" s="3468"/>
      <c r="T49" s="3468"/>
      <c r="U49" s="3468"/>
      <c r="V49" s="3468"/>
      <c r="W49" s="346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2559</v>
      </c>
      <c r="C82" s="2577" t="s">
        <v>2560</v>
      </c>
      <c r="D82" s="2577" t="s">
        <v>2561</v>
      </c>
      <c r="E82" s="2577" t="s">
        <v>2562</v>
      </c>
      <c r="F82" s="2577" t="s">
        <v>2563</v>
      </c>
      <c r="G82" s="2577" t="s">
        <v>2564</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5"/>
      <c r="G1" s="1601" t="s">
        <v>721</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521</v>
      </c>
      <c r="B4" s="512"/>
      <c r="C4" s="3360" t="s">
        <v>522</v>
      </c>
      <c r="D4" s="3361"/>
      <c r="E4" s="3395" t="s">
        <v>523</v>
      </c>
      <c r="F4" s="3396"/>
      <c r="G4" s="3360" t="s">
        <v>524</v>
      </c>
      <c r="H4" s="3361"/>
      <c r="I4" s="3360" t="s">
        <v>525</v>
      </c>
      <c r="J4" s="3361"/>
      <c r="K4" s="513" t="s">
        <v>526</v>
      </c>
      <c r="L4" s="2133"/>
      <c r="M4" s="2134"/>
      <c r="N4" s="2134"/>
      <c r="O4" s="2134"/>
      <c r="P4" s="3472" t="s">
        <v>527</v>
      </c>
      <c r="Q4" s="3363"/>
      <c r="R4" s="3368" t="s">
        <v>523</v>
      </c>
      <c r="S4" s="3369"/>
      <c r="T4" s="3368" t="s">
        <v>524</v>
      </c>
      <c r="U4" s="3369"/>
      <c r="V4" s="3355" t="s">
        <v>525</v>
      </c>
      <c r="W4" s="3355"/>
      <c r="X4" s="1567"/>
      <c r="Y4" s="3368" t="s">
        <v>527</v>
      </c>
      <c r="Z4" s="3369"/>
      <c r="AA4" s="3357" t="s">
        <v>523</v>
      </c>
      <c r="AB4" s="3357" t="s">
        <v>524</v>
      </c>
      <c r="AC4" s="3357" t="s">
        <v>525</v>
      </c>
    </row>
    <row r="5" spans="1:29" ht="15">
      <c r="A5" s="514"/>
      <c r="B5" s="515"/>
      <c r="C5" s="3376" t="s">
        <v>2931</v>
      </c>
      <c r="D5" s="3377"/>
      <c r="E5" s="3397" t="s">
        <v>2932</v>
      </c>
      <c r="F5" s="3398"/>
      <c r="G5" s="3376" t="s">
        <v>2933</v>
      </c>
      <c r="H5" s="3377"/>
      <c r="I5" s="3376" t="s">
        <v>2934</v>
      </c>
      <c r="J5" s="3377"/>
      <c r="K5" s="513"/>
      <c r="L5" s="2133"/>
      <c r="M5" s="2134"/>
      <c r="N5" s="2134"/>
      <c r="O5" s="2134"/>
      <c r="P5" s="3473"/>
      <c r="Q5" s="3365"/>
      <c r="R5" s="3370"/>
      <c r="S5" s="3371"/>
      <c r="T5" s="3370"/>
      <c r="U5" s="3371"/>
      <c r="V5" s="3355"/>
      <c r="W5" s="3355"/>
      <c r="X5" s="1567"/>
      <c r="Y5" s="3370"/>
      <c r="Z5" s="3371"/>
      <c r="AA5" s="3358"/>
      <c r="AB5" s="3358"/>
      <c r="AC5" s="3358"/>
    </row>
    <row r="6" spans="1:29" ht="15.75" thickBot="1">
      <c r="A6" s="516"/>
      <c r="B6" s="517"/>
      <c r="C6" s="3374" t="s">
        <v>2935</v>
      </c>
      <c r="D6" s="3375"/>
      <c r="E6" s="3393" t="s">
        <v>2935</v>
      </c>
      <c r="F6" s="3394"/>
      <c r="G6" s="3374" t="s">
        <v>2935</v>
      </c>
      <c r="H6" s="3375"/>
      <c r="I6" s="3374" t="s">
        <v>2935</v>
      </c>
      <c r="J6" s="3375"/>
      <c r="K6" s="513" t="s">
        <v>528</v>
      </c>
      <c r="L6" s="2133"/>
      <c r="M6" s="2134"/>
      <c r="N6" s="2134"/>
      <c r="O6" s="2134"/>
      <c r="P6" s="3474"/>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88" t="s">
        <v>530</v>
      </c>
      <c r="Q7" s="3388"/>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88" t="s">
        <v>533</v>
      </c>
      <c r="Q8" s="3387"/>
      <c r="R8" s="1568" t="s">
        <v>8</v>
      </c>
      <c r="S8" s="1569">
        <f t="shared" si="0"/>
        <v>0</v>
      </c>
      <c r="T8" s="1568" t="s">
        <v>8</v>
      </c>
      <c r="U8" s="1569">
        <f t="shared" si="1"/>
        <v>0</v>
      </c>
      <c r="V8" s="1568" t="s">
        <v>8</v>
      </c>
      <c r="W8" s="1569">
        <f t="shared" si="2"/>
        <v>0</v>
      </c>
      <c r="X8" s="1570"/>
      <c r="Y8" s="3386" t="s">
        <v>533</v>
      </c>
      <c r="Z8" s="3387"/>
      <c r="AA8" s="1571" t="e">
        <f t="shared" ref="AA8:AA47" si="3">D8/F8</f>
        <v>#DIV/0!</v>
      </c>
      <c r="AB8" s="1571" t="e">
        <f t="shared" ref="AB8:AB47" si="4">D8/H8</f>
        <v>#DIV/0!</v>
      </c>
      <c r="AC8" s="1571" t="e">
        <f t="shared" ref="AC8:AC47" si="5">D8/J8</f>
        <v>#DIV/0!</v>
      </c>
    </row>
    <row r="9" spans="1:29" s="1219" customFormat="1" ht="15">
      <c r="A9" s="2892"/>
      <c r="B9" s="2899"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54" t="s">
        <v>535</v>
      </c>
      <c r="Q9" s="1150" t="str">
        <f t="shared" ref="Q9:Q15" si="6">B9</f>
        <v>用途</v>
      </c>
      <c r="R9" s="1568" t="s">
        <v>8</v>
      </c>
      <c r="S9" s="1569">
        <f t="shared" si="0"/>
        <v>100</v>
      </c>
      <c r="T9" s="1568" t="s">
        <v>8</v>
      </c>
      <c r="U9" s="1569">
        <f t="shared" si="1"/>
        <v>100</v>
      </c>
      <c r="V9" s="1568" t="s">
        <v>8</v>
      </c>
      <c r="W9" s="1569">
        <f t="shared" si="2"/>
        <v>100</v>
      </c>
      <c r="X9" s="1570"/>
      <c r="Y9" s="3300"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4"/>
      <c r="B11" s="2898"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54"/>
      <c r="Q11" s="1150" t="str">
        <f t="shared" si="6"/>
        <v>容积率</v>
      </c>
      <c r="R11" s="1568" t="s">
        <v>8</v>
      </c>
      <c r="S11" s="1569" t="e">
        <f t="shared" si="0"/>
        <v>#N/A</v>
      </c>
      <c r="T11" s="1568" t="s">
        <v>8</v>
      </c>
      <c r="U11" s="1569" t="e">
        <f t="shared" si="1"/>
        <v>#N/A</v>
      </c>
      <c r="V11" s="1568" t="s">
        <v>8</v>
      </c>
      <c r="W11" s="1569" t="e">
        <f t="shared" si="2"/>
        <v>#N/A</v>
      </c>
      <c r="X11" s="1570"/>
      <c r="Y11" s="3300"/>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
      <c r="A13" s="2895"/>
      <c r="B13" s="2901">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15.75" thickBot="1">
      <c r="A14" s="2896"/>
      <c r="B14" s="2902">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54"/>
      <c r="Q14" s="1150">
        <f t="shared" si="6"/>
        <v>111</v>
      </c>
      <c r="R14" s="1568" t="s">
        <v>8</v>
      </c>
      <c r="S14" s="1569">
        <f t="shared" si="0"/>
        <v>100</v>
      </c>
      <c r="T14" s="1568" t="s">
        <v>8</v>
      </c>
      <c r="U14" s="1569">
        <f t="shared" si="1"/>
        <v>100</v>
      </c>
      <c r="V14" s="1568" t="s">
        <v>8</v>
      </c>
      <c r="W14" s="1569">
        <f t="shared" si="2"/>
        <v>100</v>
      </c>
      <c r="X14" s="1570"/>
      <c r="Y14" s="3300"/>
      <c r="Z14" s="1149">
        <f t="shared" si="7"/>
        <v>111</v>
      </c>
      <c r="AA14" s="1571">
        <f t="shared" si="3"/>
        <v>1</v>
      </c>
      <c r="AB14" s="1571">
        <f t="shared" si="4"/>
        <v>1</v>
      </c>
      <c r="AC14" s="1571">
        <f t="shared" si="5"/>
        <v>1</v>
      </c>
    </row>
    <row r="15" spans="1:29" ht="71.25">
      <c r="A15" s="2888"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89" t="s">
        <v>540</v>
      </c>
      <c r="Q15" s="1572" t="str">
        <f t="shared" si="6"/>
        <v>办公集聚程度</v>
      </c>
      <c r="R15" s="1573" t="s">
        <v>8</v>
      </c>
      <c r="S15" s="1574">
        <f t="shared" si="0"/>
        <v>100</v>
      </c>
      <c r="T15" s="1573" t="s">
        <v>8</v>
      </c>
      <c r="U15" s="1574">
        <f t="shared" si="1"/>
        <v>100</v>
      </c>
      <c r="V15" s="1573" t="s">
        <v>8</v>
      </c>
      <c r="W15" s="1574">
        <f t="shared" si="2"/>
        <v>100</v>
      </c>
      <c r="X15" s="1567"/>
      <c r="Y15" s="3389"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390"/>
      <c r="Q16" s="1572"/>
      <c r="R16" s="1573"/>
      <c r="S16" s="1574"/>
      <c r="T16" s="1573"/>
      <c r="U16" s="1574"/>
      <c r="V16" s="1573"/>
      <c r="W16" s="1574"/>
      <c r="X16" s="1567"/>
      <c r="Y16" s="3390"/>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390"/>
      <c r="Q18" s="1572"/>
      <c r="R18" s="1573"/>
      <c r="S18" s="1574"/>
      <c r="T18" s="1573"/>
      <c r="U18" s="1574"/>
      <c r="V18" s="1573"/>
      <c r="W18" s="1574"/>
      <c r="X18" s="1567"/>
      <c r="Y18" s="3390"/>
      <c r="Z18" s="1575"/>
      <c r="AA18" s="1576">
        <v>1</v>
      </c>
      <c r="AB18" s="1576">
        <v>1</v>
      </c>
      <c r="AC18" s="1576">
        <v>1</v>
      </c>
    </row>
    <row r="19" spans="1:29" ht="42.75">
      <c r="A19" s="531"/>
      <c r="B19" s="2582"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390"/>
      <c r="Q20" s="1572"/>
      <c r="R20" s="1573"/>
      <c r="S20" s="1574"/>
      <c r="T20" s="1573"/>
      <c r="U20" s="1574"/>
      <c r="V20" s="1573"/>
      <c r="W20" s="1574"/>
      <c r="X20" s="1567"/>
      <c r="Y20" s="3390"/>
      <c r="Z20" s="1575"/>
      <c r="AA20" s="1576">
        <v>1</v>
      </c>
      <c r="AB20" s="1576">
        <v>1</v>
      </c>
      <c r="AC20" s="1576">
        <v>1</v>
      </c>
    </row>
    <row r="21" spans="1:29" ht="28.5">
      <c r="A21" s="531"/>
      <c r="B21" s="2570"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90"/>
      <c r="Q21" s="2558" t="str">
        <f>B21</f>
        <v>基础设施水平</v>
      </c>
      <c r="R21" s="1573" t="s">
        <v>8</v>
      </c>
      <c r="S21" s="1574">
        <f>F21</f>
        <v>100</v>
      </c>
      <c r="T21" s="1573" t="s">
        <v>8</v>
      </c>
      <c r="U21" s="1574">
        <f>H21</f>
        <v>100</v>
      </c>
      <c r="V21" s="1573" t="s">
        <v>8</v>
      </c>
      <c r="W21" s="1574">
        <f>J21</f>
        <v>100</v>
      </c>
      <c r="X21" s="2560"/>
      <c r="Y21" s="3390"/>
      <c r="Z21" s="2559"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81"/>
      <c r="L22" s="2142"/>
      <c r="M22" s="2134"/>
      <c r="N22" s="2134"/>
      <c r="O22" s="2134"/>
      <c r="P22" s="3390"/>
      <c r="Q22" s="2558"/>
      <c r="R22" s="1573"/>
      <c r="S22" s="1574"/>
      <c r="T22" s="1573"/>
      <c r="U22" s="1574"/>
      <c r="V22" s="1573"/>
      <c r="W22" s="1574"/>
      <c r="X22" s="2560"/>
      <c r="Y22" s="3390"/>
      <c r="Z22" s="2559"/>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390"/>
      <c r="Q24" s="1572"/>
      <c r="R24" s="1573"/>
      <c r="S24" s="1574"/>
      <c r="T24" s="1573"/>
      <c r="U24" s="1574"/>
      <c r="V24" s="1573"/>
      <c r="W24" s="1574"/>
      <c r="X24" s="1567"/>
      <c r="Y24" s="3390"/>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90"/>
      <c r="Q25" s="1572" t="str">
        <f>B25</f>
        <v>毗邻道路的类型与等级</v>
      </c>
      <c r="R25" s="1573" t="s">
        <v>8</v>
      </c>
      <c r="S25" s="1574">
        <f>F25</f>
        <v>100</v>
      </c>
      <c r="T25" s="1573" t="s">
        <v>8</v>
      </c>
      <c r="U25" s="1574">
        <f>H25</f>
        <v>100</v>
      </c>
      <c r="V25" s="1573" t="s">
        <v>8</v>
      </c>
      <c r="W25" s="1574">
        <f>J25</f>
        <v>100</v>
      </c>
      <c r="X25" s="1567"/>
      <c r="Y25" s="3390"/>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390"/>
      <c r="Q26" s="1572"/>
      <c r="R26" s="1573"/>
      <c r="S26" s="1574"/>
      <c r="T26" s="1573"/>
      <c r="U26" s="1574"/>
      <c r="V26" s="1573"/>
      <c r="W26" s="1574"/>
      <c r="X26" s="1567"/>
      <c r="Y26" s="3390"/>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0"/>
      <c r="Q27" s="1572" t="str">
        <f t="shared" ref="Q27:Q47" si="11">B27</f>
        <v>楼层</v>
      </c>
      <c r="R27" s="1573" t="s">
        <v>8</v>
      </c>
      <c r="S27" s="1574">
        <f>F27</f>
        <v>100</v>
      </c>
      <c r="T27" s="1573" t="s">
        <v>8</v>
      </c>
      <c r="U27" s="1574">
        <f>H27</f>
        <v>100</v>
      </c>
      <c r="V27" s="1573" t="s">
        <v>8</v>
      </c>
      <c r="W27" s="1574">
        <f>J27</f>
        <v>100</v>
      </c>
      <c r="X27" s="1567"/>
      <c r="Y27" s="3390"/>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0"/>
      <c r="Q28" s="1150" t="str">
        <f t="shared" si="11"/>
        <v>朝向</v>
      </c>
      <c r="R28" s="1568" t="s">
        <v>8</v>
      </c>
      <c r="S28" s="1569">
        <f>F28</f>
        <v>100</v>
      </c>
      <c r="T28" s="1568" t="s">
        <v>8</v>
      </c>
      <c r="U28" s="1569">
        <f>H28</f>
        <v>100</v>
      </c>
      <c r="V28" s="1568" t="s">
        <v>8</v>
      </c>
      <c r="W28" s="1569">
        <f>J28</f>
        <v>100</v>
      </c>
      <c r="X28" s="1570"/>
      <c r="Y28" s="3390"/>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0"/>
      <c r="Q29" s="1572">
        <f t="shared" si="11"/>
        <v>111</v>
      </c>
      <c r="R29" s="1573" t="s">
        <v>8</v>
      </c>
      <c r="S29" s="1574">
        <f t="shared" ref="S29:S47" si="12">F29</f>
        <v>100</v>
      </c>
      <c r="T29" s="1573" t="s">
        <v>8</v>
      </c>
      <c r="U29" s="1574">
        <f t="shared" ref="U29:U47" si="13">H29</f>
        <v>100</v>
      </c>
      <c r="V29" s="1573" t="s">
        <v>8</v>
      </c>
      <c r="W29" s="1574">
        <f t="shared" ref="W29:W47" si="14">J29</f>
        <v>100</v>
      </c>
      <c r="X29" s="1567"/>
      <c r="Y29" s="3390"/>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0"/>
      <c r="Q32" s="1572">
        <f t="shared" si="11"/>
        <v>111</v>
      </c>
      <c r="R32" s="1573" t="s">
        <v>8</v>
      </c>
      <c r="S32" s="1574">
        <f t="shared" si="12"/>
        <v>100</v>
      </c>
      <c r="T32" s="1573" t="s">
        <v>8</v>
      </c>
      <c r="U32" s="1574">
        <f t="shared" si="13"/>
        <v>100</v>
      </c>
      <c r="V32" s="1573" t="s">
        <v>8</v>
      </c>
      <c r="W32" s="1574">
        <f t="shared" si="14"/>
        <v>100</v>
      </c>
      <c r="X32" s="1567"/>
      <c r="Y32" s="3390"/>
      <c r="Z32" s="1575">
        <f t="shared" si="15"/>
        <v>111</v>
      </c>
      <c r="AA32" s="1576">
        <f t="shared" si="3"/>
        <v>1</v>
      </c>
      <c r="AB32" s="1576">
        <f t="shared" si="4"/>
        <v>1</v>
      </c>
      <c r="AC32" s="1576">
        <f t="shared" si="5"/>
        <v>1</v>
      </c>
    </row>
    <row r="33" spans="1:29" ht="15">
      <c r="A33" s="2885"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91" t="s">
        <v>550</v>
      </c>
      <c r="Q33" s="1572" t="str">
        <f t="shared" si="11"/>
        <v>建筑类型</v>
      </c>
      <c r="R33" s="1573" t="s">
        <v>8</v>
      </c>
      <c r="S33" s="1574">
        <f t="shared" si="12"/>
        <v>100</v>
      </c>
      <c r="T33" s="1573" t="s">
        <v>8</v>
      </c>
      <c r="U33" s="1574">
        <f t="shared" si="13"/>
        <v>100</v>
      </c>
      <c r="V33" s="1573" t="s">
        <v>8</v>
      </c>
      <c r="W33" s="1574">
        <f t="shared" si="14"/>
        <v>100</v>
      </c>
      <c r="X33" s="1567"/>
      <c r="Y33" s="3392"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92"/>
      <c r="Q34" s="1605" t="str">
        <f t="shared" si="11"/>
        <v>项目建筑规模</v>
      </c>
      <c r="R34" s="1577" t="s">
        <v>8</v>
      </c>
      <c r="S34" s="1578" t="e">
        <f t="shared" si="12"/>
        <v>#N/A</v>
      </c>
      <c r="T34" s="1577" t="s">
        <v>8</v>
      </c>
      <c r="U34" s="1578" t="e">
        <f t="shared" si="13"/>
        <v>#N/A</v>
      </c>
      <c r="V34" s="1577" t="s">
        <v>8</v>
      </c>
      <c r="W34" s="1578" t="e">
        <f t="shared" si="14"/>
        <v>#N/A</v>
      </c>
      <c r="X34" s="1579"/>
      <c r="Y34" s="3392"/>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92"/>
      <c r="Q35" s="1572" t="str">
        <f t="shared" si="11"/>
        <v>建筑结构</v>
      </c>
      <c r="R35" s="1573" t="s">
        <v>8</v>
      </c>
      <c r="S35" s="1574">
        <f t="shared" si="12"/>
        <v>100</v>
      </c>
      <c r="T35" s="1573" t="s">
        <v>8</v>
      </c>
      <c r="U35" s="1574">
        <f t="shared" si="13"/>
        <v>100</v>
      </c>
      <c r="V35" s="1573" t="s">
        <v>8</v>
      </c>
      <c r="W35" s="1574">
        <f t="shared" si="14"/>
        <v>100</v>
      </c>
      <c r="X35" s="1567"/>
      <c r="Y35" s="3392"/>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92"/>
      <c r="Q36" s="1572" t="str">
        <f t="shared" si="11"/>
        <v>公共部分装修</v>
      </c>
      <c r="R36" s="1573" t="s">
        <v>8</v>
      </c>
      <c r="S36" s="1574">
        <f t="shared" si="12"/>
        <v>100</v>
      </c>
      <c r="T36" s="1573" t="s">
        <v>8</v>
      </c>
      <c r="U36" s="1574">
        <f t="shared" si="13"/>
        <v>100</v>
      </c>
      <c r="V36" s="1573" t="s">
        <v>8</v>
      </c>
      <c r="W36" s="1574">
        <f t="shared" si="14"/>
        <v>100</v>
      </c>
      <c r="X36" s="1567"/>
      <c r="Y36" s="3392"/>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92"/>
      <c r="Q37" s="1572" t="str">
        <f t="shared" si="11"/>
        <v>成新度</v>
      </c>
      <c r="R37" s="1573" t="s">
        <v>8</v>
      </c>
      <c r="S37" s="1574" t="e">
        <f t="shared" si="12"/>
        <v>#N/A</v>
      </c>
      <c r="T37" s="1573" t="s">
        <v>8</v>
      </c>
      <c r="U37" s="1574" t="e">
        <f t="shared" si="13"/>
        <v>#N/A</v>
      </c>
      <c r="V37" s="1573" t="s">
        <v>8</v>
      </c>
      <c r="W37" s="1574" t="e">
        <f t="shared" si="14"/>
        <v>#N/A</v>
      </c>
      <c r="X37" s="1567"/>
      <c r="Y37" s="3392"/>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92"/>
      <c r="Q38" s="1150" t="str">
        <f t="shared" si="11"/>
        <v>写字楼等级</v>
      </c>
      <c r="R38" s="1568" t="s">
        <v>8</v>
      </c>
      <c r="S38" s="1569">
        <f t="shared" si="12"/>
        <v>100</v>
      </c>
      <c r="T38" s="1568" t="s">
        <v>8</v>
      </c>
      <c r="U38" s="1569">
        <f t="shared" si="13"/>
        <v>100</v>
      </c>
      <c r="V38" s="1568" t="s">
        <v>8</v>
      </c>
      <c r="W38" s="1569">
        <f t="shared" si="14"/>
        <v>100</v>
      </c>
      <c r="X38" s="1570"/>
      <c r="Y38" s="3392"/>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92" t="s">
        <v>550</v>
      </c>
      <c r="Q39" s="1572" t="str">
        <f t="shared" si="11"/>
        <v>物业管理</v>
      </c>
      <c r="R39" s="1573" t="s">
        <v>8</v>
      </c>
      <c r="S39" s="1574">
        <f t="shared" si="12"/>
        <v>100</v>
      </c>
      <c r="T39" s="1573" t="s">
        <v>8</v>
      </c>
      <c r="U39" s="1574">
        <f t="shared" si="13"/>
        <v>100</v>
      </c>
      <c r="V39" s="1573" t="s">
        <v>8</v>
      </c>
      <c r="W39" s="1574">
        <f t="shared" si="14"/>
        <v>100</v>
      </c>
      <c r="X39" s="1567"/>
      <c r="Y39" s="3392" t="s">
        <v>550</v>
      </c>
      <c r="Z39" s="1575" t="str">
        <f t="shared" si="15"/>
        <v>物业管理</v>
      </c>
      <c r="AA39" s="1576">
        <f t="shared" si="3"/>
        <v>1</v>
      </c>
      <c r="AB39" s="1576">
        <f t="shared" si="4"/>
        <v>1</v>
      </c>
      <c r="AC39" s="1576">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92"/>
      <c r="Q40" s="1572" t="str">
        <f t="shared" si="11"/>
        <v>市政基础设施</v>
      </c>
      <c r="R40" s="1573" t="s">
        <v>8</v>
      </c>
      <c r="S40" s="1574">
        <f t="shared" si="12"/>
        <v>100</v>
      </c>
      <c r="T40" s="1573" t="s">
        <v>8</v>
      </c>
      <c r="U40" s="1574">
        <f t="shared" si="13"/>
        <v>100</v>
      </c>
      <c r="V40" s="1573" t="s">
        <v>8</v>
      </c>
      <c r="W40" s="1574">
        <f t="shared" si="14"/>
        <v>100</v>
      </c>
      <c r="X40" s="1567"/>
      <c r="Y40" s="3392"/>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92"/>
      <c r="Q41" s="1572" t="str">
        <f t="shared" si="11"/>
        <v>层高</v>
      </c>
      <c r="R41" s="1573" t="s">
        <v>8</v>
      </c>
      <c r="S41" s="1574">
        <f t="shared" si="12"/>
        <v>100</v>
      </c>
      <c r="T41" s="1573" t="s">
        <v>8</v>
      </c>
      <c r="U41" s="1574">
        <f t="shared" si="13"/>
        <v>100</v>
      </c>
      <c r="V41" s="1573" t="s">
        <v>8</v>
      </c>
      <c r="W41" s="1574">
        <f t="shared" si="14"/>
        <v>100</v>
      </c>
      <c r="X41" s="1567"/>
      <c r="Y41" s="3392"/>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2"/>
      <c r="Q42" s="1605" t="str">
        <f t="shared" si="11"/>
        <v>单套建筑面积</v>
      </c>
      <c r="R42" s="1577" t="s">
        <v>8</v>
      </c>
      <c r="S42" s="1578">
        <f t="shared" si="12"/>
        <v>100</v>
      </c>
      <c r="T42" s="1577" t="s">
        <v>8</v>
      </c>
      <c r="U42" s="1578">
        <f t="shared" si="13"/>
        <v>100</v>
      </c>
      <c r="V42" s="1577" t="s">
        <v>8</v>
      </c>
      <c r="W42" s="1578">
        <f t="shared" si="14"/>
        <v>100</v>
      </c>
      <c r="X42" s="1579"/>
      <c r="Y42" s="3392"/>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92"/>
      <c r="Q43" s="1572" t="str">
        <f t="shared" si="11"/>
        <v>内部装修</v>
      </c>
      <c r="R43" s="1573" t="s">
        <v>8</v>
      </c>
      <c r="S43" s="1574">
        <f t="shared" si="12"/>
        <v>100</v>
      </c>
      <c r="T43" s="1573" t="s">
        <v>8</v>
      </c>
      <c r="U43" s="1574">
        <f t="shared" si="13"/>
        <v>100</v>
      </c>
      <c r="V43" s="1573" t="s">
        <v>8</v>
      </c>
      <c r="W43" s="1574">
        <f t="shared" si="14"/>
        <v>100</v>
      </c>
      <c r="X43" s="1567"/>
      <c r="Y43" s="3392"/>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92"/>
      <c r="Q44" s="1572" t="str">
        <f t="shared" si="11"/>
        <v>内部装修维护情况</v>
      </c>
      <c r="R44" s="1573" t="s">
        <v>8</v>
      </c>
      <c r="S44" s="1574">
        <f t="shared" si="12"/>
        <v>100</v>
      </c>
      <c r="T44" s="1573" t="s">
        <v>8</v>
      </c>
      <c r="U44" s="1574">
        <f t="shared" si="13"/>
        <v>100</v>
      </c>
      <c r="V44" s="1573" t="s">
        <v>8</v>
      </c>
      <c r="W44" s="1574">
        <f t="shared" si="14"/>
        <v>100</v>
      </c>
      <c r="X44" s="1567"/>
      <c r="Y44" s="3392"/>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2"/>
      <c r="Q45" s="1150">
        <f t="shared" si="11"/>
        <v>111</v>
      </c>
      <c r="R45" s="1568" t="s">
        <v>8</v>
      </c>
      <c r="S45" s="1569">
        <f t="shared" si="12"/>
        <v>100</v>
      </c>
      <c r="T45" s="1568" t="s">
        <v>8</v>
      </c>
      <c r="U45" s="1569">
        <f t="shared" si="13"/>
        <v>100</v>
      </c>
      <c r="V45" s="1568" t="s">
        <v>8</v>
      </c>
      <c r="W45" s="1569">
        <f t="shared" si="14"/>
        <v>100</v>
      </c>
      <c r="X45" s="1570"/>
      <c r="Y45" s="3392"/>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2"/>
      <c r="Q46" s="1572">
        <f t="shared" si="11"/>
        <v>111</v>
      </c>
      <c r="R46" s="1573" t="s">
        <v>8</v>
      </c>
      <c r="S46" s="1574">
        <f t="shared" si="12"/>
        <v>100</v>
      </c>
      <c r="T46" s="1573" t="s">
        <v>8</v>
      </c>
      <c r="U46" s="1574">
        <f t="shared" si="13"/>
        <v>100</v>
      </c>
      <c r="V46" s="1573" t="s">
        <v>8</v>
      </c>
      <c r="W46" s="1574">
        <f t="shared" si="14"/>
        <v>100</v>
      </c>
      <c r="X46" s="1567"/>
      <c r="Y46" s="3392"/>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0"/>
      <c r="Q47" s="1572">
        <f t="shared" si="11"/>
        <v>111</v>
      </c>
      <c r="R47" s="1573" t="s">
        <v>8</v>
      </c>
      <c r="S47" s="1574">
        <f t="shared" si="12"/>
        <v>100</v>
      </c>
      <c r="T47" s="1573" t="s">
        <v>8</v>
      </c>
      <c r="U47" s="1574">
        <f t="shared" si="13"/>
        <v>100</v>
      </c>
      <c r="V47" s="1573" t="s">
        <v>8</v>
      </c>
      <c r="W47" s="1574">
        <f t="shared" si="14"/>
        <v>100</v>
      </c>
      <c r="X47" s="1567"/>
      <c r="Y47" s="3470"/>
      <c r="Z47" s="1575">
        <f t="shared" si="15"/>
        <v>111</v>
      </c>
      <c r="AA47" s="1576">
        <f t="shared" si="3"/>
        <v>1</v>
      </c>
      <c r="AB47" s="1576">
        <f t="shared" si="4"/>
        <v>1</v>
      </c>
      <c r="AC47" s="1576">
        <f t="shared" si="5"/>
        <v>1</v>
      </c>
    </row>
    <row r="48" spans="1:29" ht="15">
      <c r="A48" s="606" t="s">
        <v>736</v>
      </c>
      <c r="B48" s="886"/>
      <c r="C48" s="2606" t="s">
        <v>1</v>
      </c>
      <c r="D48" s="2607"/>
      <c r="E48" s="2608"/>
      <c r="F48" s="2609"/>
      <c r="G48" s="2610"/>
      <c r="H48" s="2611"/>
      <c r="I48" s="2608"/>
      <c r="J48" s="2611"/>
      <c r="K48" s="1611"/>
      <c r="L48" s="2144"/>
      <c r="M48" s="2134"/>
      <c r="N48" s="2134"/>
      <c r="O48" s="2134"/>
      <c r="P48" s="3352" t="str">
        <f>A48</f>
        <v>成交单价（元/平方米）</v>
      </c>
      <c r="Q48" s="3354"/>
      <c r="R48" s="3469">
        <f>E48</f>
        <v>0</v>
      </c>
      <c r="S48" s="3469"/>
      <c r="T48" s="3469">
        <f>G48</f>
        <v>0</v>
      </c>
      <c r="U48" s="3469"/>
      <c r="V48" s="3469">
        <f>I48</f>
        <v>0</v>
      </c>
      <c r="W48" s="3469"/>
      <c r="X48" s="1559"/>
      <c r="Y48" s="1581"/>
      <c r="Z48" s="1559"/>
      <c r="AA48" s="1559"/>
      <c r="AB48" s="1559"/>
      <c r="AC48" s="1559"/>
    </row>
    <row r="49" spans="1:29" ht="15.75" thickBot="1">
      <c r="A49" s="614" t="s">
        <v>2761</v>
      </c>
      <c r="B49" s="887"/>
      <c r="C49" s="2612" t="e">
        <f>R50</f>
        <v>#DIV/0!</v>
      </c>
      <c r="D49" s="2613"/>
      <c r="E49" s="2614" t="e">
        <f>R49</f>
        <v>#DIV/0!</v>
      </c>
      <c r="F49" s="2614"/>
      <c r="G49" s="2612" t="e">
        <f>T49</f>
        <v>#DIV/0!</v>
      </c>
      <c r="H49" s="2613"/>
      <c r="I49" s="2614" t="e">
        <f>V49</f>
        <v>#DIV/0!</v>
      </c>
      <c r="J49" s="2613"/>
      <c r="K49" s="1612"/>
      <c r="L49" s="2144"/>
      <c r="M49" s="2134"/>
      <c r="N49" s="2134"/>
      <c r="O49" s="2134"/>
      <c r="P49" s="3352" t="str">
        <f>A49</f>
        <v>比较价格（元/平方米）</v>
      </c>
      <c r="Q49" s="3354"/>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59"/>
      <c r="Y49" s="1559"/>
      <c r="Z49" s="1559"/>
      <c r="AA49" s="1559"/>
      <c r="AB49" s="1559"/>
      <c r="AC49" s="1559"/>
    </row>
    <row r="50" spans="1:29" ht="15.75" thickBot="1">
      <c r="A50" s="620" t="s">
        <v>2937</v>
      </c>
      <c r="B50" s="621"/>
      <c r="C50" s="2615" t="e">
        <f>R50</f>
        <v>#DIV/0!</v>
      </c>
      <c r="D50" s="2615"/>
      <c r="E50" s="2615"/>
      <c r="F50" s="2615"/>
      <c r="G50" s="2615"/>
      <c r="H50" s="2615"/>
      <c r="I50" s="2615"/>
      <c r="J50" s="2615"/>
      <c r="K50" s="1613"/>
      <c r="L50" s="2144"/>
      <c r="M50" s="2134"/>
      <c r="N50" s="2134"/>
      <c r="O50" s="2134"/>
      <c r="P50" s="3471" t="str">
        <f>A50</f>
        <v>估价对象XX用房的比较价格（楼面单价，元/平方米）</v>
      </c>
      <c r="Q50" s="3352"/>
      <c r="R50" s="3468" t="e">
        <f>IF(F1="售价",ROUND(AVERAGE(R49:V49),0),ROUND(AVERAGE(R49:V49),1))</f>
        <v>#DIV/0!</v>
      </c>
      <c r="S50" s="3468"/>
      <c r="T50" s="3468"/>
      <c r="U50" s="3468"/>
      <c r="V50" s="3468"/>
      <c r="W50" s="346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529</v>
      </c>
      <c r="B59" s="645"/>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76" t="s">
        <v>2559</v>
      </c>
      <c r="C83" s="2577" t="s">
        <v>2560</v>
      </c>
      <c r="D83" s="2577" t="s">
        <v>2561</v>
      </c>
      <c r="E83" s="2577" t="s">
        <v>2562</v>
      </c>
      <c r="F83" s="2577" t="s">
        <v>2563</v>
      </c>
      <c r="G83" s="2577" t="s">
        <v>2564</v>
      </c>
      <c r="H83" s="673"/>
      <c r="I83" s="673"/>
      <c r="J83" s="673"/>
      <c r="K83" s="673"/>
      <c r="L83" s="673"/>
      <c r="M83" s="2580"/>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5"/>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521</v>
      </c>
      <c r="B4" s="512"/>
      <c r="C4" s="3360" t="s">
        <v>522</v>
      </c>
      <c r="D4" s="3361"/>
      <c r="E4" s="3395" t="s">
        <v>523</v>
      </c>
      <c r="F4" s="3396"/>
      <c r="G4" s="3360" t="s">
        <v>524</v>
      </c>
      <c r="H4" s="3361"/>
      <c r="I4" s="3360" t="s">
        <v>525</v>
      </c>
      <c r="J4" s="3361"/>
      <c r="K4" s="513" t="s">
        <v>526</v>
      </c>
      <c r="L4" s="2133"/>
      <c r="M4" s="2134"/>
      <c r="N4" s="2134"/>
      <c r="O4" s="2134"/>
      <c r="P4" s="3362" t="s">
        <v>527</v>
      </c>
      <c r="Q4" s="3363"/>
      <c r="R4" s="3368" t="s">
        <v>523</v>
      </c>
      <c r="S4" s="3369"/>
      <c r="T4" s="3368" t="s">
        <v>524</v>
      </c>
      <c r="U4" s="3369"/>
      <c r="V4" s="3355" t="s">
        <v>525</v>
      </c>
      <c r="W4" s="3355"/>
      <c r="X4" s="1567"/>
      <c r="Y4" s="3368" t="s">
        <v>527</v>
      </c>
      <c r="Z4" s="3369"/>
      <c r="AA4" s="3357" t="s">
        <v>523</v>
      </c>
      <c r="AB4" s="3358" t="s">
        <v>524</v>
      </c>
      <c r="AC4" s="3357" t="s">
        <v>525</v>
      </c>
    </row>
    <row r="5" spans="1:29" ht="15">
      <c r="A5" s="514"/>
      <c r="B5" s="515"/>
      <c r="C5" s="3376" t="s">
        <v>2931</v>
      </c>
      <c r="D5" s="3377"/>
      <c r="E5" s="3397" t="s">
        <v>2932</v>
      </c>
      <c r="F5" s="3398"/>
      <c r="G5" s="3376" t="s">
        <v>2933</v>
      </c>
      <c r="H5" s="3377"/>
      <c r="I5" s="3376" t="s">
        <v>2934</v>
      </c>
      <c r="J5" s="3377"/>
      <c r="K5" s="513"/>
      <c r="L5" s="2133"/>
      <c r="M5" s="2134"/>
      <c r="N5" s="2134"/>
      <c r="O5" s="2134"/>
      <c r="P5" s="3364"/>
      <c r="Q5" s="3365"/>
      <c r="R5" s="3370"/>
      <c r="S5" s="3371"/>
      <c r="T5" s="3370"/>
      <c r="U5" s="3371"/>
      <c r="V5" s="3355"/>
      <c r="W5" s="3355"/>
      <c r="X5" s="1567"/>
      <c r="Y5" s="3370"/>
      <c r="Z5" s="3371"/>
      <c r="AA5" s="3358"/>
      <c r="AB5" s="3358"/>
      <c r="AC5" s="3358"/>
    </row>
    <row r="6" spans="1:29" ht="15.75" thickBot="1">
      <c r="A6" s="516"/>
      <c r="B6" s="517"/>
      <c r="C6" s="3374" t="s">
        <v>2935</v>
      </c>
      <c r="D6" s="3375"/>
      <c r="E6" s="3393" t="s">
        <v>2935</v>
      </c>
      <c r="F6" s="3394"/>
      <c r="G6" s="3374" t="s">
        <v>2935</v>
      </c>
      <c r="H6" s="3375"/>
      <c r="I6" s="3374" t="s">
        <v>2935</v>
      </c>
      <c r="J6" s="3375"/>
      <c r="K6" s="513" t="s">
        <v>528</v>
      </c>
      <c r="L6" s="2133"/>
      <c r="M6" s="2134"/>
      <c r="N6" s="2134"/>
      <c r="O6" s="2134"/>
      <c r="P6" s="3366"/>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86" t="s">
        <v>530</v>
      </c>
      <c r="Q7" s="3388"/>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86" t="s">
        <v>533</v>
      </c>
      <c r="Q8" s="3387"/>
      <c r="R8" s="1568" t="s">
        <v>8</v>
      </c>
      <c r="S8" s="1569">
        <f t="shared" si="0"/>
        <v>0</v>
      </c>
      <c r="T8" s="1568" t="s">
        <v>8</v>
      </c>
      <c r="U8" s="1569">
        <f t="shared" si="1"/>
        <v>0</v>
      </c>
      <c r="V8" s="1568" t="s">
        <v>8</v>
      </c>
      <c r="W8" s="1569">
        <f t="shared" si="2"/>
        <v>0</v>
      </c>
      <c r="X8" s="1570"/>
      <c r="Y8" s="3386" t="s">
        <v>533</v>
      </c>
      <c r="Z8" s="3387"/>
      <c r="AA8" s="1571" t="e">
        <f t="shared" ref="AA8:AA40" si="3">D8/F8</f>
        <v>#DIV/0!</v>
      </c>
      <c r="AB8" s="1571" t="e">
        <f t="shared" ref="AB8:AB40" si="4">D8/H8</f>
        <v>#DIV/0!</v>
      </c>
      <c r="AC8" s="1571" t="e">
        <f t="shared" ref="AC8:AC40" si="5">D8/J8</f>
        <v>#DIV/0!</v>
      </c>
    </row>
    <row r="9" spans="1:29" s="1219" customFormat="1" ht="15">
      <c r="A9" s="2892"/>
      <c r="B9" s="2899"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54" t="s">
        <v>535</v>
      </c>
      <c r="Q9" s="1150" t="str">
        <f t="shared" ref="Q9:Q15" si="6">B9</f>
        <v>用途</v>
      </c>
      <c r="R9" s="1568" t="s">
        <v>8</v>
      </c>
      <c r="S9" s="1569">
        <f t="shared" si="0"/>
        <v>100</v>
      </c>
      <c r="T9" s="1568" t="s">
        <v>8</v>
      </c>
      <c r="U9" s="1569">
        <f t="shared" si="1"/>
        <v>100</v>
      </c>
      <c r="V9" s="1568" t="s">
        <v>8</v>
      </c>
      <c r="W9" s="1569">
        <f t="shared" si="2"/>
        <v>100</v>
      </c>
      <c r="X9" s="1570"/>
      <c r="Y9" s="3300"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4"/>
      <c r="B11" s="2898"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54"/>
      <c r="Q11" s="1150" t="str">
        <f t="shared" si="6"/>
        <v>容积率</v>
      </c>
      <c r="R11" s="1568" t="s">
        <v>8</v>
      </c>
      <c r="S11" s="1569" t="e">
        <f t="shared" si="0"/>
        <v>#N/A</v>
      </c>
      <c r="T11" s="1568" t="s">
        <v>8</v>
      </c>
      <c r="U11" s="1569" t="e">
        <f t="shared" si="1"/>
        <v>#N/A</v>
      </c>
      <c r="V11" s="1568" t="s">
        <v>8</v>
      </c>
      <c r="W11" s="1569" t="e">
        <f t="shared" si="2"/>
        <v>#N/A</v>
      </c>
      <c r="X11" s="1570"/>
      <c r="Y11" s="3300"/>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
      <c r="A13" s="2895"/>
      <c r="B13" s="2901">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15.75" thickBot="1">
      <c r="A14" s="2896"/>
      <c r="B14" s="2902">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54"/>
      <c r="Q14" s="1150">
        <f t="shared" si="6"/>
        <v>111</v>
      </c>
      <c r="R14" s="1568" t="s">
        <v>8</v>
      </c>
      <c r="S14" s="1569">
        <f t="shared" si="0"/>
        <v>100</v>
      </c>
      <c r="T14" s="1568" t="s">
        <v>8</v>
      </c>
      <c r="U14" s="1569">
        <f t="shared" si="1"/>
        <v>100</v>
      </c>
      <c r="V14" s="1568" t="s">
        <v>8</v>
      </c>
      <c r="W14" s="1569">
        <f t="shared" si="2"/>
        <v>100</v>
      </c>
      <c r="X14" s="1570"/>
      <c r="Y14" s="3300"/>
      <c r="Z14" s="1149">
        <f t="shared" si="7"/>
        <v>111</v>
      </c>
      <c r="AA14" s="1571">
        <f t="shared" si="3"/>
        <v>1</v>
      </c>
      <c r="AB14" s="1571">
        <f t="shared" si="4"/>
        <v>1</v>
      </c>
      <c r="AC14" s="1571">
        <f t="shared" si="5"/>
        <v>1</v>
      </c>
    </row>
    <row r="15" spans="1:29" ht="57">
      <c r="A15" s="2888" t="s">
        <v>2755</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89" t="s">
        <v>540</v>
      </c>
      <c r="Q15" s="1572" t="str">
        <f t="shared" si="6"/>
        <v>产业集聚程度</v>
      </c>
      <c r="R15" s="1573" t="s">
        <v>8</v>
      </c>
      <c r="S15" s="1574">
        <f t="shared" si="0"/>
        <v>100</v>
      </c>
      <c r="T15" s="1573" t="s">
        <v>8</v>
      </c>
      <c r="U15" s="1574">
        <f t="shared" si="1"/>
        <v>100</v>
      </c>
      <c r="V15" s="1573" t="s">
        <v>8</v>
      </c>
      <c r="W15" s="1574">
        <f t="shared" si="2"/>
        <v>100</v>
      </c>
      <c r="X15" s="1567"/>
      <c r="Y15" s="3389"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0"/>
      <c r="Q16" s="1572"/>
      <c r="R16" s="1573"/>
      <c r="S16" s="1574"/>
      <c r="T16" s="1573"/>
      <c r="U16" s="1574"/>
      <c r="V16" s="1573"/>
      <c r="W16" s="1574"/>
      <c r="X16" s="1567"/>
      <c r="Y16" s="3390"/>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0"/>
      <c r="Q18" s="1572"/>
      <c r="R18" s="1573"/>
      <c r="S18" s="1574"/>
      <c r="T18" s="1573"/>
      <c r="U18" s="1574"/>
      <c r="V18" s="1573"/>
      <c r="W18" s="1574"/>
      <c r="X18" s="1567"/>
      <c r="Y18" s="3390"/>
      <c r="Z18" s="1575"/>
      <c r="AA18" s="1576">
        <v>1</v>
      </c>
      <c r="AB18" s="1576">
        <v>1</v>
      </c>
      <c r="AC18" s="1576">
        <v>1</v>
      </c>
    </row>
    <row r="19" spans="1:29" ht="42.75">
      <c r="A19" s="531"/>
      <c r="B19" s="258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390"/>
      <c r="Q20" s="1572"/>
      <c r="R20" s="1573"/>
      <c r="S20" s="1574"/>
      <c r="T20" s="1573"/>
      <c r="U20" s="1574"/>
      <c r="V20" s="1573"/>
      <c r="W20" s="1574"/>
      <c r="X20" s="1567"/>
      <c r="Y20" s="3390"/>
      <c r="Z20" s="1575"/>
      <c r="AA20" s="1576">
        <v>1</v>
      </c>
      <c r="AB20" s="1576">
        <v>1</v>
      </c>
      <c r="AC20" s="1576">
        <v>1</v>
      </c>
    </row>
    <row r="21" spans="1:29" ht="28.5">
      <c r="A21" s="531"/>
      <c r="B21" s="257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0"/>
      <c r="Q21" s="2558" t="str">
        <f>B21</f>
        <v>基础设施水平</v>
      </c>
      <c r="R21" s="1573" t="s">
        <v>8</v>
      </c>
      <c r="S21" s="1574">
        <f>F21</f>
        <v>100</v>
      </c>
      <c r="T21" s="1573" t="s">
        <v>8</v>
      </c>
      <c r="U21" s="1574">
        <f>H21</f>
        <v>100</v>
      </c>
      <c r="V21" s="1573" t="s">
        <v>8</v>
      </c>
      <c r="W21" s="1574">
        <f>J21</f>
        <v>100</v>
      </c>
      <c r="X21" s="2560"/>
      <c r="Y21" s="3390"/>
      <c r="Z21" s="2559"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81"/>
      <c r="L22" s="2142"/>
      <c r="M22" s="2134"/>
      <c r="N22" s="2134"/>
      <c r="O22" s="2141"/>
      <c r="P22" s="3390"/>
      <c r="Q22" s="2558"/>
      <c r="R22" s="1573"/>
      <c r="S22" s="1574"/>
      <c r="T22" s="1573"/>
      <c r="U22" s="1574"/>
      <c r="V22" s="1573"/>
      <c r="W22" s="1574"/>
      <c r="X22" s="2560"/>
      <c r="Y22" s="3390"/>
      <c r="Z22" s="2559"/>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390"/>
      <c r="Q24" s="1572"/>
      <c r="R24" s="1573"/>
      <c r="S24" s="1574"/>
      <c r="T24" s="1573"/>
      <c r="U24" s="1574"/>
      <c r="V24" s="1573"/>
      <c r="W24" s="1574"/>
      <c r="X24" s="1567"/>
      <c r="Y24" s="3390"/>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0"/>
      <c r="Q25" s="1572">
        <f>B25</f>
        <v>111</v>
      </c>
      <c r="R25" s="1573" t="s">
        <v>8</v>
      </c>
      <c r="S25" s="1574">
        <f>F25</f>
        <v>100</v>
      </c>
      <c r="T25" s="1573" t="s">
        <v>8</v>
      </c>
      <c r="U25" s="1574">
        <f>H25</f>
        <v>100</v>
      </c>
      <c r="V25" s="1573" t="s">
        <v>8</v>
      </c>
      <c r="W25" s="1574">
        <f>J25</f>
        <v>100</v>
      </c>
      <c r="X25" s="1567"/>
      <c r="Y25" s="3390"/>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0"/>
      <c r="Q26" s="1572">
        <f t="shared" ref="Q26:Q40" si="11">B26</f>
        <v>111</v>
      </c>
      <c r="R26" s="1573" t="s">
        <v>8</v>
      </c>
      <c r="S26" s="1574">
        <f>F26</f>
        <v>100</v>
      </c>
      <c r="T26" s="1573" t="s">
        <v>8</v>
      </c>
      <c r="U26" s="1574">
        <f>H26</f>
        <v>100</v>
      </c>
      <c r="V26" s="1573" t="s">
        <v>8</v>
      </c>
      <c r="W26" s="1574">
        <f>J26</f>
        <v>100</v>
      </c>
      <c r="X26" s="1567"/>
      <c r="Y26" s="3390"/>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0"/>
      <c r="Q27" s="1150">
        <f t="shared" si="11"/>
        <v>111</v>
      </c>
      <c r="R27" s="1568" t="s">
        <v>8</v>
      </c>
      <c r="S27" s="1569">
        <f>F27</f>
        <v>100</v>
      </c>
      <c r="T27" s="1568" t="s">
        <v>8</v>
      </c>
      <c r="U27" s="1569">
        <f>H27</f>
        <v>100</v>
      </c>
      <c r="V27" s="1568" t="s">
        <v>8</v>
      </c>
      <c r="W27" s="1569">
        <f>J27</f>
        <v>100</v>
      </c>
      <c r="X27" s="1570"/>
      <c r="Y27" s="3390"/>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0"/>
      <c r="Q28" s="1572">
        <f t="shared" si="11"/>
        <v>111</v>
      </c>
      <c r="R28" s="1573" t="s">
        <v>8</v>
      </c>
      <c r="S28" s="1574">
        <f t="shared" ref="S28:S40" si="12">F28</f>
        <v>100</v>
      </c>
      <c r="T28" s="1573" t="s">
        <v>8</v>
      </c>
      <c r="U28" s="1574">
        <f t="shared" ref="U28:U40" si="13">H28</f>
        <v>100</v>
      </c>
      <c r="V28" s="1573" t="s">
        <v>8</v>
      </c>
      <c r="W28" s="1574">
        <f t="shared" ref="W28:W40" si="14">J28</f>
        <v>100</v>
      </c>
      <c r="X28" s="1567"/>
      <c r="Y28" s="3390"/>
      <c r="Z28" s="1575">
        <f t="shared" ref="Z28:Z40" si="15">Q28</f>
        <v>111</v>
      </c>
      <c r="AA28" s="1576">
        <f t="shared" si="3"/>
        <v>1</v>
      </c>
      <c r="AB28" s="1576">
        <f t="shared" si="4"/>
        <v>1</v>
      </c>
      <c r="AC28" s="1576">
        <f t="shared" si="5"/>
        <v>1</v>
      </c>
    </row>
    <row r="29" spans="1:29" ht="15">
      <c r="A29" s="2885"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1" t="s">
        <v>550</v>
      </c>
      <c r="Q29" s="1572" t="str">
        <f t="shared" si="11"/>
        <v>建筑类型</v>
      </c>
      <c r="R29" s="1573" t="s">
        <v>8</v>
      </c>
      <c r="S29" s="1574">
        <f t="shared" si="12"/>
        <v>100</v>
      </c>
      <c r="T29" s="1573" t="s">
        <v>8</v>
      </c>
      <c r="U29" s="1574">
        <f t="shared" si="13"/>
        <v>100</v>
      </c>
      <c r="V29" s="1573" t="s">
        <v>8</v>
      </c>
      <c r="W29" s="1574">
        <f t="shared" si="14"/>
        <v>100</v>
      </c>
      <c r="X29" s="1567"/>
      <c r="Y29" s="3392"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2"/>
      <c r="Q30" s="1605" t="str">
        <f t="shared" si="11"/>
        <v>项目建筑规模</v>
      </c>
      <c r="R30" s="1577" t="s">
        <v>8</v>
      </c>
      <c r="S30" s="1578" t="e">
        <f t="shared" si="12"/>
        <v>#N/A</v>
      </c>
      <c r="T30" s="1577" t="s">
        <v>8</v>
      </c>
      <c r="U30" s="1578" t="e">
        <f t="shared" si="13"/>
        <v>#N/A</v>
      </c>
      <c r="V30" s="1577" t="s">
        <v>8</v>
      </c>
      <c r="W30" s="1578" t="e">
        <f t="shared" si="14"/>
        <v>#N/A</v>
      </c>
      <c r="X30" s="1579"/>
      <c r="Y30" s="3392"/>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2"/>
      <c r="Q31" s="1572" t="str">
        <f t="shared" si="11"/>
        <v>建筑结构</v>
      </c>
      <c r="R31" s="1573" t="s">
        <v>8</v>
      </c>
      <c r="S31" s="1574">
        <f t="shared" si="12"/>
        <v>100</v>
      </c>
      <c r="T31" s="1573" t="s">
        <v>8</v>
      </c>
      <c r="U31" s="1574">
        <f t="shared" si="13"/>
        <v>100</v>
      </c>
      <c r="V31" s="1573" t="s">
        <v>8</v>
      </c>
      <c r="W31" s="1574">
        <f t="shared" si="14"/>
        <v>100</v>
      </c>
      <c r="X31" s="1567"/>
      <c r="Y31" s="3392"/>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2"/>
      <c r="Q32" s="1572" t="str">
        <f t="shared" si="11"/>
        <v>公共部分装修</v>
      </c>
      <c r="R32" s="1573" t="s">
        <v>8</v>
      </c>
      <c r="S32" s="1574">
        <f t="shared" si="12"/>
        <v>100</v>
      </c>
      <c r="T32" s="1573" t="s">
        <v>8</v>
      </c>
      <c r="U32" s="1574">
        <f t="shared" si="13"/>
        <v>100</v>
      </c>
      <c r="V32" s="1573" t="s">
        <v>8</v>
      </c>
      <c r="W32" s="1574">
        <f t="shared" si="14"/>
        <v>100</v>
      </c>
      <c r="X32" s="1567"/>
      <c r="Y32" s="3392"/>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2"/>
      <c r="Q33" s="1572" t="str">
        <f t="shared" si="11"/>
        <v>成新度</v>
      </c>
      <c r="R33" s="1573" t="s">
        <v>8</v>
      </c>
      <c r="S33" s="1574" t="e">
        <f t="shared" si="12"/>
        <v>#N/A</v>
      </c>
      <c r="T33" s="1573" t="s">
        <v>8</v>
      </c>
      <c r="U33" s="1574" t="e">
        <f t="shared" si="13"/>
        <v>#N/A</v>
      </c>
      <c r="V33" s="1573" t="s">
        <v>8</v>
      </c>
      <c r="W33" s="1574" t="e">
        <f t="shared" si="14"/>
        <v>#N/A</v>
      </c>
      <c r="X33" s="1567"/>
      <c r="Y33" s="3392"/>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2"/>
      <c r="Q34" s="1150" t="str">
        <f t="shared" si="11"/>
        <v>物业管理</v>
      </c>
      <c r="R34" s="1568" t="s">
        <v>8</v>
      </c>
      <c r="S34" s="1569">
        <f t="shared" si="12"/>
        <v>100</v>
      </c>
      <c r="T34" s="1568" t="s">
        <v>8</v>
      </c>
      <c r="U34" s="1569">
        <f t="shared" si="13"/>
        <v>100</v>
      </c>
      <c r="V34" s="1568" t="s">
        <v>8</v>
      </c>
      <c r="W34" s="1569">
        <f t="shared" si="14"/>
        <v>100</v>
      </c>
      <c r="X34" s="1570"/>
      <c r="Y34" s="3392"/>
      <c r="Z34" s="1149" t="str">
        <f t="shared" si="15"/>
        <v>物业管理</v>
      </c>
      <c r="AA34" s="1571">
        <f t="shared" si="3"/>
        <v>1</v>
      </c>
      <c r="AB34" s="1571">
        <f t="shared" si="4"/>
        <v>1</v>
      </c>
      <c r="AC34" s="1571">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2" t="s">
        <v>550</v>
      </c>
      <c r="Q35" s="1572" t="str">
        <f t="shared" si="11"/>
        <v>市政基础设施</v>
      </c>
      <c r="R35" s="1573" t="s">
        <v>8</v>
      </c>
      <c r="S35" s="1574">
        <f t="shared" si="12"/>
        <v>100</v>
      </c>
      <c r="T35" s="1573" t="s">
        <v>8</v>
      </c>
      <c r="U35" s="1574">
        <f t="shared" si="13"/>
        <v>100</v>
      </c>
      <c r="V35" s="1573" t="s">
        <v>8</v>
      </c>
      <c r="W35" s="1574">
        <f t="shared" si="14"/>
        <v>100</v>
      </c>
      <c r="X35" s="1567"/>
      <c r="Y35" s="3392"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2"/>
      <c r="Q36" s="1572" t="str">
        <f t="shared" si="11"/>
        <v>内部装修</v>
      </c>
      <c r="R36" s="1573" t="s">
        <v>8</v>
      </c>
      <c r="S36" s="1574">
        <f t="shared" si="12"/>
        <v>100</v>
      </c>
      <c r="T36" s="1573" t="s">
        <v>8</v>
      </c>
      <c r="U36" s="1574">
        <f t="shared" si="13"/>
        <v>100</v>
      </c>
      <c r="V36" s="1573" t="s">
        <v>8</v>
      </c>
      <c r="W36" s="1574">
        <f t="shared" si="14"/>
        <v>100</v>
      </c>
      <c r="X36" s="1567"/>
      <c r="Y36" s="3392"/>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2"/>
      <c r="Q37" s="1572" t="str">
        <f t="shared" si="11"/>
        <v>内部装修状况</v>
      </c>
      <c r="R37" s="1573" t="s">
        <v>8</v>
      </c>
      <c r="S37" s="1574">
        <f t="shared" si="12"/>
        <v>100</v>
      </c>
      <c r="T37" s="1573" t="s">
        <v>8</v>
      </c>
      <c r="U37" s="1574">
        <f t="shared" si="13"/>
        <v>100</v>
      </c>
      <c r="V37" s="1573" t="s">
        <v>8</v>
      </c>
      <c r="W37" s="1574">
        <f t="shared" si="14"/>
        <v>100</v>
      </c>
      <c r="X37" s="1567"/>
      <c r="Y37" s="3392"/>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2"/>
      <c r="Q38" s="1605">
        <f t="shared" si="11"/>
        <v>111</v>
      </c>
      <c r="R38" s="1577" t="s">
        <v>8</v>
      </c>
      <c r="S38" s="1578">
        <f t="shared" si="12"/>
        <v>100</v>
      </c>
      <c r="T38" s="1577" t="s">
        <v>8</v>
      </c>
      <c r="U38" s="1578">
        <f t="shared" si="13"/>
        <v>100</v>
      </c>
      <c r="V38" s="1577" t="s">
        <v>8</v>
      </c>
      <c r="W38" s="1578">
        <f t="shared" si="14"/>
        <v>100</v>
      </c>
      <c r="X38" s="1579"/>
      <c r="Y38" s="3392"/>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2"/>
      <c r="Q39" s="1572">
        <f t="shared" si="11"/>
        <v>111</v>
      </c>
      <c r="R39" s="1573" t="s">
        <v>8</v>
      </c>
      <c r="S39" s="1574">
        <f t="shared" si="12"/>
        <v>100</v>
      </c>
      <c r="T39" s="1573" t="s">
        <v>8</v>
      </c>
      <c r="U39" s="1574">
        <f t="shared" si="13"/>
        <v>100</v>
      </c>
      <c r="V39" s="1573" t="s">
        <v>8</v>
      </c>
      <c r="W39" s="1574">
        <f t="shared" si="14"/>
        <v>100</v>
      </c>
      <c r="X39" s="1567"/>
      <c r="Y39" s="3392"/>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0"/>
      <c r="Q40" s="1572">
        <f t="shared" si="11"/>
        <v>111</v>
      </c>
      <c r="R40" s="1573" t="s">
        <v>8</v>
      </c>
      <c r="S40" s="1574">
        <f t="shared" si="12"/>
        <v>100</v>
      </c>
      <c r="T40" s="1573" t="s">
        <v>8</v>
      </c>
      <c r="U40" s="1574">
        <f t="shared" si="13"/>
        <v>100</v>
      </c>
      <c r="V40" s="1573" t="s">
        <v>8</v>
      </c>
      <c r="W40" s="1574">
        <f t="shared" si="14"/>
        <v>100</v>
      </c>
      <c r="X40" s="1567"/>
      <c r="Y40" s="3470"/>
      <c r="Z40" s="1575">
        <f t="shared" si="15"/>
        <v>111</v>
      </c>
      <c r="AA40" s="1576">
        <f t="shared" si="3"/>
        <v>1</v>
      </c>
      <c r="AB40" s="1576">
        <f t="shared" si="4"/>
        <v>1</v>
      </c>
      <c r="AC40" s="1576">
        <f t="shared" si="5"/>
        <v>1</v>
      </c>
    </row>
    <row r="41" spans="1:29" ht="15">
      <c r="A41" s="606" t="s">
        <v>736</v>
      </c>
      <c r="B41" s="886"/>
      <c r="C41" s="2606" t="s">
        <v>1</v>
      </c>
      <c r="D41" s="2607"/>
      <c r="E41" s="2608"/>
      <c r="F41" s="2609"/>
      <c r="G41" s="2610"/>
      <c r="H41" s="2611"/>
      <c r="I41" s="2608"/>
      <c r="J41" s="2611"/>
      <c r="K41" s="1611"/>
      <c r="L41" s="2144"/>
      <c r="M41" s="2145"/>
      <c r="N41" s="2134"/>
      <c r="O41" s="2145"/>
      <c r="P41" s="3354" t="str">
        <f>A41</f>
        <v>成交单价（元/平方米）</v>
      </c>
      <c r="Q41" s="3354"/>
      <c r="R41" s="3469">
        <f>E41</f>
        <v>0</v>
      </c>
      <c r="S41" s="3469"/>
      <c r="T41" s="3469">
        <f>G41</f>
        <v>0</v>
      </c>
      <c r="U41" s="3469"/>
      <c r="V41" s="3469">
        <f>I41</f>
        <v>0</v>
      </c>
      <c r="W41" s="3469"/>
      <c r="X41" s="1559"/>
      <c r="Y41" s="1581"/>
      <c r="Z41" s="1559"/>
      <c r="AA41" s="1559"/>
      <c r="AB41" s="1559"/>
      <c r="AC41" s="1559"/>
    </row>
    <row r="42" spans="1:29" ht="15.75" thickBot="1">
      <c r="A42" s="614" t="s">
        <v>2761</v>
      </c>
      <c r="B42" s="887"/>
      <c r="C42" s="2612" t="e">
        <f>R43</f>
        <v>#DIV/0!</v>
      </c>
      <c r="D42" s="2613"/>
      <c r="E42" s="2614" t="e">
        <f>R42</f>
        <v>#DIV/0!</v>
      </c>
      <c r="F42" s="2614"/>
      <c r="G42" s="2612" t="e">
        <f>T42</f>
        <v>#DIV/0!</v>
      </c>
      <c r="H42" s="2613"/>
      <c r="I42" s="2614" t="e">
        <f>V42</f>
        <v>#DIV/0!</v>
      </c>
      <c r="J42" s="2613"/>
      <c r="K42" s="1612"/>
      <c r="L42" s="2144"/>
      <c r="M42" s="2145"/>
      <c r="N42" s="2134"/>
      <c r="O42" s="2145"/>
      <c r="P42" s="3354" t="str">
        <f>A42</f>
        <v>比较价格（元/平方米）</v>
      </c>
      <c r="Q42" s="3354"/>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59"/>
      <c r="Y42" s="1559"/>
      <c r="Z42" s="1559"/>
      <c r="AA42" s="1559"/>
      <c r="AB42" s="1559"/>
      <c r="AC42" s="1559"/>
    </row>
    <row r="43" spans="1:29" ht="15.75" thickBot="1">
      <c r="A43" s="620" t="s">
        <v>2937</v>
      </c>
      <c r="B43" s="621"/>
      <c r="C43" s="2615" t="e">
        <f>R43</f>
        <v>#DIV/0!</v>
      </c>
      <c r="D43" s="2615"/>
      <c r="E43" s="2615"/>
      <c r="F43" s="2615"/>
      <c r="G43" s="2615"/>
      <c r="H43" s="2615"/>
      <c r="I43" s="2615"/>
      <c r="J43" s="2615"/>
      <c r="K43" s="1613"/>
      <c r="L43" s="2144"/>
      <c r="M43" s="2145"/>
      <c r="N43" s="2145"/>
      <c r="O43" s="2145"/>
      <c r="P43" s="3351" t="str">
        <f>A43</f>
        <v>估价对象XX用房的比较价格（楼面单价，元/平方米）</v>
      </c>
      <c r="Q43" s="3352"/>
      <c r="R43" s="3468" t="e">
        <f>IF(F1="售价",ROUND(AVERAGE(R42:V42),0),ROUND(AVERAGE(R42:V42),1))</f>
        <v>#DIV/0!</v>
      </c>
      <c r="S43" s="3468"/>
      <c r="T43" s="3468"/>
      <c r="U43" s="3468"/>
      <c r="V43" s="3468"/>
      <c r="W43" s="346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529</v>
      </c>
      <c r="B52" s="645"/>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76" t="s">
        <v>2559</v>
      </c>
      <c r="C76" s="2577" t="s">
        <v>2560</v>
      </c>
      <c r="D76" s="2577" t="s">
        <v>2561</v>
      </c>
      <c r="E76" s="2577" t="s">
        <v>2562</v>
      </c>
      <c r="F76" s="2577" t="s">
        <v>2563</v>
      </c>
      <c r="G76" s="2577" t="s">
        <v>2564</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5"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5"/>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60" t="s">
        <v>798</v>
      </c>
      <c r="D4" s="3361"/>
      <c r="E4" s="3360" t="s">
        <v>799</v>
      </c>
      <c r="F4" s="3361"/>
      <c r="G4" s="3360" t="s">
        <v>800</v>
      </c>
      <c r="H4" s="3361"/>
      <c r="I4" s="3360" t="s">
        <v>801</v>
      </c>
      <c r="J4" s="3361"/>
      <c r="K4" s="513" t="s">
        <v>802</v>
      </c>
      <c r="L4" s="2133"/>
      <c r="M4" s="2134"/>
      <c r="N4" s="2134"/>
      <c r="O4" s="2134"/>
      <c r="P4" s="3362" t="s">
        <v>803</v>
      </c>
      <c r="Q4" s="3363"/>
      <c r="R4" s="3368" t="s">
        <v>799</v>
      </c>
      <c r="S4" s="3369"/>
      <c r="T4" s="3368" t="s">
        <v>800</v>
      </c>
      <c r="U4" s="3369"/>
      <c r="V4" s="3355" t="s">
        <v>801</v>
      </c>
      <c r="W4" s="3355"/>
      <c r="X4" s="1567"/>
      <c r="Y4" s="3368" t="s">
        <v>803</v>
      </c>
      <c r="Z4" s="3369"/>
      <c r="AA4" s="3357" t="s">
        <v>799</v>
      </c>
      <c r="AB4" s="3358" t="s">
        <v>800</v>
      </c>
      <c r="AC4" s="3357" t="s">
        <v>801</v>
      </c>
    </row>
    <row r="5" spans="1:29" ht="15">
      <c r="A5" s="514"/>
      <c r="B5" s="515"/>
      <c r="C5" s="3376" t="s">
        <v>2931</v>
      </c>
      <c r="D5" s="3377"/>
      <c r="E5" s="3376" t="s">
        <v>2932</v>
      </c>
      <c r="F5" s="3377"/>
      <c r="G5" s="3376" t="s">
        <v>2933</v>
      </c>
      <c r="H5" s="3377"/>
      <c r="I5" s="3376" t="s">
        <v>2934</v>
      </c>
      <c r="J5" s="3377"/>
      <c r="K5" s="513"/>
      <c r="L5" s="2133"/>
      <c r="M5" s="2134"/>
      <c r="N5" s="2134"/>
      <c r="O5" s="2134"/>
      <c r="P5" s="3364"/>
      <c r="Q5" s="3365"/>
      <c r="R5" s="3370"/>
      <c r="S5" s="3371"/>
      <c r="T5" s="3370"/>
      <c r="U5" s="3371"/>
      <c r="V5" s="3355"/>
      <c r="W5" s="3355"/>
      <c r="X5" s="1567"/>
      <c r="Y5" s="3370"/>
      <c r="Z5" s="3371"/>
      <c r="AA5" s="3358"/>
      <c r="AB5" s="3358"/>
      <c r="AC5" s="3358"/>
    </row>
    <row r="6" spans="1:29" ht="15.75" thickBot="1">
      <c r="A6" s="516"/>
      <c r="B6" s="517"/>
      <c r="C6" s="3374" t="s">
        <v>2935</v>
      </c>
      <c r="D6" s="3375"/>
      <c r="E6" s="3475" t="s">
        <v>2935</v>
      </c>
      <c r="F6" s="3379"/>
      <c r="G6" s="3374" t="s">
        <v>2935</v>
      </c>
      <c r="H6" s="3375"/>
      <c r="I6" s="3374" t="s">
        <v>2935</v>
      </c>
      <c r="J6" s="3375"/>
      <c r="K6" s="513" t="s">
        <v>528</v>
      </c>
      <c r="L6" s="2133"/>
      <c r="M6" s="2134"/>
      <c r="N6" s="2134"/>
      <c r="O6" s="2134"/>
      <c r="P6" s="3366"/>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86" t="s">
        <v>530</v>
      </c>
      <c r="Q7" s="3388"/>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86" t="s">
        <v>533</v>
      </c>
      <c r="Q8" s="3387"/>
      <c r="R8" s="1568" t="s">
        <v>8</v>
      </c>
      <c r="S8" s="1569">
        <f t="shared" si="0"/>
        <v>0</v>
      </c>
      <c r="T8" s="1568" t="s">
        <v>8</v>
      </c>
      <c r="U8" s="1569">
        <f t="shared" si="1"/>
        <v>0</v>
      </c>
      <c r="V8" s="1568" t="s">
        <v>8</v>
      </c>
      <c r="W8" s="1569">
        <f t="shared" si="2"/>
        <v>0</v>
      </c>
      <c r="X8" s="1570"/>
      <c r="Y8" s="3386" t="s">
        <v>533</v>
      </c>
      <c r="Z8" s="3387"/>
      <c r="AA8" s="1571" t="e">
        <f t="shared" ref="AA8:AA36" si="3">D8/F8</f>
        <v>#DIV/0!</v>
      </c>
      <c r="AB8" s="1571" t="e">
        <f t="shared" ref="AB8:AB36" si="4">D8/H8</f>
        <v>#DIV/0!</v>
      </c>
      <c r="AC8" s="1571" t="e">
        <f t="shared" ref="AC8:AC36" si="5">D8/J8</f>
        <v>#DIV/0!</v>
      </c>
    </row>
    <row r="9" spans="1:29" s="1219" customFormat="1" ht="15">
      <c r="A9" s="2892"/>
      <c r="B9" s="2899"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54" t="s">
        <v>535</v>
      </c>
      <c r="Q9" s="1150" t="str">
        <f t="shared" ref="Q9:Q14" si="6">B9</f>
        <v>用途</v>
      </c>
      <c r="R9" s="1568" t="s">
        <v>8</v>
      </c>
      <c r="S9" s="1569">
        <f t="shared" si="0"/>
        <v>100</v>
      </c>
      <c r="T9" s="1568" t="s">
        <v>8</v>
      </c>
      <c r="U9" s="1569">
        <f t="shared" si="1"/>
        <v>100</v>
      </c>
      <c r="V9" s="1568" t="s">
        <v>8</v>
      </c>
      <c r="W9" s="1569">
        <f t="shared" si="2"/>
        <v>100</v>
      </c>
      <c r="X9" s="1570"/>
      <c r="Y9" s="3300" t="s">
        <v>536</v>
      </c>
      <c r="Z9" s="1149" t="str">
        <f t="shared" ref="Z9:Z14" si="7">Q9</f>
        <v>用途</v>
      </c>
      <c r="AA9" s="1571">
        <f t="shared" si="3"/>
        <v>1</v>
      </c>
      <c r="AB9" s="1571">
        <f t="shared" si="4"/>
        <v>1</v>
      </c>
      <c r="AC9" s="1571">
        <f t="shared" si="5"/>
        <v>1</v>
      </c>
    </row>
    <row r="10" spans="1:29" s="1337" customFormat="1" ht="27">
      <c r="A10" s="2893"/>
      <c r="B10" s="2898"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5"/>
      <c r="B11" s="2901">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54"/>
      <c r="Q11" s="1150">
        <f t="shared" si="6"/>
        <v>111</v>
      </c>
      <c r="R11" s="1568" t="s">
        <v>8</v>
      </c>
      <c r="S11" s="1569">
        <f t="shared" si="0"/>
        <v>100</v>
      </c>
      <c r="T11" s="1568" t="s">
        <v>8</v>
      </c>
      <c r="U11" s="1569">
        <f t="shared" si="1"/>
        <v>100</v>
      </c>
      <c r="V11" s="1568" t="s">
        <v>8</v>
      </c>
      <c r="W11" s="1569">
        <f t="shared" si="2"/>
        <v>100</v>
      </c>
      <c r="X11" s="1570"/>
      <c r="Y11" s="3300"/>
      <c r="Z11" s="1149">
        <f t="shared" si="7"/>
        <v>111</v>
      </c>
      <c r="AA11" s="1571">
        <f t="shared" si="3"/>
        <v>1</v>
      </c>
      <c r="AB11" s="1571">
        <f t="shared" si="4"/>
        <v>1</v>
      </c>
      <c r="AC11" s="1571">
        <f t="shared" si="5"/>
        <v>1</v>
      </c>
    </row>
    <row r="12" spans="1:29" s="1219" customFormat="1" ht="15">
      <c r="A12" s="2895"/>
      <c r="B12" s="2901">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75" thickBot="1">
      <c r="A13" s="2896"/>
      <c r="B13" s="2902">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85.5">
      <c r="A14" s="2888" t="s">
        <v>2755</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390"/>
      <c r="Q15" s="1572"/>
      <c r="R15" s="1573"/>
      <c r="S15" s="1574"/>
      <c r="T15" s="1573"/>
      <c r="U15" s="1574"/>
      <c r="V15" s="1573"/>
      <c r="W15" s="1574"/>
      <c r="X15" s="1567"/>
      <c r="Y15" s="3390"/>
      <c r="Z15" s="1575"/>
      <c r="AA15" s="1576">
        <v>1</v>
      </c>
      <c r="AB15" s="1576">
        <v>1</v>
      </c>
      <c r="AC15" s="1576">
        <v>1</v>
      </c>
    </row>
    <row r="16" spans="1:29" ht="42.75">
      <c r="A16" s="514"/>
      <c r="B16" s="2582"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390"/>
      <c r="Q17" s="1572"/>
      <c r="R17" s="1573"/>
      <c r="S17" s="1574"/>
      <c r="T17" s="1573"/>
      <c r="U17" s="1574"/>
      <c r="V17" s="1573"/>
      <c r="W17" s="1574"/>
      <c r="X17" s="1567"/>
      <c r="Y17" s="3390"/>
      <c r="Z17" s="1575"/>
      <c r="AA17" s="1576">
        <v>1</v>
      </c>
      <c r="AB17" s="1576">
        <v>1</v>
      </c>
      <c r="AC17" s="1576">
        <v>1</v>
      </c>
    </row>
    <row r="18" spans="1:29" ht="28.5">
      <c r="A18" s="514"/>
      <c r="B18" s="2570"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90"/>
      <c r="Q18" s="2558" t="str">
        <f>B18</f>
        <v>基础设施水平</v>
      </c>
      <c r="R18" s="1573" t="s">
        <v>8</v>
      </c>
      <c r="S18" s="1574">
        <f>F18</f>
        <v>100</v>
      </c>
      <c r="T18" s="1573" t="s">
        <v>8</v>
      </c>
      <c r="U18" s="1574">
        <f>H18</f>
        <v>100</v>
      </c>
      <c r="V18" s="1573" t="s">
        <v>8</v>
      </c>
      <c r="W18" s="1574">
        <f>J18</f>
        <v>100</v>
      </c>
      <c r="X18" s="2560"/>
      <c r="Y18" s="3390"/>
      <c r="Z18" s="2559"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81"/>
      <c r="L19" s="2142"/>
      <c r="M19" s="2134"/>
      <c r="N19" s="2134"/>
      <c r="O19" s="2141"/>
      <c r="P19" s="3390"/>
      <c r="Q19" s="2558"/>
      <c r="R19" s="1573"/>
      <c r="S19" s="1574"/>
      <c r="T19" s="1573"/>
      <c r="U19" s="1574"/>
      <c r="V19" s="1573"/>
      <c r="W19" s="1574"/>
      <c r="X19" s="2560"/>
      <c r="Y19" s="3390"/>
      <c r="Z19" s="2559"/>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390"/>
      <c r="Q21" s="1572"/>
      <c r="R21" s="1573"/>
      <c r="S21" s="1574"/>
      <c r="T21" s="1573"/>
      <c r="U21" s="1574"/>
      <c r="V21" s="1573"/>
      <c r="W21" s="1574"/>
      <c r="X21" s="1567"/>
      <c r="Y21" s="3390"/>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0"/>
      <c r="Q24" s="1572">
        <f t="shared" ref="Q24:Q36"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0"/>
      <c r="Q25" s="1150">
        <f t="shared" si="11"/>
        <v>111</v>
      </c>
      <c r="R25" s="1568" t="s">
        <v>8</v>
      </c>
      <c r="S25" s="1569">
        <f>F25</f>
        <v>100</v>
      </c>
      <c r="T25" s="1568" t="s">
        <v>8</v>
      </c>
      <c r="U25" s="1569">
        <f>H25</f>
        <v>100</v>
      </c>
      <c r="V25" s="1568" t="s">
        <v>8</v>
      </c>
      <c r="W25" s="1569">
        <f>J25</f>
        <v>100</v>
      </c>
      <c r="X25" s="1570"/>
      <c r="Y25" s="3390"/>
      <c r="Z25" s="1149">
        <f>Q25</f>
        <v>111</v>
      </c>
      <c r="AA25" s="1576">
        <f>D25/F25</f>
        <v>1</v>
      </c>
      <c r="AB25" s="1576">
        <f>D25/H25</f>
        <v>1</v>
      </c>
      <c r="AC25" s="1576">
        <f>D25/J25</f>
        <v>1</v>
      </c>
    </row>
    <row r="26" spans="1:29" ht="15">
      <c r="A26" s="2885"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9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2"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2"/>
      <c r="Q27" s="1605" t="str">
        <f t="shared" si="11"/>
        <v>项目停车位配比</v>
      </c>
      <c r="R27" s="1577" t="s">
        <v>8</v>
      </c>
      <c r="S27" s="1578">
        <f t="shared" si="12"/>
        <v>100</v>
      </c>
      <c r="T27" s="1577" t="s">
        <v>8</v>
      </c>
      <c r="U27" s="1578">
        <f t="shared" si="13"/>
        <v>100</v>
      </c>
      <c r="V27" s="1577" t="s">
        <v>8</v>
      </c>
      <c r="W27" s="1578">
        <f t="shared" si="14"/>
        <v>100</v>
      </c>
      <c r="X27" s="1579"/>
      <c r="Y27" s="3392"/>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92"/>
      <c r="Q28" s="1572" t="str">
        <f t="shared" si="11"/>
        <v>公共部分装修</v>
      </c>
      <c r="R28" s="1573" t="s">
        <v>8</v>
      </c>
      <c r="S28" s="1574">
        <f t="shared" si="12"/>
        <v>100</v>
      </c>
      <c r="T28" s="1573" t="s">
        <v>8</v>
      </c>
      <c r="U28" s="1574">
        <f t="shared" si="13"/>
        <v>100</v>
      </c>
      <c r="V28" s="1573" t="s">
        <v>8</v>
      </c>
      <c r="W28" s="1574">
        <f t="shared" si="14"/>
        <v>100</v>
      </c>
      <c r="X28" s="1567"/>
      <c r="Y28" s="3392"/>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92"/>
      <c r="Q29" s="1572" t="str">
        <f t="shared" si="11"/>
        <v>成新率</v>
      </c>
      <c r="R29" s="1573" t="s">
        <v>8</v>
      </c>
      <c r="S29" s="1574" t="e">
        <f t="shared" si="12"/>
        <v>#N/A</v>
      </c>
      <c r="T29" s="1573" t="s">
        <v>8</v>
      </c>
      <c r="U29" s="1574" t="e">
        <f t="shared" si="13"/>
        <v>#N/A</v>
      </c>
      <c r="V29" s="1573" t="s">
        <v>8</v>
      </c>
      <c r="W29" s="1574" t="e">
        <f t="shared" si="14"/>
        <v>#N/A</v>
      </c>
      <c r="X29" s="1567"/>
      <c r="Y29" s="3392"/>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92"/>
      <c r="Q30" s="1572" t="str">
        <f t="shared" si="11"/>
        <v>物业等级</v>
      </c>
      <c r="R30" s="1573" t="s">
        <v>8</v>
      </c>
      <c r="S30" s="1574">
        <f t="shared" si="12"/>
        <v>100</v>
      </c>
      <c r="T30" s="1573" t="s">
        <v>8</v>
      </c>
      <c r="U30" s="1574">
        <f t="shared" si="13"/>
        <v>100</v>
      </c>
      <c r="V30" s="1573" t="s">
        <v>8</v>
      </c>
      <c r="W30" s="1574">
        <f t="shared" si="14"/>
        <v>100</v>
      </c>
      <c r="X30" s="1567"/>
      <c r="Y30" s="3392"/>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92"/>
      <c r="Q31" s="1150" t="str">
        <f t="shared" si="11"/>
        <v>停车位面积</v>
      </c>
      <c r="R31" s="1568" t="s">
        <v>8</v>
      </c>
      <c r="S31" s="1569" t="e">
        <f t="shared" si="12"/>
        <v>#N/A</v>
      </c>
      <c r="T31" s="1568" t="s">
        <v>8</v>
      </c>
      <c r="U31" s="1569" t="e">
        <f t="shared" si="13"/>
        <v>#N/A</v>
      </c>
      <c r="V31" s="1568" t="s">
        <v>8</v>
      </c>
      <c r="W31" s="1569" t="e">
        <f t="shared" si="14"/>
        <v>#N/A</v>
      </c>
      <c r="X31" s="1570"/>
      <c r="Y31" s="3392"/>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92" t="s">
        <v>550</v>
      </c>
      <c r="Q32" s="1572" t="str">
        <f t="shared" si="11"/>
        <v>车位类型</v>
      </c>
      <c r="R32" s="1573" t="s">
        <v>8</v>
      </c>
      <c r="S32" s="1574">
        <f t="shared" si="12"/>
        <v>100</v>
      </c>
      <c r="T32" s="1573" t="s">
        <v>8</v>
      </c>
      <c r="U32" s="1574">
        <f t="shared" si="13"/>
        <v>100</v>
      </c>
      <c r="V32" s="1573" t="s">
        <v>8</v>
      </c>
      <c r="W32" s="1574">
        <f t="shared" si="14"/>
        <v>100</v>
      </c>
      <c r="X32" s="1567"/>
      <c r="Y32" s="3392"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2"/>
      <c r="Q33" s="1572" t="str">
        <f t="shared" si="11"/>
        <v>是否直接入户</v>
      </c>
      <c r="R33" s="1573" t="s">
        <v>8</v>
      </c>
      <c r="S33" s="1574">
        <f t="shared" si="12"/>
        <v>100</v>
      </c>
      <c r="T33" s="1573" t="s">
        <v>8</v>
      </c>
      <c r="U33" s="1574">
        <f t="shared" si="13"/>
        <v>100</v>
      </c>
      <c r="V33" s="1573" t="s">
        <v>8</v>
      </c>
      <c r="W33" s="1574">
        <f t="shared" si="14"/>
        <v>100</v>
      </c>
      <c r="X33" s="1567"/>
      <c r="Y33" s="3392"/>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2"/>
      <c r="Q35" s="1605">
        <f t="shared" si="11"/>
        <v>111</v>
      </c>
      <c r="R35" s="1577" t="s">
        <v>8</v>
      </c>
      <c r="S35" s="1578">
        <f t="shared" si="12"/>
        <v>100</v>
      </c>
      <c r="T35" s="1577" t="s">
        <v>8</v>
      </c>
      <c r="U35" s="1578">
        <f t="shared" si="13"/>
        <v>100</v>
      </c>
      <c r="V35" s="1577" t="s">
        <v>8</v>
      </c>
      <c r="W35" s="1578">
        <f t="shared" si="14"/>
        <v>100</v>
      </c>
      <c r="X35" s="1579"/>
      <c r="Y35" s="3392"/>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2"/>
      <c r="Q36" s="1572">
        <f t="shared" si="11"/>
        <v>111</v>
      </c>
      <c r="R36" s="1573" t="s">
        <v>8</v>
      </c>
      <c r="S36" s="1574">
        <f t="shared" si="12"/>
        <v>100</v>
      </c>
      <c r="T36" s="1573" t="s">
        <v>8</v>
      </c>
      <c r="U36" s="1574">
        <f t="shared" si="13"/>
        <v>100</v>
      </c>
      <c r="V36" s="1573" t="s">
        <v>8</v>
      </c>
      <c r="W36" s="1574">
        <f t="shared" si="14"/>
        <v>100</v>
      </c>
      <c r="X36" s="1567"/>
      <c r="Y36" s="3392"/>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54" t="str">
        <f>A37</f>
        <v>成交单价</v>
      </c>
      <c r="Q37" s="3354"/>
      <c r="R37" s="3469">
        <f>E37</f>
        <v>0</v>
      </c>
      <c r="S37" s="3469"/>
      <c r="T37" s="3469">
        <f>G37</f>
        <v>0</v>
      </c>
      <c r="U37" s="3469"/>
      <c r="V37" s="3469">
        <f>I37</f>
        <v>0</v>
      </c>
      <c r="W37" s="3469"/>
      <c r="X37" s="1559"/>
      <c r="Y37" s="1581"/>
      <c r="Z37" s="1559"/>
      <c r="AA37" s="1559"/>
      <c r="AB37" s="1559"/>
      <c r="AC37" s="1559"/>
    </row>
    <row r="38" spans="1:29" ht="15.75" thickBot="1">
      <c r="A38" s="614" t="s">
        <v>2761</v>
      </c>
      <c r="B38" s="887"/>
      <c r="C38" s="2612" t="e">
        <f>R39</f>
        <v>#DIV/0!</v>
      </c>
      <c r="D38" s="2613"/>
      <c r="E38" s="2614" t="e">
        <f>R38</f>
        <v>#DIV/0!</v>
      </c>
      <c r="F38" s="2614"/>
      <c r="G38" s="2612" t="e">
        <f>T38</f>
        <v>#DIV/0!</v>
      </c>
      <c r="H38" s="2613"/>
      <c r="I38" s="2614" t="e">
        <f>V38</f>
        <v>#DIV/0!</v>
      </c>
      <c r="J38" s="2613"/>
      <c r="K38" s="1612"/>
      <c r="L38" s="2144"/>
      <c r="M38" s="2145"/>
      <c r="N38" s="2145"/>
      <c r="O38" s="2145"/>
      <c r="P38" s="3354" t="str">
        <f>A38</f>
        <v>比较价格（元/平方米）</v>
      </c>
      <c r="Q38" s="3354"/>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59"/>
      <c r="Y38" s="1559"/>
      <c r="Z38" s="1559"/>
      <c r="AA38" s="1559"/>
      <c r="AB38" s="1559"/>
      <c r="AC38" s="1559"/>
    </row>
    <row r="39" spans="1:29" ht="15.75" thickBot="1">
      <c r="A39" s="620" t="s">
        <v>2937</v>
      </c>
      <c r="B39" s="621"/>
      <c r="C39" s="2615" t="e">
        <f>R39</f>
        <v>#DIV/0!</v>
      </c>
      <c r="D39" s="2615"/>
      <c r="E39" s="2615"/>
      <c r="F39" s="2615"/>
      <c r="G39" s="2615"/>
      <c r="H39" s="2615"/>
      <c r="I39" s="2615"/>
      <c r="J39" s="2615"/>
      <c r="K39" s="1613"/>
      <c r="L39" s="2144"/>
      <c r="M39" s="2145"/>
      <c r="N39" s="2145"/>
      <c r="O39" s="2145"/>
      <c r="P39" s="3351" t="str">
        <f>A39</f>
        <v>估价对象XX用房的比较价格（楼面单价，元/平方米）</v>
      </c>
      <c r="Q39" s="3352"/>
      <c r="R39" s="3468" t="e">
        <f>IF(F1="售价",ROUND(AVERAGE(R38:V38),0),ROUND(AVERAGE(R38:V38),1))</f>
        <v>#DIV/0!</v>
      </c>
      <c r="S39" s="3468"/>
      <c r="T39" s="3468"/>
      <c r="U39" s="3468"/>
      <c r="V39" s="3468"/>
      <c r="W39" s="346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19" customFormat="1" ht="15">
      <c r="A49" s="646"/>
      <c r="B49" s="647"/>
      <c r="C49" s="2781">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76" t="s">
        <v>2559</v>
      </c>
      <c r="C67" s="2577" t="s">
        <v>2560</v>
      </c>
      <c r="D67" s="2577" t="s">
        <v>2561</v>
      </c>
      <c r="E67" s="2577" t="s">
        <v>2562</v>
      </c>
      <c r="F67" s="2577" t="s">
        <v>2563</v>
      </c>
      <c r="G67" s="2577" t="s">
        <v>2564</v>
      </c>
      <c r="H67" s="673"/>
      <c r="I67" s="673"/>
      <c r="J67" s="673"/>
      <c r="K67" s="673"/>
      <c r="L67" s="673"/>
      <c r="M67" s="2580"/>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5"/>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60" t="s">
        <v>798</v>
      </c>
      <c r="D4" s="3361"/>
      <c r="E4" s="3395" t="s">
        <v>799</v>
      </c>
      <c r="F4" s="3396"/>
      <c r="G4" s="3360" t="s">
        <v>800</v>
      </c>
      <c r="H4" s="3361"/>
      <c r="I4" s="3360" t="s">
        <v>801</v>
      </c>
      <c r="J4" s="3361"/>
      <c r="K4" s="513" t="s">
        <v>802</v>
      </c>
      <c r="L4" s="2133"/>
      <c r="M4" s="2134"/>
      <c r="N4" s="2134"/>
      <c r="O4" s="2134"/>
      <c r="P4" s="3362" t="s">
        <v>803</v>
      </c>
      <c r="Q4" s="3363"/>
      <c r="R4" s="3368" t="s">
        <v>799</v>
      </c>
      <c r="S4" s="3369"/>
      <c r="T4" s="3368" t="s">
        <v>800</v>
      </c>
      <c r="U4" s="3369"/>
      <c r="V4" s="3355" t="s">
        <v>801</v>
      </c>
      <c r="W4" s="3355"/>
      <c r="X4" s="1567"/>
      <c r="Y4" s="3368" t="s">
        <v>803</v>
      </c>
      <c r="Z4" s="3369"/>
      <c r="AA4" s="3357" t="s">
        <v>799</v>
      </c>
      <c r="AB4" s="3358" t="s">
        <v>800</v>
      </c>
      <c r="AC4" s="3357" t="s">
        <v>801</v>
      </c>
    </row>
    <row r="5" spans="1:29" ht="15">
      <c r="A5" s="514"/>
      <c r="B5" s="515"/>
      <c r="C5" s="3376" t="s">
        <v>2931</v>
      </c>
      <c r="D5" s="3377"/>
      <c r="E5" s="3397" t="s">
        <v>2932</v>
      </c>
      <c r="F5" s="3398"/>
      <c r="G5" s="3376" t="s">
        <v>2933</v>
      </c>
      <c r="H5" s="3377"/>
      <c r="I5" s="3376" t="s">
        <v>2934</v>
      </c>
      <c r="J5" s="3377"/>
      <c r="K5" s="513"/>
      <c r="L5" s="2133"/>
      <c r="M5" s="2134"/>
      <c r="N5" s="2134"/>
      <c r="O5" s="2134"/>
      <c r="P5" s="3364"/>
      <c r="Q5" s="3365"/>
      <c r="R5" s="3370"/>
      <c r="S5" s="3371"/>
      <c r="T5" s="3370"/>
      <c r="U5" s="3371"/>
      <c r="V5" s="3355"/>
      <c r="W5" s="3355"/>
      <c r="X5" s="1567"/>
      <c r="Y5" s="3370"/>
      <c r="Z5" s="3371"/>
      <c r="AA5" s="3358"/>
      <c r="AB5" s="3358"/>
      <c r="AC5" s="3358"/>
    </row>
    <row r="6" spans="1:29" ht="15.75" thickBot="1">
      <c r="A6" s="516"/>
      <c r="B6" s="517"/>
      <c r="C6" s="3374" t="s">
        <v>2935</v>
      </c>
      <c r="D6" s="3375"/>
      <c r="E6" s="3393" t="s">
        <v>2935</v>
      </c>
      <c r="F6" s="3394"/>
      <c r="G6" s="3374" t="s">
        <v>2935</v>
      </c>
      <c r="H6" s="3375"/>
      <c r="I6" s="3374" t="s">
        <v>2935</v>
      </c>
      <c r="J6" s="3375"/>
      <c r="K6" s="513" t="s">
        <v>528</v>
      </c>
      <c r="L6" s="2133"/>
      <c r="M6" s="2134"/>
      <c r="N6" s="2134"/>
      <c r="O6" s="2134"/>
      <c r="P6" s="3366"/>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86" t="s">
        <v>530</v>
      </c>
      <c r="Q7" s="3388"/>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86" t="s">
        <v>533</v>
      </c>
      <c r="Q8" s="3387"/>
      <c r="R8" s="1568" t="s">
        <v>8</v>
      </c>
      <c r="S8" s="1569">
        <f t="shared" si="0"/>
        <v>0</v>
      </c>
      <c r="T8" s="1568" t="s">
        <v>8</v>
      </c>
      <c r="U8" s="1569">
        <f t="shared" si="1"/>
        <v>0</v>
      </c>
      <c r="V8" s="1568" t="s">
        <v>8</v>
      </c>
      <c r="W8" s="1569">
        <f t="shared" si="2"/>
        <v>0</v>
      </c>
      <c r="X8" s="1570"/>
      <c r="Y8" s="3386" t="s">
        <v>533</v>
      </c>
      <c r="Z8" s="3387"/>
      <c r="AA8" s="1571" t="e">
        <f t="shared" ref="AA8:AA34" si="3">D8/F8</f>
        <v>#DIV/0!</v>
      </c>
      <c r="AB8" s="1571" t="e">
        <f t="shared" ref="AB8:AB34" si="4">D8/H8</f>
        <v>#DIV/0!</v>
      </c>
      <c r="AC8" s="1571" t="e">
        <f t="shared" ref="AC8:AC34" si="5">D8/J8</f>
        <v>#DIV/0!</v>
      </c>
    </row>
    <row r="9" spans="1:29" s="1219" customFormat="1" ht="15">
      <c r="A9" s="2892"/>
      <c r="B9" s="2899"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54" t="s">
        <v>535</v>
      </c>
      <c r="Q9" s="1150" t="str">
        <f t="shared" ref="Q9:Q14" si="6">B9</f>
        <v>用途</v>
      </c>
      <c r="R9" s="1568" t="s">
        <v>8</v>
      </c>
      <c r="S9" s="1569">
        <f t="shared" si="0"/>
        <v>100</v>
      </c>
      <c r="T9" s="1568" t="s">
        <v>8</v>
      </c>
      <c r="U9" s="1569">
        <f t="shared" si="1"/>
        <v>100</v>
      </c>
      <c r="V9" s="1568" t="s">
        <v>8</v>
      </c>
      <c r="W9" s="1569">
        <f t="shared" si="2"/>
        <v>100</v>
      </c>
      <c r="X9" s="1570"/>
      <c r="Y9" s="3300" t="s">
        <v>536</v>
      </c>
      <c r="Z9" s="1149" t="str">
        <f t="shared" ref="Z9:Z14" si="7">Q9</f>
        <v>用途</v>
      </c>
      <c r="AA9" s="1571">
        <f t="shared" si="3"/>
        <v>1</v>
      </c>
      <c r="AB9" s="1571">
        <f t="shared" si="4"/>
        <v>1</v>
      </c>
      <c r="AC9" s="1571">
        <f t="shared" si="5"/>
        <v>1</v>
      </c>
    </row>
    <row r="10" spans="1:29" s="1337" customFormat="1" ht="27">
      <c r="A10" s="2893"/>
      <c r="B10" s="2898"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5"/>
      <c r="B11" s="2901">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54"/>
      <c r="Q11" s="1150">
        <f t="shared" si="6"/>
        <v>111</v>
      </c>
      <c r="R11" s="1568" t="s">
        <v>8</v>
      </c>
      <c r="S11" s="1569">
        <f t="shared" si="0"/>
        <v>100</v>
      </c>
      <c r="T11" s="1568" t="s">
        <v>8</v>
      </c>
      <c r="U11" s="1569">
        <f t="shared" si="1"/>
        <v>100</v>
      </c>
      <c r="V11" s="1568" t="s">
        <v>8</v>
      </c>
      <c r="W11" s="1569">
        <f t="shared" si="2"/>
        <v>100</v>
      </c>
      <c r="X11" s="1570"/>
      <c r="Y11" s="3300"/>
      <c r="Z11" s="1149">
        <f t="shared" si="7"/>
        <v>111</v>
      </c>
      <c r="AA11" s="1571">
        <f t="shared" si="3"/>
        <v>1</v>
      </c>
      <c r="AB11" s="1571">
        <f t="shared" si="4"/>
        <v>1</v>
      </c>
      <c r="AC11" s="1571">
        <f t="shared" si="5"/>
        <v>1</v>
      </c>
    </row>
    <row r="12" spans="1:29" s="1219" customFormat="1" ht="15">
      <c r="A12" s="2895"/>
      <c r="B12" s="2901">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75" thickBot="1">
      <c r="A13" s="2896"/>
      <c r="B13" s="2902">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390"/>
      <c r="Q15" s="1572"/>
      <c r="R15" s="1573"/>
      <c r="S15" s="1574"/>
      <c r="T15" s="1573"/>
      <c r="U15" s="1574"/>
      <c r="V15" s="1573"/>
      <c r="W15" s="1574"/>
      <c r="X15" s="1567"/>
      <c r="Y15" s="3390"/>
      <c r="Z15" s="1575"/>
      <c r="AA15" s="1576">
        <v>1</v>
      </c>
      <c r="AB15" s="1576">
        <v>1</v>
      </c>
      <c r="AC15" s="1576">
        <v>1</v>
      </c>
    </row>
    <row r="16" spans="1:29" ht="42.75">
      <c r="A16" s="531"/>
      <c r="B16" s="2582"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390"/>
      <c r="Q17" s="1572"/>
      <c r="R17" s="1573"/>
      <c r="S17" s="1574"/>
      <c r="T17" s="1573"/>
      <c r="U17" s="1574"/>
      <c r="V17" s="1573"/>
      <c r="W17" s="1574"/>
      <c r="X17" s="1567"/>
      <c r="Y17" s="3390"/>
      <c r="Z17" s="1575"/>
      <c r="AA17" s="1576">
        <v>1</v>
      </c>
      <c r="AB17" s="1576">
        <v>1</v>
      </c>
      <c r="AC17" s="1576">
        <v>1</v>
      </c>
    </row>
    <row r="18" spans="1:29" ht="28.5">
      <c r="A18" s="531"/>
      <c r="B18" s="2570"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0"/>
      <c r="Q18" s="2558" t="str">
        <f>B18</f>
        <v>基础设施水平</v>
      </c>
      <c r="R18" s="1573" t="s">
        <v>8</v>
      </c>
      <c r="S18" s="1574">
        <f>F18</f>
        <v>100</v>
      </c>
      <c r="T18" s="1573" t="s">
        <v>8</v>
      </c>
      <c r="U18" s="1574">
        <f>H18</f>
        <v>100</v>
      </c>
      <c r="V18" s="1573" t="s">
        <v>8</v>
      </c>
      <c r="W18" s="1574">
        <f>J18</f>
        <v>100</v>
      </c>
      <c r="X18" s="2560"/>
      <c r="Y18" s="3390"/>
      <c r="Z18" s="2559"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81"/>
      <c r="L19" s="2142"/>
      <c r="M19" s="2134"/>
      <c r="N19" s="2134"/>
      <c r="O19" s="2141"/>
      <c r="P19" s="3390"/>
      <c r="Q19" s="2558"/>
      <c r="R19" s="1573"/>
      <c r="S19" s="1574"/>
      <c r="T19" s="1573"/>
      <c r="U19" s="1574"/>
      <c r="V19" s="1573"/>
      <c r="W19" s="1574"/>
      <c r="X19" s="2560"/>
      <c r="Y19" s="3390"/>
      <c r="Z19" s="2559"/>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390"/>
      <c r="Q21" s="1572"/>
      <c r="R21" s="1573"/>
      <c r="S21" s="1574"/>
      <c r="T21" s="1573"/>
      <c r="U21" s="1574"/>
      <c r="V21" s="1573"/>
      <c r="W21" s="1574"/>
      <c r="X21" s="1567"/>
      <c r="Y21" s="3390"/>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0"/>
      <c r="Q24" s="1572">
        <f t="shared" ref="Q24:Q34"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0"/>
      <c r="Q25" s="1150">
        <f t="shared" si="11"/>
        <v>111</v>
      </c>
      <c r="R25" s="1568" t="s">
        <v>8</v>
      </c>
      <c r="S25" s="1569">
        <f>F25</f>
        <v>100</v>
      </c>
      <c r="T25" s="1568" t="s">
        <v>8</v>
      </c>
      <c r="U25" s="1569">
        <f>H25</f>
        <v>100</v>
      </c>
      <c r="V25" s="1568" t="s">
        <v>8</v>
      </c>
      <c r="W25" s="1569">
        <f>J25</f>
        <v>100</v>
      </c>
      <c r="X25" s="1570"/>
      <c r="Y25" s="3390"/>
      <c r="Z25" s="1149">
        <f>Q25</f>
        <v>111</v>
      </c>
      <c r="AA25" s="1576">
        <f>D25/F25</f>
        <v>1</v>
      </c>
      <c r="AB25" s="1576">
        <f>D25/H25</f>
        <v>1</v>
      </c>
      <c r="AC25" s="1576">
        <f>D25/J25</f>
        <v>1</v>
      </c>
    </row>
    <row r="26" spans="1:29" ht="15">
      <c r="A26" s="2885"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2"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2"/>
      <c r="Q27" s="1605" t="str">
        <f t="shared" si="11"/>
        <v>成新率</v>
      </c>
      <c r="R27" s="1577" t="s">
        <v>8</v>
      </c>
      <c r="S27" s="1578" t="e">
        <f t="shared" si="12"/>
        <v>#N/A</v>
      </c>
      <c r="T27" s="1577" t="s">
        <v>8</v>
      </c>
      <c r="U27" s="1578" t="e">
        <f t="shared" si="13"/>
        <v>#N/A</v>
      </c>
      <c r="V27" s="1577" t="s">
        <v>8</v>
      </c>
      <c r="W27" s="1578" t="e">
        <f t="shared" si="14"/>
        <v>#N/A</v>
      </c>
      <c r="X27" s="1579"/>
      <c r="Y27" s="3392"/>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2"/>
      <c r="Q28" s="1572" t="str">
        <f t="shared" si="11"/>
        <v>物业等级</v>
      </c>
      <c r="R28" s="1573" t="s">
        <v>8</v>
      </c>
      <c r="S28" s="1574">
        <f t="shared" si="12"/>
        <v>100</v>
      </c>
      <c r="T28" s="1573" t="s">
        <v>8</v>
      </c>
      <c r="U28" s="1574">
        <f t="shared" si="13"/>
        <v>100</v>
      </c>
      <c r="V28" s="1573" t="s">
        <v>8</v>
      </c>
      <c r="W28" s="1574">
        <f t="shared" si="14"/>
        <v>100</v>
      </c>
      <c r="X28" s="1567"/>
      <c r="Y28" s="3392"/>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2"/>
      <c r="Q29" s="1572" t="str">
        <f t="shared" si="11"/>
        <v>有无电梯</v>
      </c>
      <c r="R29" s="1573" t="s">
        <v>8</v>
      </c>
      <c r="S29" s="1574">
        <f t="shared" si="12"/>
        <v>100</v>
      </c>
      <c r="T29" s="1573" t="s">
        <v>8</v>
      </c>
      <c r="U29" s="1574">
        <f t="shared" si="13"/>
        <v>100</v>
      </c>
      <c r="V29" s="1573" t="s">
        <v>8</v>
      </c>
      <c r="W29" s="1574">
        <f t="shared" si="14"/>
        <v>100</v>
      </c>
      <c r="X29" s="1567"/>
      <c r="Y29" s="3392"/>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2"/>
      <c r="Q30" s="1572" t="str">
        <f t="shared" si="11"/>
        <v>建筑面积</v>
      </c>
      <c r="R30" s="1573" t="s">
        <v>8</v>
      </c>
      <c r="S30" s="1574" t="e">
        <f t="shared" si="12"/>
        <v>#N/A</v>
      </c>
      <c r="T30" s="1573" t="s">
        <v>8</v>
      </c>
      <c r="U30" s="1574" t="e">
        <f t="shared" si="13"/>
        <v>#N/A</v>
      </c>
      <c r="V30" s="1573" t="s">
        <v>8</v>
      </c>
      <c r="W30" s="1574" t="e">
        <f t="shared" si="14"/>
        <v>#N/A</v>
      </c>
      <c r="X30" s="1567"/>
      <c r="Y30" s="3392"/>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2"/>
      <c r="Q31" s="1150" t="str">
        <f t="shared" si="11"/>
        <v>是否封闭</v>
      </c>
      <c r="R31" s="1568" t="s">
        <v>8</v>
      </c>
      <c r="S31" s="1569">
        <f t="shared" si="12"/>
        <v>100</v>
      </c>
      <c r="T31" s="1568" t="s">
        <v>8</v>
      </c>
      <c r="U31" s="1569">
        <f t="shared" si="13"/>
        <v>100</v>
      </c>
      <c r="V31" s="1568" t="s">
        <v>8</v>
      </c>
      <c r="W31" s="1569">
        <f t="shared" si="14"/>
        <v>100</v>
      </c>
      <c r="X31" s="1570"/>
      <c r="Y31" s="3392"/>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2" t="s">
        <v>550</v>
      </c>
      <c r="Q32" s="1572">
        <f t="shared" si="11"/>
        <v>111</v>
      </c>
      <c r="R32" s="1573" t="s">
        <v>8</v>
      </c>
      <c r="S32" s="1574">
        <f t="shared" si="12"/>
        <v>100</v>
      </c>
      <c r="T32" s="1573" t="s">
        <v>8</v>
      </c>
      <c r="U32" s="1574">
        <f t="shared" si="13"/>
        <v>100</v>
      </c>
      <c r="V32" s="1573" t="s">
        <v>8</v>
      </c>
      <c r="W32" s="1574">
        <f t="shared" si="14"/>
        <v>100</v>
      </c>
      <c r="X32" s="1567"/>
      <c r="Y32" s="3392"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2"/>
      <c r="Q33" s="1572">
        <f t="shared" si="11"/>
        <v>111</v>
      </c>
      <c r="R33" s="1573" t="s">
        <v>8</v>
      </c>
      <c r="S33" s="1574">
        <f t="shared" si="12"/>
        <v>100</v>
      </c>
      <c r="T33" s="1573" t="s">
        <v>8</v>
      </c>
      <c r="U33" s="1574">
        <f t="shared" si="13"/>
        <v>100</v>
      </c>
      <c r="V33" s="1573" t="s">
        <v>8</v>
      </c>
      <c r="W33" s="1574">
        <f t="shared" si="14"/>
        <v>100</v>
      </c>
      <c r="X33" s="1567"/>
      <c r="Y33" s="3392"/>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ht="15">
      <c r="A35" s="606" t="s">
        <v>736</v>
      </c>
      <c r="B35" s="886"/>
      <c r="C35" s="2606" t="s">
        <v>1</v>
      </c>
      <c r="D35" s="2607"/>
      <c r="E35" s="2608"/>
      <c r="F35" s="2609"/>
      <c r="G35" s="2610"/>
      <c r="H35" s="2611"/>
      <c r="I35" s="2608"/>
      <c r="J35" s="2611"/>
      <c r="K35" s="1611"/>
      <c r="L35" s="2144"/>
      <c r="M35" s="2145"/>
      <c r="N35" s="2134"/>
      <c r="O35" s="2145"/>
      <c r="P35" s="3354" t="str">
        <f>A35</f>
        <v>成交单价（元/平方米）</v>
      </c>
      <c r="Q35" s="3354"/>
      <c r="R35" s="3469">
        <f>E35</f>
        <v>0</v>
      </c>
      <c r="S35" s="3469"/>
      <c r="T35" s="3469">
        <f>G35</f>
        <v>0</v>
      </c>
      <c r="U35" s="3469"/>
      <c r="V35" s="3469">
        <f>I35</f>
        <v>0</v>
      </c>
      <c r="W35" s="3469"/>
      <c r="X35" s="1559"/>
      <c r="Y35" s="1581"/>
      <c r="Z35" s="1559"/>
      <c r="AA35" s="1559"/>
      <c r="AB35" s="1559"/>
      <c r="AC35" s="1559"/>
    </row>
    <row r="36" spans="1:29" ht="15.75" thickBot="1">
      <c r="A36" s="614" t="s">
        <v>2761</v>
      </c>
      <c r="B36" s="887"/>
      <c r="C36" s="2612" t="e">
        <f>R37</f>
        <v>#DIV/0!</v>
      </c>
      <c r="D36" s="2613"/>
      <c r="E36" s="2614" t="e">
        <f>R36</f>
        <v>#DIV/0!</v>
      </c>
      <c r="F36" s="2614"/>
      <c r="G36" s="2612" t="e">
        <f>T36</f>
        <v>#DIV/0!</v>
      </c>
      <c r="H36" s="2613"/>
      <c r="I36" s="2614" t="e">
        <f>V36</f>
        <v>#DIV/0!</v>
      </c>
      <c r="J36" s="2613"/>
      <c r="K36" s="1612"/>
      <c r="L36" s="2144"/>
      <c r="M36" s="2145"/>
      <c r="N36" s="2134"/>
      <c r="O36" s="2145"/>
      <c r="P36" s="3354" t="str">
        <f>A36</f>
        <v>比较价格（元/平方米）</v>
      </c>
      <c r="Q36" s="3354"/>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59"/>
      <c r="Y36" s="1559"/>
      <c r="Z36" s="1559"/>
      <c r="AA36" s="1559"/>
      <c r="AB36" s="1559"/>
      <c r="AC36" s="1559"/>
    </row>
    <row r="37" spans="1:29" ht="15.75" thickBot="1">
      <c r="A37" s="620" t="s">
        <v>2937</v>
      </c>
      <c r="B37" s="621"/>
      <c r="C37" s="2615" t="e">
        <f>R37</f>
        <v>#DIV/0!</v>
      </c>
      <c r="D37" s="2615"/>
      <c r="E37" s="2615"/>
      <c r="F37" s="2615"/>
      <c r="G37" s="2615"/>
      <c r="H37" s="2615"/>
      <c r="I37" s="2615"/>
      <c r="J37" s="2615"/>
      <c r="K37" s="1613"/>
      <c r="L37" s="2144"/>
      <c r="M37" s="2145"/>
      <c r="N37" s="2145"/>
      <c r="O37" s="2145"/>
      <c r="P37" s="3351" t="str">
        <f>A37</f>
        <v>估价对象XX用房的比较价格（楼面单价，元/平方米）</v>
      </c>
      <c r="Q37" s="3352"/>
      <c r="R37" s="3468" t="e">
        <f>IF(F1="售价",ROUND(AVERAGE(R36:V36),0),ROUND(AVERAGE(R36:V36),1))</f>
        <v>#DIV/0!</v>
      </c>
      <c r="S37" s="3468"/>
      <c r="T37" s="3468"/>
      <c r="U37" s="3468"/>
      <c r="V37" s="3468"/>
      <c r="W37" s="346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529</v>
      </c>
      <c r="B46" s="645"/>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76" t="s">
        <v>2559</v>
      </c>
      <c r="C65" s="2577" t="s">
        <v>2560</v>
      </c>
      <c r="D65" s="2577" t="s">
        <v>2561</v>
      </c>
      <c r="E65" s="2577" t="s">
        <v>2562</v>
      </c>
      <c r="F65" s="2577" t="s">
        <v>2563</v>
      </c>
      <c r="G65" s="2577" t="s">
        <v>2564</v>
      </c>
      <c r="H65" s="673"/>
      <c r="I65" s="673"/>
      <c r="J65" s="673"/>
      <c r="K65" s="673"/>
      <c r="L65" s="673"/>
      <c r="M65" s="2580"/>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2304</v>
      </c>
      <c r="C1" s="3479" t="s">
        <v>2305</v>
      </c>
      <c r="D1" s="3480"/>
      <c r="E1" s="3480"/>
      <c r="F1" s="3480"/>
      <c r="G1" s="3480"/>
      <c r="H1" s="3480"/>
      <c r="I1" s="3480"/>
      <c r="J1" s="3480"/>
      <c r="K1" s="3480"/>
      <c r="L1" s="3480"/>
      <c r="M1" s="3480"/>
      <c r="N1" s="3480"/>
      <c r="O1" s="3480"/>
      <c r="P1" s="3480"/>
      <c r="Q1" s="3480"/>
      <c r="R1" s="3480"/>
      <c r="S1" s="3481"/>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3"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5" t="s">
        <v>2929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5" t="s">
        <v>2928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3"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3"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3"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76" t="s">
        <v>20</v>
      </c>
      <c r="D22" s="3477"/>
      <c r="E22" s="3477"/>
      <c r="F22" s="3477"/>
      <c r="G22" s="3477"/>
      <c r="H22" s="3477"/>
      <c r="I22" s="3477"/>
      <c r="J22" s="3477"/>
      <c r="K22" s="3477"/>
      <c r="L22" s="3477"/>
      <c r="M22" s="3477"/>
      <c r="N22" s="3477"/>
      <c r="O22" s="3477"/>
      <c r="P22" s="3477"/>
      <c r="Q22" s="3478"/>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中铁建设集团房地产有限公司：</v>
      </c>
    </row>
    <row r="4" spans="1:4" ht="56.25">
      <c r="A4" s="1791" t="str">
        <f>"受贵公司委托，我公司对"&amp;项目基本情况!K2&amp;项目基本情况!B9&amp;"进行了预评估。"</f>
        <v>受贵公司委托，我公司对北京市房山区青龙湖中心区01-0010、0021地块R2二类居住用地、01-0015地块B4综合性商业金融服务业用地出让国有建设用地使用权抵押价格进行了预评估。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24151.66平方米。根据《建设工程规划许可证》[]、《出让合同》[]，估价对象规划建筑面积为48217.25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2019年3月22日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根据《国有土地使用证》[]，估价对象（分摊）出让国有建设用地使用权面积为24151.66平方米。根据《建设工程规划许可证》[]、《出让合同》[]，估价对象规划建筑面积为48217.25平方米。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43546</v>
      </c>
      <c r="H1" s="2916">
        <f>IF(C1&gt;C13,0,MATCH(C1,C$13:C$100,-1))+IF(SUMIF(C13:C100,C1,D13:D100)=0,13,12)</f>
        <v>13</v>
      </c>
      <c r="I1" s="2916">
        <f ca="1">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3</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
  <sheetViews>
    <sheetView workbookViewId="0">
      <selection activeCell="H4" sqref="H4"/>
    </sheetView>
  </sheetViews>
  <sheetFormatPr defaultRowHeight="13.5"/>
  <cols>
    <col min="1" max="1" width="42.375" customWidth="1"/>
    <col min="4" max="4" width="27.625" customWidth="1"/>
    <col min="7" max="7" width="41.625" customWidth="1"/>
    <col min="19" max="19" width="36.5" customWidth="1"/>
  </cols>
  <sheetData>
    <row r="1" spans="1:26" s="2917" customFormat="1">
      <c r="A1" s="2917" t="s">
        <v>3047</v>
      </c>
      <c r="B1" s="2917" t="s">
        <v>3048</v>
      </c>
      <c r="C1" s="2917" t="s">
        <v>3049</v>
      </c>
      <c r="D1" s="2917" t="s">
        <v>3050</v>
      </c>
      <c r="E1" s="2917" t="s">
        <v>3051</v>
      </c>
      <c r="F1" s="2917" t="s">
        <v>3052</v>
      </c>
      <c r="G1" s="2917" t="s">
        <v>3053</v>
      </c>
      <c r="H1" s="2917" t="s">
        <v>3054</v>
      </c>
      <c r="I1" s="2917" t="s">
        <v>3055</v>
      </c>
      <c r="J1" s="2917" t="s">
        <v>2033</v>
      </c>
      <c r="K1" s="2917" t="s">
        <v>3056</v>
      </c>
      <c r="L1" s="2917" t="s">
        <v>3057</v>
      </c>
      <c r="M1" s="2917" t="s">
        <v>3058</v>
      </c>
      <c r="N1" s="2917" t="s">
        <v>3059</v>
      </c>
      <c r="O1" s="2917" t="s">
        <v>3060</v>
      </c>
      <c r="P1" s="2917" t="s">
        <v>3061</v>
      </c>
      <c r="Q1" s="2917" t="s">
        <v>3062</v>
      </c>
      <c r="R1" s="2917" t="s">
        <v>3063</v>
      </c>
      <c r="S1" s="2917" t="s">
        <v>3064</v>
      </c>
      <c r="T1" s="2917" t="s">
        <v>3065</v>
      </c>
      <c r="U1" s="2917" t="s">
        <v>3066</v>
      </c>
      <c r="V1" s="2917" t="s">
        <v>3067</v>
      </c>
      <c r="W1" s="2917" t="s">
        <v>3068</v>
      </c>
      <c r="X1" s="2917" t="s">
        <v>3069</v>
      </c>
      <c r="Y1" s="2917" t="s">
        <v>3070</v>
      </c>
      <c r="Z1" s="2917" t="s">
        <v>3071</v>
      </c>
    </row>
    <row r="2" spans="1:26" s="3176" customFormat="1">
      <c r="A2" s="3176" t="s">
        <v>3072</v>
      </c>
      <c r="B2" s="3176" t="s">
        <v>1946</v>
      </c>
      <c r="C2" s="3176" t="s">
        <v>3073</v>
      </c>
      <c r="D2" s="3176" t="s">
        <v>3074</v>
      </c>
      <c r="E2" s="3176" t="s">
        <v>3075</v>
      </c>
      <c r="F2" s="3176" t="s">
        <v>3076</v>
      </c>
      <c r="G2" s="3176" t="s">
        <v>3077</v>
      </c>
      <c r="H2" s="3176">
        <v>168662.9</v>
      </c>
      <c r="I2" s="3176">
        <v>184119</v>
      </c>
      <c r="J2" s="3176" t="s">
        <v>3078</v>
      </c>
      <c r="K2" s="3176" t="s">
        <v>2819</v>
      </c>
      <c r="L2" s="3176" t="s">
        <v>2819</v>
      </c>
      <c r="M2" s="3176" t="s">
        <v>2819</v>
      </c>
      <c r="N2" s="3176" t="s">
        <v>2819</v>
      </c>
      <c r="O2" s="3176" t="s">
        <v>3079</v>
      </c>
      <c r="P2" s="3176" t="s">
        <v>3080</v>
      </c>
      <c r="Q2" s="3176" t="s">
        <v>2819</v>
      </c>
      <c r="R2" s="3176" t="s">
        <v>3081</v>
      </c>
      <c r="S2" s="3176" t="s">
        <v>3082</v>
      </c>
      <c r="T2" s="3176">
        <v>405000</v>
      </c>
      <c r="U2" s="3176">
        <v>430000</v>
      </c>
      <c r="V2" s="3176">
        <v>21996.639999999999</v>
      </c>
      <c r="W2" s="3176">
        <v>23354.45</v>
      </c>
      <c r="X2" s="3176" t="s">
        <v>2819</v>
      </c>
      <c r="Y2" s="3176">
        <v>6.17</v>
      </c>
      <c r="Z2" s="3176" t="s">
        <v>3083</v>
      </c>
    </row>
    <row r="3" spans="1:26" s="3175" customFormat="1">
      <c r="A3" s="3175" t="s">
        <v>3084</v>
      </c>
      <c r="B3" s="3175" t="s">
        <v>1946</v>
      </c>
      <c r="C3" s="3175" t="s">
        <v>3073</v>
      </c>
      <c r="D3" s="3175" t="s">
        <v>3085</v>
      </c>
      <c r="E3" s="3175" t="s">
        <v>3075</v>
      </c>
      <c r="F3" s="3175" t="s">
        <v>3086</v>
      </c>
      <c r="G3" s="3175" t="s">
        <v>3087</v>
      </c>
      <c r="H3" s="3175">
        <v>54533</v>
      </c>
      <c r="I3" s="3175">
        <v>70556</v>
      </c>
      <c r="J3" s="3175">
        <v>1.29</v>
      </c>
      <c r="K3" s="3175" t="s">
        <v>2819</v>
      </c>
      <c r="L3" s="3175" t="s">
        <v>2819</v>
      </c>
      <c r="M3" s="3175" t="s">
        <v>2819</v>
      </c>
      <c r="N3" s="3175" t="s">
        <v>2819</v>
      </c>
      <c r="O3" s="3175" t="s">
        <v>3079</v>
      </c>
      <c r="P3" s="3175" t="s">
        <v>3080</v>
      </c>
      <c r="Q3" s="3175" t="s">
        <v>2819</v>
      </c>
      <c r="R3" s="3175" t="s">
        <v>3088</v>
      </c>
      <c r="S3" s="3175" t="s">
        <v>2998</v>
      </c>
      <c r="T3" s="3175">
        <v>92500</v>
      </c>
      <c r="U3" s="3175">
        <v>92500</v>
      </c>
      <c r="V3" s="3175">
        <v>13110.15</v>
      </c>
      <c r="W3" s="3175">
        <v>13110.14</v>
      </c>
      <c r="X3" s="3175" t="s">
        <v>2819</v>
      </c>
      <c r="Y3" s="3175">
        <v>0</v>
      </c>
      <c r="Z3" s="3175" t="s">
        <v>3083</v>
      </c>
    </row>
    <row r="4" spans="1:26" s="3180" customFormat="1">
      <c r="A4" s="3181" t="s">
        <v>3169</v>
      </c>
      <c r="B4" s="3180" t="s">
        <v>1946</v>
      </c>
      <c r="C4" s="3180" t="s">
        <v>3073</v>
      </c>
      <c r="D4" s="3180" t="s">
        <v>3085</v>
      </c>
      <c r="E4" s="3180" t="s">
        <v>3075</v>
      </c>
      <c r="F4" s="3180" t="s">
        <v>3089</v>
      </c>
      <c r="G4" s="3180" t="s">
        <v>3090</v>
      </c>
      <c r="H4" s="3180">
        <v>55220.72</v>
      </c>
      <c r="I4" s="3180">
        <v>84310</v>
      </c>
      <c r="J4" s="3180">
        <v>1.53</v>
      </c>
      <c r="K4" s="3180" t="s">
        <v>2819</v>
      </c>
      <c r="L4" s="3180" t="s">
        <v>2819</v>
      </c>
      <c r="M4" s="3180" t="s">
        <v>2819</v>
      </c>
      <c r="N4" s="3180" t="s">
        <v>2819</v>
      </c>
      <c r="O4" s="3180" t="s">
        <v>3091</v>
      </c>
      <c r="P4" s="3180" t="s">
        <v>3092</v>
      </c>
      <c r="Q4" s="3180" t="s">
        <v>2819</v>
      </c>
      <c r="R4" s="3180" t="s">
        <v>3093</v>
      </c>
      <c r="S4" s="3180" t="s">
        <v>3094</v>
      </c>
      <c r="T4" s="3180">
        <v>115000</v>
      </c>
      <c r="U4" s="3180">
        <v>115000</v>
      </c>
      <c r="V4" s="3180">
        <v>13640.13</v>
      </c>
      <c r="W4" s="3180">
        <v>13640.13</v>
      </c>
      <c r="X4" s="3180" t="s">
        <v>2819</v>
      </c>
      <c r="Y4" s="3180">
        <v>0</v>
      </c>
      <c r="Z4" s="3180" t="s">
        <v>3083</v>
      </c>
    </row>
    <row r="5" spans="1:26" s="2917" customFormat="1">
      <c r="A5" s="2917" t="s">
        <v>3095</v>
      </c>
      <c r="B5" s="2917" t="s">
        <v>1946</v>
      </c>
      <c r="C5" s="2917" t="s">
        <v>3096</v>
      </c>
      <c r="D5" s="2917" t="s">
        <v>3085</v>
      </c>
      <c r="E5" s="2917" t="s">
        <v>3075</v>
      </c>
      <c r="F5" s="2917" t="s">
        <v>3097</v>
      </c>
      <c r="G5" s="2917" t="s">
        <v>3098</v>
      </c>
      <c r="H5" s="2917">
        <v>47849.94</v>
      </c>
      <c r="I5" s="2917">
        <v>76560</v>
      </c>
      <c r="J5" s="2917">
        <v>1.6</v>
      </c>
      <c r="K5" s="2917" t="s">
        <v>2819</v>
      </c>
      <c r="L5" s="2917" t="s">
        <v>2819</v>
      </c>
      <c r="M5" s="2917" t="s">
        <v>2819</v>
      </c>
      <c r="N5" s="2917" t="s">
        <v>2819</v>
      </c>
      <c r="O5" s="2917" t="s">
        <v>3091</v>
      </c>
      <c r="P5" s="2917" t="s">
        <v>3092</v>
      </c>
      <c r="Q5" s="2917" t="s">
        <v>2819</v>
      </c>
      <c r="R5" s="2917" t="s">
        <v>3099</v>
      </c>
      <c r="S5" s="2917" t="s">
        <v>3100</v>
      </c>
      <c r="T5" s="2917">
        <v>124000</v>
      </c>
      <c r="U5" s="2917">
        <v>175000</v>
      </c>
      <c r="V5" s="2917">
        <v>16196.44</v>
      </c>
      <c r="W5" s="2917">
        <v>22857.88</v>
      </c>
      <c r="X5" s="2917" t="s">
        <v>2819</v>
      </c>
      <c r="Y5" s="2917">
        <v>41.13</v>
      </c>
      <c r="Z5" s="2917" t="s">
        <v>3083</v>
      </c>
    </row>
    <row r="6" spans="1:26" s="3176" customFormat="1">
      <c r="A6" s="3176" t="s">
        <v>3101</v>
      </c>
      <c r="B6" s="3176" t="s">
        <v>1946</v>
      </c>
      <c r="C6" s="3176" t="s">
        <v>3073</v>
      </c>
      <c r="D6" s="3176" t="s">
        <v>3085</v>
      </c>
      <c r="E6" s="3176" t="s">
        <v>3075</v>
      </c>
      <c r="F6" s="3176" t="s">
        <v>3102</v>
      </c>
      <c r="G6" s="3176" t="s">
        <v>3077</v>
      </c>
      <c r="H6" s="3176">
        <v>133032.79999999999</v>
      </c>
      <c r="I6" s="3176">
        <v>210450</v>
      </c>
      <c r="J6" s="3176">
        <v>1.581940932</v>
      </c>
      <c r="K6" s="3176" t="s">
        <v>2819</v>
      </c>
      <c r="L6" s="3176" t="s">
        <v>2819</v>
      </c>
      <c r="M6" s="3176" t="s">
        <v>2819</v>
      </c>
      <c r="N6" s="3176" t="s">
        <v>2819</v>
      </c>
      <c r="O6" s="3176" t="s">
        <v>3091</v>
      </c>
      <c r="P6" s="3176" t="s">
        <v>3103</v>
      </c>
      <c r="Q6" s="3176" t="s">
        <v>2819</v>
      </c>
      <c r="R6" s="3176" t="s">
        <v>3104</v>
      </c>
      <c r="S6" s="3176" t="s">
        <v>3105</v>
      </c>
      <c r="T6" s="3176">
        <v>374000</v>
      </c>
      <c r="U6" s="3176">
        <v>561000</v>
      </c>
      <c r="V6" s="3176">
        <v>17771.439999999999</v>
      </c>
      <c r="W6" s="3176">
        <v>26657.15</v>
      </c>
      <c r="X6" s="3176" t="s">
        <v>2819</v>
      </c>
      <c r="Y6" s="3176">
        <v>50</v>
      </c>
      <c r="Z6" s="3176" t="s">
        <v>3083</v>
      </c>
    </row>
    <row r="7" spans="1:26" s="3176" customFormat="1" ht="15.75" customHeight="1">
      <c r="A7" s="3176" t="s">
        <v>3106</v>
      </c>
      <c r="B7" s="3176" t="s">
        <v>1946</v>
      </c>
      <c r="C7" s="3176" t="s">
        <v>3073</v>
      </c>
      <c r="D7" s="3176" t="s">
        <v>3107</v>
      </c>
      <c r="E7" s="3176" t="s">
        <v>3075</v>
      </c>
      <c r="F7" s="3176" t="s">
        <v>3108</v>
      </c>
      <c r="G7" s="3176" t="s">
        <v>3109</v>
      </c>
      <c r="H7" s="3176">
        <v>230355.9</v>
      </c>
      <c r="I7" s="3176">
        <v>249999</v>
      </c>
      <c r="J7" s="3176">
        <v>1.0900000000000001</v>
      </c>
      <c r="K7" s="3176" t="s">
        <v>2819</v>
      </c>
      <c r="L7" s="3176" t="s">
        <v>2819</v>
      </c>
      <c r="M7" s="3176" t="s">
        <v>2819</v>
      </c>
      <c r="N7" s="3176" t="s">
        <v>2819</v>
      </c>
      <c r="O7" s="3176" t="s">
        <v>3079</v>
      </c>
      <c r="P7" s="3176" t="s">
        <v>3080</v>
      </c>
      <c r="Q7" s="3176" t="s">
        <v>2819</v>
      </c>
      <c r="R7" s="3176" t="s">
        <v>3110</v>
      </c>
      <c r="S7" s="3176" t="s">
        <v>3111</v>
      </c>
      <c r="T7" s="3176">
        <v>500000</v>
      </c>
      <c r="U7" s="3176">
        <v>585000</v>
      </c>
      <c r="V7" s="3176">
        <v>20000.080000000002</v>
      </c>
      <c r="W7" s="3176">
        <v>23400.09</v>
      </c>
      <c r="X7" s="3176" t="s">
        <v>2819</v>
      </c>
      <c r="Y7" s="3176">
        <v>17</v>
      </c>
      <c r="Z7" s="3176" t="s">
        <v>3083</v>
      </c>
    </row>
    <row r="8" spans="1:26" s="2917" customFormat="1">
      <c r="A8" s="2917" t="s">
        <v>3112</v>
      </c>
      <c r="B8" s="2917" t="s">
        <v>1946</v>
      </c>
      <c r="C8" s="2917" t="s">
        <v>3113</v>
      </c>
      <c r="D8" s="2917" t="s">
        <v>3085</v>
      </c>
      <c r="E8" s="2917" t="s">
        <v>3075</v>
      </c>
      <c r="F8" s="2917" t="s">
        <v>3114</v>
      </c>
      <c r="G8" s="2917" t="s">
        <v>3115</v>
      </c>
      <c r="H8" s="2917">
        <v>70453</v>
      </c>
      <c r="I8" s="2917">
        <v>56637</v>
      </c>
      <c r="J8" s="2917">
        <v>0.8</v>
      </c>
      <c r="K8" s="2917" t="s">
        <v>2819</v>
      </c>
      <c r="L8" s="2917" t="s">
        <v>2819</v>
      </c>
      <c r="M8" s="2917" t="s">
        <v>2819</v>
      </c>
      <c r="N8" s="2917" t="s">
        <v>2819</v>
      </c>
      <c r="O8" s="2917" t="s">
        <v>2819</v>
      </c>
      <c r="P8" s="2917" t="s">
        <v>2819</v>
      </c>
      <c r="Q8" s="2917" t="s">
        <v>2819</v>
      </c>
      <c r="R8" s="2917" t="s">
        <v>3116</v>
      </c>
      <c r="S8" s="2917" t="s">
        <v>3117</v>
      </c>
      <c r="T8" s="2917">
        <v>18700</v>
      </c>
      <c r="U8" s="2917">
        <v>18700</v>
      </c>
      <c r="V8" s="2917">
        <v>3301.72</v>
      </c>
      <c r="W8" s="2917">
        <v>3301.73</v>
      </c>
      <c r="X8" s="2917" t="s">
        <v>2819</v>
      </c>
      <c r="Y8" s="2917">
        <v>0</v>
      </c>
      <c r="Z8" s="2917" t="s">
        <v>3083</v>
      </c>
    </row>
    <row r="9" spans="1:26" s="2917" customFormat="1">
      <c r="A9" s="2917" t="s">
        <v>3118</v>
      </c>
      <c r="B9" s="2917" t="s">
        <v>1946</v>
      </c>
      <c r="C9" s="2917" t="s">
        <v>3113</v>
      </c>
      <c r="D9" s="2917" t="s">
        <v>3085</v>
      </c>
      <c r="E9" s="2917" t="s">
        <v>3075</v>
      </c>
      <c r="F9" s="2917" t="s">
        <v>3119</v>
      </c>
      <c r="G9" s="2917" t="s">
        <v>3120</v>
      </c>
      <c r="H9" s="2917">
        <v>128415</v>
      </c>
      <c r="I9" s="2917">
        <v>51366</v>
      </c>
      <c r="J9" s="2917">
        <v>0.4</v>
      </c>
      <c r="K9" s="2917" t="s">
        <v>2819</v>
      </c>
      <c r="L9" s="2917" t="s">
        <v>2819</v>
      </c>
      <c r="M9" s="2917" t="s">
        <v>2819</v>
      </c>
      <c r="N9" s="2917" t="s">
        <v>2819</v>
      </c>
      <c r="O9" s="2917" t="s">
        <v>2819</v>
      </c>
      <c r="P9" s="2917" t="s">
        <v>2819</v>
      </c>
      <c r="Q9" s="2917" t="s">
        <v>2819</v>
      </c>
      <c r="R9" s="2917" t="s">
        <v>3121</v>
      </c>
      <c r="S9" s="2917" t="s">
        <v>3122</v>
      </c>
      <c r="T9" s="2917">
        <v>16951</v>
      </c>
      <c r="U9" s="2917">
        <v>19400</v>
      </c>
      <c r="V9" s="2917">
        <v>3300.04</v>
      </c>
      <c r="W9" s="2917">
        <v>3776.82</v>
      </c>
      <c r="X9" s="2917" t="s">
        <v>2819</v>
      </c>
      <c r="Y9" s="2917">
        <v>14.45</v>
      </c>
      <c r="Z9" s="2917" t="s">
        <v>3123</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2039</v>
      </c>
      <c r="B1" s="3187"/>
      <c r="C1" s="3187"/>
      <c r="D1" s="3187"/>
      <c r="E1" s="3187"/>
      <c r="F1" s="3187"/>
      <c r="G1" s="3187"/>
      <c r="H1" s="3187"/>
      <c r="I1" s="3187"/>
      <c r="J1" s="3187"/>
      <c r="K1" s="3187"/>
      <c r="L1" s="3187"/>
      <c r="M1" s="3187"/>
      <c r="N1" s="3187"/>
      <c r="O1" s="3187"/>
      <c r="P1" s="3187"/>
      <c r="Q1" s="3187"/>
      <c r="R1" s="3187"/>
    </row>
    <row r="2" spans="1:18">
      <c r="A2" s="1807" t="s">
        <v>2041</v>
      </c>
      <c r="B2" s="1807"/>
      <c r="C2" s="1807"/>
      <c r="D2" s="1807"/>
      <c r="E2" s="1807"/>
      <c r="F2" s="1807"/>
      <c r="G2" s="1807"/>
      <c r="H2" s="1807"/>
      <c r="I2" s="1808"/>
      <c r="J2" s="1808"/>
      <c r="K2" s="1809" t="str">
        <f>"估价期日："&amp;TEXT(项目基本情况!D3,"yyyy年m月d日;;")</f>
        <v>估价期日：2019年3月22日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8" t="s">
        <v>2030</v>
      </c>
      <c r="B3" s="3188" t="s">
        <v>2732</v>
      </c>
      <c r="C3" s="3189" t="s">
        <v>2031</v>
      </c>
      <c r="D3" s="3188" t="s">
        <v>2736</v>
      </c>
      <c r="E3" s="3191" t="s">
        <v>2032</v>
      </c>
      <c r="F3" s="3191"/>
      <c r="G3" s="3191"/>
      <c r="H3" s="3191" t="s">
        <v>2033</v>
      </c>
      <c r="I3" s="3191"/>
      <c r="J3" s="3191"/>
      <c r="K3" s="3189" t="s">
        <v>2034</v>
      </c>
      <c r="L3" s="3189" t="s">
        <v>2035</v>
      </c>
      <c r="M3" s="3188" t="s">
        <v>2733</v>
      </c>
      <c r="N3" s="3190" t="str">
        <f>"（分摊）"&amp;项目基本情况!B16&amp;"国有建设用地使用权面积/㎡"</f>
        <v>（分摊）出让国有建设用地使用权面积/㎡</v>
      </c>
      <c r="O3" s="3188" t="s">
        <v>2064</v>
      </c>
      <c r="P3" s="3189" t="s">
        <v>2044</v>
      </c>
      <c r="Q3" s="3189" t="s">
        <v>2065</v>
      </c>
      <c r="R3" s="3189" t="s">
        <v>2036</v>
      </c>
    </row>
    <row r="4" spans="1:18" ht="36.75" customHeight="1">
      <c r="A4" s="3188"/>
      <c r="B4" s="3188"/>
      <c r="C4" s="3189"/>
      <c r="D4" s="3188"/>
      <c r="E4" s="2628" t="s">
        <v>2043</v>
      </c>
      <c r="F4" s="2628" t="s">
        <v>2745</v>
      </c>
      <c r="G4" s="2628" t="s">
        <v>2037</v>
      </c>
      <c r="H4" s="2628" t="s">
        <v>2038</v>
      </c>
      <c r="I4" s="2628" t="s">
        <v>2746</v>
      </c>
      <c r="J4" s="2628" t="s">
        <v>2037</v>
      </c>
      <c r="K4" s="3189"/>
      <c r="L4" s="3189"/>
      <c r="M4" s="3188"/>
      <c r="N4" s="3190"/>
      <c r="O4" s="3188"/>
      <c r="P4" s="3189"/>
      <c r="Q4" s="3189"/>
      <c r="R4" s="3189"/>
    </row>
    <row r="5" spans="1:18" ht="135" customHeight="1">
      <c r="A5" s="1943" t="s">
        <v>2656</v>
      </c>
      <c r="B5" s="2845" t="s">
        <v>2654</v>
      </c>
      <c r="C5" s="2627">
        <v>22</v>
      </c>
      <c r="D5" s="2626" t="s">
        <v>2655</v>
      </c>
      <c r="E5" s="1810" t="str">
        <f>项目基本情况!B12</f>
        <v>住宅、商业</v>
      </c>
      <c r="F5" s="2626">
        <v>258</v>
      </c>
      <c r="G5" s="1810">
        <f>项目基本情况!B13</f>
        <v>0</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24151.66</v>
      </c>
      <c r="O5" s="1810">
        <f>项目基本情况!C21</f>
        <v>48217.250000000007</v>
      </c>
      <c r="P5" s="1810">
        <f ca="1">结果表!E42</f>
        <v>22383</v>
      </c>
      <c r="Q5" s="1810">
        <f ca="1">结果表!D42</f>
        <v>11212</v>
      </c>
      <c r="R5" s="1811">
        <f ca="1">结果表!C42</f>
        <v>54059</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2">
        <f ca="1">结果表!O39</f>
        <v>54059</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2"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196" t="s">
        <v>2066</v>
      </c>
      <c r="B1" s="3196"/>
      <c r="C1" s="3196"/>
      <c r="D1" s="3196"/>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2067</v>
      </c>
      <c r="B5" s="3195"/>
      <c r="C5" s="3195"/>
      <c r="D5" s="3195"/>
    </row>
    <row r="6" spans="1:4">
      <c r="A6" s="3196" t="s">
        <v>2045</v>
      </c>
      <c r="B6" s="3196"/>
      <c r="C6" s="3196"/>
      <c r="D6" s="3196"/>
    </row>
    <row r="7" spans="1:4" ht="33" customHeight="1">
      <c r="A7" s="3196" t="s">
        <v>2576</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（1）根据估价对象《不动产权证书》原件、《国有土地使用权》复印件，截至估价期日，估价对象抵押权未见登记。</v>
      </c>
      <c r="B11" s="3198"/>
      <c r="C11" s="3198"/>
      <c r="D11" s="3198"/>
    </row>
    <row r="12" spans="1:4" ht="168" customHeight="1">
      <c r="A12" s="3195" t="s">
        <v>2069</v>
      </c>
      <c r="B12" s="3195"/>
      <c r="C12" s="3195"/>
      <c r="D12" s="3195"/>
    </row>
    <row r="13" spans="1:4">
      <c r="A13" s="3199" t="s">
        <v>2747</v>
      </c>
      <c r="B13" s="3199"/>
      <c r="C13" s="3199"/>
      <c r="D13" s="3199"/>
    </row>
    <row r="14" spans="1:4">
      <c r="A14" s="3198" t="str">
        <f>IF(项目基本情况!B8="抵押","综上，"&amp;结果表!K47,"——")</f>
        <v>综上，本次评估不存在估价师知悉的法定优先受偿款</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2703</v>
      </c>
      <c r="B17" s="3196"/>
      <c r="C17" s="3196"/>
      <c r="D17" s="3196"/>
    </row>
    <row r="18" spans="1:4">
      <c r="A18" s="3196" t="s">
        <v>2695</v>
      </c>
      <c r="B18" s="3196"/>
      <c r="C18" s="3196"/>
      <c r="D18" s="3196"/>
    </row>
    <row r="19" spans="1:4">
      <c r="A19" s="2846" t="s">
        <v>2696</v>
      </c>
      <c r="B19" s="2846" t="s">
        <v>2697</v>
      </c>
      <c r="C19" s="2846" t="s">
        <v>2698</v>
      </c>
      <c r="D19" s="2846" t="s">
        <v>2699</v>
      </c>
    </row>
    <row r="20" spans="1:4">
      <c r="A20" s="2846" t="str">
        <f>项目基本情况!B4</f>
        <v>崔锴</v>
      </c>
      <c r="B20" s="2846">
        <f ca="1">项目基本情况!C4</f>
        <v>2010110070</v>
      </c>
      <c r="C20" s="2848"/>
      <c r="D20" s="1800" t="s">
        <v>2704</v>
      </c>
    </row>
    <row r="21" spans="1:4">
      <c r="A21" s="2846" t="str">
        <f>项目基本情况!D4</f>
        <v>赵雯</v>
      </c>
      <c r="B21" s="2846">
        <f ca="1">项目基本情况!E4</f>
        <v>2011110090</v>
      </c>
      <c r="C21" s="2848"/>
      <c r="D21" s="1800" t="s">
        <v>2705</v>
      </c>
    </row>
    <row r="23" spans="1:4">
      <c r="A23" s="3196" t="s">
        <v>2700</v>
      </c>
      <c r="B23" s="3196"/>
      <c r="C23" s="3196"/>
      <c r="D23" s="3196"/>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07" t="s">
        <v>53</v>
      </c>
      <c r="B15" s="3208" t="s">
        <v>846</v>
      </c>
      <c r="C15" s="3204"/>
    </row>
    <row r="16" spans="1:7" ht="14.25">
      <c r="A16" s="3207"/>
      <c r="B16" s="3205" t="s">
        <v>54</v>
      </c>
      <c r="C16" s="1171" t="s">
        <v>53</v>
      </c>
    </row>
    <row r="17" spans="1:3" ht="14.25">
      <c r="A17" s="3207"/>
      <c r="B17" s="3205"/>
      <c r="C17" s="1171" t="s">
        <v>55</v>
      </c>
    </row>
    <row r="18" spans="1:3" ht="14.25">
      <c r="A18" s="3207"/>
      <c r="B18" s="3205"/>
      <c r="C18" s="1171" t="s">
        <v>56</v>
      </c>
    </row>
    <row r="19" spans="1:3" ht="14.25">
      <c r="A19" s="3207"/>
      <c r="B19" s="3203" t="s">
        <v>57</v>
      </c>
      <c r="C19" s="3204"/>
    </row>
    <row r="20" spans="1:3" ht="14.25">
      <c r="A20" s="1172" t="s">
        <v>58</v>
      </c>
      <c r="B20" s="1173"/>
      <c r="C20" s="1174"/>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5" t="s">
        <v>837</v>
      </c>
    </row>
    <row r="25" spans="1:3" ht="14.25">
      <c r="A25" s="3206"/>
      <c r="B25" s="3210"/>
      <c r="C25" s="1175" t="s">
        <v>838</v>
      </c>
    </row>
    <row r="26" spans="1:3" ht="14.25">
      <c r="A26" s="3206"/>
      <c r="B26" s="3210"/>
      <c r="C26" s="1175" t="s">
        <v>839</v>
      </c>
    </row>
    <row r="27" spans="1:3" ht="14.25">
      <c r="A27" s="3206"/>
      <c r="B27" s="3210"/>
      <c r="C27" s="1175" t="s">
        <v>840</v>
      </c>
    </row>
    <row r="28" spans="1:3" ht="14.25">
      <c r="A28" s="3206"/>
      <c r="B28" s="3210"/>
      <c r="C28" s="1175" t="s">
        <v>841</v>
      </c>
    </row>
    <row r="29" spans="1:3" ht="14.25">
      <c r="A29" s="3206"/>
      <c r="B29" s="3210"/>
      <c r="C29" s="1175" t="s">
        <v>842</v>
      </c>
    </row>
    <row r="30" spans="1:3" ht="14.25">
      <c r="A30" s="3206"/>
      <c r="B30" s="3210"/>
      <c r="C30" s="1175" t="s">
        <v>843</v>
      </c>
    </row>
    <row r="31" spans="1:3" ht="14.25">
      <c r="A31" s="3206"/>
      <c r="B31" s="3210"/>
      <c r="C31" s="1175" t="s">
        <v>844</v>
      </c>
    </row>
    <row r="32" spans="1:3" ht="14.25">
      <c r="A32" s="3206"/>
      <c r="B32" s="3210"/>
      <c r="C32" s="1175" t="s">
        <v>1647</v>
      </c>
    </row>
    <row r="33" spans="1:3" ht="14.25">
      <c r="A33" s="3206"/>
      <c r="B33" s="3200" t="s">
        <v>1653</v>
      </c>
      <c r="C33" s="1175" t="s">
        <v>1648</v>
      </c>
    </row>
    <row r="34" spans="1:3" ht="14.25">
      <c r="A34" s="3206"/>
      <c r="B34" s="3201"/>
      <c r="C34" s="1180" t="s">
        <v>1649</v>
      </c>
    </row>
    <row r="35" spans="1:3" ht="14.25">
      <c r="A35" s="3206"/>
      <c r="B35" s="3201"/>
      <c r="C35" s="1181" t="s">
        <v>1650</v>
      </c>
    </row>
    <row r="36" spans="1:3" ht="14.25">
      <c r="A36" s="3206"/>
      <c r="B36" s="3201"/>
      <c r="C36" s="1181" t="s">
        <v>1651</v>
      </c>
    </row>
    <row r="37" spans="1:3" ht="14.25">
      <c r="A37" s="3206"/>
      <c r="B37" s="3202"/>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43551</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2985</v>
      </c>
      <c r="B14" s="3154">
        <f ca="1">IF(C14&lt;B2,"已过期",1120040230)</f>
        <v>1120040230</v>
      </c>
      <c r="C14" s="3158">
        <v>43835</v>
      </c>
      <c r="D14" s="3159" t="s">
        <v>2986</v>
      </c>
      <c r="E14" s="3154">
        <f ca="1">IF(F14&lt;B2,"已过期",98030020)</f>
        <v>98030020</v>
      </c>
      <c r="F14" s="3157">
        <v>47118</v>
      </c>
    </row>
    <row r="15" spans="1:6" ht="20.25" customHeight="1">
      <c r="A15" s="3154" t="s">
        <v>2575</v>
      </c>
      <c r="B15" s="3154">
        <f ca="1">IF(C15&lt;B2,"已过期",1120070085)</f>
        <v>1120070085</v>
      </c>
      <c r="C15" s="3158">
        <v>43814</v>
      </c>
      <c r="D15" s="3154" t="s">
        <v>2987</v>
      </c>
      <c r="E15" s="3154">
        <f ca="1">IF(F15&lt;B2,"已过期",2004110128)</f>
        <v>2004110128</v>
      </c>
      <c r="F15" s="3160">
        <v>47118</v>
      </c>
    </row>
    <row r="16" spans="1:6" ht="20.25" customHeight="1">
      <c r="A16" s="3154" t="s">
        <v>1924</v>
      </c>
      <c r="B16" s="3154">
        <f ca="1">IF(C16&lt;B2,"已过期",1120140022)</f>
        <v>1120140022</v>
      </c>
      <c r="C16" s="3156">
        <v>44029</v>
      </c>
      <c r="D16" s="3154" t="s">
        <v>2988</v>
      </c>
      <c r="E16" s="3154">
        <f ca="1">IF(F16&lt;B2,"已过期",2008110059)</f>
        <v>2008110059</v>
      </c>
      <c r="F16" s="3157">
        <v>47177</v>
      </c>
    </row>
    <row r="17" spans="1:7" ht="20.25" customHeight="1">
      <c r="A17" s="3154"/>
      <c r="B17" s="3154"/>
      <c r="C17" s="3156"/>
      <c r="D17" s="3159" t="s">
        <v>2989</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11" t="s">
        <v>1927</v>
      </c>
      <c r="B25" s="3211"/>
      <c r="C25" s="3211"/>
      <c r="D25" s="3211"/>
      <c r="E25" s="3211"/>
      <c r="F25" s="3211"/>
      <c r="G25" s="3211"/>
    </row>
    <row r="26" spans="1:7" ht="20.25" customHeight="1">
      <c r="A26" s="3212" t="s">
        <v>1928</v>
      </c>
      <c r="B26" s="3212"/>
      <c r="C26" s="3212"/>
      <c r="D26" s="3212" t="s">
        <v>1929</v>
      </c>
      <c r="E26" s="3212"/>
      <c r="F26" s="3212"/>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2947</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6" t="s">
        <v>2959</v>
      </c>
      <c r="C18" s="1554"/>
    </row>
    <row r="19" spans="1:3">
      <c r="A19" s="8" t="s">
        <v>120</v>
      </c>
      <c r="B19" s="3086"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中心区01-0010、0021地块R2二类居住用地、01-0015地块B4综合性商业金融服务业用地出让国有建设用地使用权作为抵押担保物，向中国农业银行股份有限公司北京房山支行办理贷款手续。中国农业银行股份有限公司北京房山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3"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的出让国有建设用地使用权价格。</v>
      </c>
      <c r="D53" s="1767"/>
      <c r="E53" s="1767"/>
    </row>
    <row r="54" spans="1:5">
      <c r="A54" s="3213"/>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3"/>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3"/>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3"/>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2019-03-27T02:56:58Z</dcterms:modified>
</cp:coreProperties>
</file>