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2144" windowHeight="11028"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28" i="34" l="1"/>
  <c r="F128" i="34" s="1"/>
  <c r="D128" i="34"/>
  <c r="P17" i="84" l="1"/>
  <c r="P11" i="84"/>
  <c r="I46" i="34"/>
  <c r="AA59" i="34"/>
  <c r="F38" i="68" l="1"/>
  <c r="E37" i="68"/>
  <c r="F36" i="68"/>
  <c r="F35" i="68"/>
  <c r="F22" i="68"/>
  <c r="F41" i="68" s="1"/>
  <c r="F21" i="68"/>
  <c r="F40" i="68" s="1"/>
  <c r="C21" i="68"/>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B97" i="35"/>
  <c r="J34" i="35" s="1"/>
  <c r="E96" i="35"/>
  <c r="F96" i="35" s="1"/>
  <c r="G96" i="35" s="1"/>
  <c r="D96" i="35"/>
  <c r="G94" i="35"/>
  <c r="H94" i="35" s="1"/>
  <c r="I94" i="35" s="1"/>
  <c r="J94" i="35" s="1"/>
  <c r="K94" i="35" s="1"/>
  <c r="L94" i="35" s="1"/>
  <c r="M94" i="35" s="1"/>
  <c r="F94" i="35"/>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E87" i="35"/>
  <c r="D87" i="35"/>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H56" i="35"/>
  <c r="I56" i="35" s="1"/>
  <c r="G56" i="35"/>
  <c r="F56" i="35"/>
  <c r="C53" i="35"/>
  <c r="P39" i="35"/>
  <c r="P38" i="35"/>
  <c r="K38" i="35"/>
  <c r="B38" i="35"/>
  <c r="R37" i="35"/>
  <c r="P37" i="35"/>
  <c r="G37" i="35"/>
  <c r="T37" i="35" s="1"/>
  <c r="Q36" i="35"/>
  <c r="Z36" i="35" s="1"/>
  <c r="J36" i="35"/>
  <c r="W36" i="35" s="1"/>
  <c r="H36" i="35"/>
  <c r="U36" i="35" s="1"/>
  <c r="F36" i="35"/>
  <c r="S36" i="35" s="1"/>
  <c r="W35" i="35"/>
  <c r="U35" i="35"/>
  <c r="Q35" i="35"/>
  <c r="Z35" i="35" s="1"/>
  <c r="J35" i="35"/>
  <c r="AC35" i="35" s="1"/>
  <c r="H35" i="35"/>
  <c r="AB35" i="35" s="1"/>
  <c r="F35" i="35"/>
  <c r="AA35" i="35" s="1"/>
  <c r="Q34" i="35"/>
  <c r="Z34" i="35" s="1"/>
  <c r="H34" i="35"/>
  <c r="U34" i="35" s="1"/>
  <c r="Q33" i="35"/>
  <c r="Z33" i="35" s="1"/>
  <c r="J33" i="35"/>
  <c r="W33" i="35" s="1"/>
  <c r="H33" i="35"/>
  <c r="U33" i="35" s="1"/>
  <c r="F33" i="35"/>
  <c r="AA33" i="35" s="1"/>
  <c r="S32" i="35"/>
  <c r="Q32" i="35"/>
  <c r="Z32" i="35" s="1"/>
  <c r="J32" i="35"/>
  <c r="AC32" i="35" s="1"/>
  <c r="H32" i="35"/>
  <c r="AB32" i="35" s="1"/>
  <c r="F32" i="35"/>
  <c r="AA32" i="35" s="1"/>
  <c r="Z31" i="35"/>
  <c r="W31" i="35"/>
  <c r="U31" i="35"/>
  <c r="S31" i="35"/>
  <c r="Q31" i="35"/>
  <c r="J31" i="35"/>
  <c r="AC31" i="35" s="1"/>
  <c r="H31" i="35"/>
  <c r="AB31" i="35" s="1"/>
  <c r="F31" i="35"/>
  <c r="AA31" i="35" s="1"/>
  <c r="Z30" i="35"/>
  <c r="Q30" i="35"/>
  <c r="J30" i="35"/>
  <c r="W30" i="35" s="1"/>
  <c r="H30" i="35"/>
  <c r="AB30" i="35" s="1"/>
  <c r="F30" i="35"/>
  <c r="AA30" i="35" s="1"/>
  <c r="Q29" i="35"/>
  <c r="Z29" i="35" s="1"/>
  <c r="Z28" i="35"/>
  <c r="Q28" i="35"/>
  <c r="J28" i="35"/>
  <c r="W28" i="35" s="1"/>
  <c r="H28" i="35"/>
  <c r="U28" i="35" s="1"/>
  <c r="F28" i="35"/>
  <c r="S28" i="35" s="1"/>
  <c r="U27" i="35"/>
  <c r="Q27" i="35"/>
  <c r="Z27" i="35" s="1"/>
  <c r="J27" i="35"/>
  <c r="AC27" i="35" s="1"/>
  <c r="H27" i="35"/>
  <c r="AB27" i="35" s="1"/>
  <c r="F27" i="35"/>
  <c r="AA27" i="35" s="1"/>
  <c r="Q26" i="35"/>
  <c r="Z26" i="35" s="1"/>
  <c r="C26" i="35"/>
  <c r="C79" i="35" s="1"/>
  <c r="F26" i="35" s="1"/>
  <c r="Z25" i="35"/>
  <c r="S25" i="35"/>
  <c r="Q25" i="35"/>
  <c r="J25" i="35"/>
  <c r="W25" i="35" s="1"/>
  <c r="H25" i="35"/>
  <c r="AB25" i="35" s="1"/>
  <c r="F25" i="35"/>
  <c r="AA25" i="35" s="1"/>
  <c r="Z24" i="35"/>
  <c r="U24" i="35"/>
  <c r="S24" i="35"/>
  <c r="Q24" i="35"/>
  <c r="J24" i="35"/>
  <c r="AC24" i="35" s="1"/>
  <c r="H24" i="35"/>
  <c r="AB24" i="35" s="1"/>
  <c r="F24" i="35"/>
  <c r="AA24" i="35" s="1"/>
  <c r="AC23" i="35"/>
  <c r="Z23" i="35"/>
  <c r="U23" i="35"/>
  <c r="Q23" i="35"/>
  <c r="J23" i="35"/>
  <c r="W23" i="35" s="1"/>
  <c r="H23" i="35"/>
  <c r="AB23" i="35" s="1"/>
  <c r="F23" i="35"/>
  <c r="S23" i="35" s="1"/>
  <c r="U22" i="35"/>
  <c r="Q22" i="35"/>
  <c r="Z22" i="35" s="1"/>
  <c r="J22" i="35"/>
  <c r="AC22" i="35" s="1"/>
  <c r="H22" i="35"/>
  <c r="AB22" i="35" s="1"/>
  <c r="F22" i="35"/>
  <c r="AA22" i="35" s="1"/>
  <c r="W20" i="35"/>
  <c r="U20" i="35"/>
  <c r="Q20" i="35"/>
  <c r="Z20" i="35" s="1"/>
  <c r="J20" i="35"/>
  <c r="AC20" i="35" s="1"/>
  <c r="H20" i="35"/>
  <c r="AB20" i="35" s="1"/>
  <c r="F20" i="35"/>
  <c r="C20" i="35"/>
  <c r="Z18" i="35"/>
  <c r="S18" i="35"/>
  <c r="Q18" i="35"/>
  <c r="J18" i="35"/>
  <c r="W18" i="35" s="1"/>
  <c r="H18" i="35"/>
  <c r="AB18" i="35" s="1"/>
  <c r="F18" i="35"/>
  <c r="AA18" i="35" s="1"/>
  <c r="C18" i="35"/>
  <c r="W16" i="35"/>
  <c r="U16" i="35"/>
  <c r="Q16" i="35"/>
  <c r="Z16" i="35" s="1"/>
  <c r="J16" i="35"/>
  <c r="AC16" i="35" s="1"/>
  <c r="H16" i="35"/>
  <c r="AB16" i="35" s="1"/>
  <c r="F16" i="35"/>
  <c r="C16" i="35"/>
  <c r="AA14" i="35"/>
  <c r="Z14" i="35"/>
  <c r="Q14" i="35"/>
  <c r="J14" i="35"/>
  <c r="H14" i="35"/>
  <c r="U14" i="35" s="1"/>
  <c r="F14" i="35"/>
  <c r="S14" i="35" s="1"/>
  <c r="C14" i="35"/>
  <c r="AA13" i="35"/>
  <c r="W13" i="35"/>
  <c r="U13" i="35"/>
  <c r="S13" i="35"/>
  <c r="Q13" i="35"/>
  <c r="Z13" i="35" s="1"/>
  <c r="J13" i="35"/>
  <c r="AC13" i="35" s="1"/>
  <c r="H13" i="35"/>
  <c r="AB13" i="35" s="1"/>
  <c r="F13" i="35"/>
  <c r="AB12" i="35"/>
  <c r="W12" i="35"/>
  <c r="Q12" i="35"/>
  <c r="Z12" i="35" s="1"/>
  <c r="J12" i="35"/>
  <c r="AC12" i="35" s="1"/>
  <c r="H12" i="35"/>
  <c r="U12" i="35" s="1"/>
  <c r="F12" i="35"/>
  <c r="S12" i="35" s="1"/>
  <c r="S11" i="35"/>
  <c r="Q11" i="35"/>
  <c r="Z11" i="35" s="1"/>
  <c r="J11" i="35"/>
  <c r="H11" i="35"/>
  <c r="AB11" i="35" s="1"/>
  <c r="F11" i="35"/>
  <c r="AA11" i="35" s="1"/>
  <c r="Z10" i="35"/>
  <c r="W10" i="35"/>
  <c r="Q10" i="35"/>
  <c r="J10" i="35"/>
  <c r="AC10" i="35" s="1"/>
  <c r="H10" i="35"/>
  <c r="AB10" i="35" s="1"/>
  <c r="F10" i="35"/>
  <c r="S10" i="35" s="1"/>
  <c r="AB9" i="35"/>
  <c r="S9" i="35"/>
  <c r="Q9" i="35"/>
  <c r="Z9" i="35" s="1"/>
  <c r="J9" i="35"/>
  <c r="W9" i="35" s="1"/>
  <c r="H9" i="35"/>
  <c r="U9" i="35" s="1"/>
  <c r="F9" i="35"/>
  <c r="AA9" i="35" s="1"/>
  <c r="AA8" i="35"/>
  <c r="S8" i="35"/>
  <c r="J8" i="35"/>
  <c r="H8" i="35"/>
  <c r="AB8" i="35" s="1"/>
  <c r="F8" i="35"/>
  <c r="D3" i="35"/>
  <c r="A126" i="82"/>
  <c r="A124" i="82"/>
  <c r="A120" i="82"/>
  <c r="H112" i="82"/>
  <c r="H111" i="82"/>
  <c r="D126" i="82" s="1"/>
  <c r="D127" i="82" s="1"/>
  <c r="E111" i="82"/>
  <c r="H109" i="82"/>
  <c r="H110" i="82" s="1"/>
  <c r="E109" i="82"/>
  <c r="E107" i="82"/>
  <c r="H106" i="82"/>
  <c r="H105" i="82"/>
  <c r="H103" i="82" s="1"/>
  <c r="D120" i="82" s="1"/>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M52" i="82"/>
  <c r="K49" i="82"/>
  <c r="E48" i="82"/>
  <c r="N52" i="82" s="1"/>
  <c r="D48" i="82"/>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8" i="80"/>
  <c r="Q51" i="80"/>
  <c r="L50" i="80"/>
  <c r="J50" i="80"/>
  <c r="M47" i="80"/>
  <c r="D46" i="80"/>
  <c r="F33" i="80"/>
  <c r="F31" i="80"/>
  <c r="F24" i="80"/>
  <c r="D24" i="80"/>
  <c r="F23" i="80"/>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J12" i="31"/>
  <c r="K12" i="31" s="1"/>
  <c r="L12" i="31" s="1"/>
  <c r="M12" i="31" s="1"/>
  <c r="N12" i="31" s="1"/>
  <c r="O12" i="31" s="1"/>
  <c r="P12" i="31" s="1"/>
  <c r="Q12" i="31" s="1"/>
  <c r="R12" i="31" s="1"/>
  <c r="S12" i="31" s="1"/>
  <c r="G12" i="31"/>
  <c r="H12" i="31" s="1"/>
  <c r="I12" i="31" s="1"/>
  <c r="F12" i="31"/>
  <c r="E12" i="31"/>
  <c r="D12" i="31"/>
  <c r="H10" i="31"/>
  <c r="I10" i="31" s="1"/>
  <c r="J10" i="31" s="1"/>
  <c r="K10" i="31" s="1"/>
  <c r="L10" i="31" s="1"/>
  <c r="M10" i="31" s="1"/>
  <c r="N10" i="31" s="1"/>
  <c r="O10" i="31" s="1"/>
  <c r="P10" i="31" s="1"/>
  <c r="Q10" i="31" s="1"/>
  <c r="R10" i="31" s="1"/>
  <c r="S10" i="31" s="1"/>
  <c r="E10" i="31"/>
  <c r="F10" i="31" s="1"/>
  <c r="G10" i="31" s="1"/>
  <c r="D10" i="31"/>
  <c r="I8" i="31"/>
  <c r="J8" i="31" s="1"/>
  <c r="K8" i="31" s="1"/>
  <c r="L8" i="31" s="1"/>
  <c r="M8" i="31" s="1"/>
  <c r="N8" i="31" s="1"/>
  <c r="O8" i="31" s="1"/>
  <c r="P8" i="31" s="1"/>
  <c r="Q8" i="31" s="1"/>
  <c r="R8" i="31" s="1"/>
  <c r="S8" i="31" s="1"/>
  <c r="G8" i="31"/>
  <c r="H8" i="31" s="1"/>
  <c r="E8" i="31"/>
  <c r="F8" i="31" s="1"/>
  <c r="D8" i="31"/>
  <c r="I6" i="31"/>
  <c r="J6" i="31" s="1"/>
  <c r="K6" i="31" s="1"/>
  <c r="L6" i="31" s="1"/>
  <c r="M6" i="31" s="1"/>
  <c r="N6" i="31" s="1"/>
  <c r="O6" i="31" s="1"/>
  <c r="P6" i="31" s="1"/>
  <c r="Q6" i="31" s="1"/>
  <c r="R6" i="31" s="1"/>
  <c r="S6" i="31" s="1"/>
  <c r="G6" i="31"/>
  <c r="H6" i="31" s="1"/>
  <c r="F6" i="31"/>
  <c r="E6" i="31"/>
  <c r="D6" i="31"/>
  <c r="S2" i="31"/>
  <c r="R2" i="31"/>
  <c r="Q2" i="31"/>
  <c r="P2" i="31"/>
  <c r="O2" i="31"/>
  <c r="N2" i="31"/>
  <c r="M2" i="31"/>
  <c r="L2" i="31"/>
  <c r="K2" i="31"/>
  <c r="J2" i="31"/>
  <c r="I2" i="31"/>
  <c r="H2" i="31"/>
  <c r="G2" i="31"/>
  <c r="F2" i="31"/>
  <c r="E2" i="31"/>
  <c r="D2" i="31"/>
  <c r="C2" i="31"/>
  <c r="D127" i="83"/>
  <c r="D126" i="83"/>
  <c r="A126" i="83"/>
  <c r="D125" i="83"/>
  <c r="A124" i="83"/>
  <c r="A120" i="83"/>
  <c r="H112" i="83"/>
  <c r="E111" i="83"/>
  <c r="H111" i="83" s="1"/>
  <c r="H110" i="83"/>
  <c r="H109" i="83"/>
  <c r="D124" i="83" s="1"/>
  <c r="E109" i="83"/>
  <c r="E107" i="83"/>
  <c r="H106" i="83"/>
  <c r="H105" i="83"/>
  <c r="H104" i="83"/>
  <c r="H103" i="83"/>
  <c r="D120" i="83" s="1"/>
  <c r="D121" i="83" s="1"/>
  <c r="D101" i="83"/>
  <c r="C101" i="83"/>
  <c r="C94" i="83"/>
  <c r="C91" i="83"/>
  <c r="E90" i="83"/>
  <c r="D89" i="83"/>
  <c r="C89" i="83"/>
  <c r="C87" i="83" s="1"/>
  <c r="C92"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8" i="83"/>
  <c r="C18" i="83"/>
  <c r="D17" i="83"/>
  <c r="C17" i="83"/>
  <c r="L4" i="83"/>
  <c r="K4" i="83"/>
  <c r="H1" i="83"/>
  <c r="G14" i="73"/>
  <c r="F14" i="73"/>
  <c r="E14" i="73"/>
  <c r="G13" i="73"/>
  <c r="F13" i="73"/>
  <c r="E13" i="73"/>
  <c r="C40" i="11"/>
  <c r="F38" i="11"/>
  <c r="E37" i="11"/>
  <c r="F36" i="11"/>
  <c r="F35" i="11"/>
  <c r="F22" i="11"/>
  <c r="F21" i="11"/>
  <c r="C21" i="11" s="1"/>
  <c r="F20" i="11"/>
  <c r="E10" i="11"/>
  <c r="E9" i="11"/>
  <c r="C8" i="11"/>
  <c r="C5" i="11" s="1"/>
  <c r="F7" i="11"/>
  <c r="C7" i="11"/>
  <c r="D86" i="71"/>
  <c r="F85" i="71"/>
  <c r="F84" i="71" s="1"/>
  <c r="F83" i="71" s="1"/>
  <c r="E85" i="71"/>
  <c r="E84" i="71" s="1"/>
  <c r="E83" i="71" s="1"/>
  <c r="C85" i="71"/>
  <c r="D85" i="71" s="1"/>
  <c r="B85" i="71"/>
  <c r="C84" i="71"/>
  <c r="B84" i="71"/>
  <c r="B83" i="71"/>
  <c r="D82" i="71"/>
  <c r="F81" i="71"/>
  <c r="E81" i="71"/>
  <c r="E80" i="71" s="1"/>
  <c r="C81" i="71"/>
  <c r="B81" i="71"/>
  <c r="F80" i="71"/>
  <c r="F79" i="71" s="1"/>
  <c r="B80" i="71"/>
  <c r="B79" i="71" s="1"/>
  <c r="E79" i="71"/>
  <c r="D78" i="71"/>
  <c r="V77" i="71"/>
  <c r="U77" i="71"/>
  <c r="Q77" i="71"/>
  <c r="P77" i="71"/>
  <c r="O77" i="71"/>
  <c r="N77" i="71"/>
  <c r="F77" i="71"/>
  <c r="E77" i="71"/>
  <c r="E76" i="71" s="1"/>
  <c r="E75" i="71" s="1"/>
  <c r="C77" i="71"/>
  <c r="B77" i="71"/>
  <c r="S77" i="71" s="1"/>
  <c r="Q76" i="71"/>
  <c r="P76" i="71"/>
  <c r="O76" i="71"/>
  <c r="N76" i="71"/>
  <c r="F76" i="71"/>
  <c r="F75" i="71" s="1"/>
  <c r="D76" i="71"/>
  <c r="C76" i="71"/>
  <c r="B76" i="71"/>
  <c r="Q75" i="71"/>
  <c r="P75" i="71"/>
  <c r="O75" i="71"/>
  <c r="N75" i="71"/>
  <c r="C75" i="71"/>
  <c r="D75" i="71" s="1"/>
  <c r="B75" i="71"/>
  <c r="Q74" i="71"/>
  <c r="P74" i="71"/>
  <c r="O74" i="71"/>
  <c r="N74" i="71"/>
  <c r="D74" i="71"/>
  <c r="U73" i="71"/>
  <c r="S73"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V69" i="71"/>
  <c r="U69" i="71"/>
  <c r="Q69" i="71"/>
  <c r="P69" i="71"/>
  <c r="O69" i="71"/>
  <c r="N69" i="71"/>
  <c r="F69" i="71"/>
  <c r="E69" i="71"/>
  <c r="E68" i="71" s="1"/>
  <c r="C69" i="71"/>
  <c r="B69" i="71"/>
  <c r="S69" i="71" s="1"/>
  <c r="Q68" i="71"/>
  <c r="P68" i="71"/>
  <c r="O68" i="71"/>
  <c r="N68" i="71"/>
  <c r="F68" i="71"/>
  <c r="F67" i="71" s="1"/>
  <c r="C68" i="71"/>
  <c r="B68" i="71"/>
  <c r="Q67" i="71"/>
  <c r="P67" i="71"/>
  <c r="O67" i="71"/>
  <c r="N67" i="71"/>
  <c r="E67" i="71"/>
  <c r="B67" i="71"/>
  <c r="Q66" i="71"/>
  <c r="P66" i="71"/>
  <c r="O66" i="71"/>
  <c r="N66" i="71"/>
  <c r="D66" i="71"/>
  <c r="U65" i="71"/>
  <c r="S65" i="71"/>
  <c r="P65" i="71"/>
  <c r="N65" i="71"/>
  <c r="F65" i="71"/>
  <c r="E65" i="71"/>
  <c r="D65" i="71"/>
  <c r="C65" i="71"/>
  <c r="B65" i="71"/>
  <c r="N64" i="71"/>
  <c r="E64" i="71"/>
  <c r="D64" i="71"/>
  <c r="C64" i="71"/>
  <c r="O64" i="71" s="1"/>
  <c r="B64" i="71"/>
  <c r="B63" i="71" s="1"/>
  <c r="N62" i="71" s="1"/>
  <c r="N63" i="71"/>
  <c r="C63" i="71"/>
  <c r="O62" i="71"/>
  <c r="D62" i="71"/>
  <c r="U61" i="71"/>
  <c r="Q61" i="71"/>
  <c r="P61" i="71"/>
  <c r="O61" i="71"/>
  <c r="N61" i="71"/>
  <c r="E61" i="71"/>
  <c r="Q60" i="71"/>
  <c r="P60" i="71"/>
  <c r="O60" i="71"/>
  <c r="N60" i="71"/>
  <c r="B60" i="71"/>
  <c r="B61" i="71" s="1"/>
  <c r="S61" i="71" s="1"/>
  <c r="Q59" i="71"/>
  <c r="P59" i="71"/>
  <c r="O59" i="71"/>
  <c r="N59" i="71"/>
  <c r="E59" i="71"/>
  <c r="E60" i="71" s="1"/>
  <c r="D59" i="71"/>
  <c r="B59" i="71"/>
  <c r="Q58" i="71"/>
  <c r="F59" i="71" s="1"/>
  <c r="F60" i="71" s="1"/>
  <c r="P58" i="71"/>
  <c r="O58" i="71"/>
  <c r="C59" i="71" s="1"/>
  <c r="C60" i="71" s="1"/>
  <c r="N58" i="71"/>
  <c r="D58" i="71"/>
  <c r="Q57" i="71"/>
  <c r="P57" i="71"/>
  <c r="O57" i="71"/>
  <c r="N57" i="71"/>
  <c r="Q56" i="71"/>
  <c r="P56" i="71"/>
  <c r="O56" i="71"/>
  <c r="N56" i="71"/>
  <c r="B56" i="71"/>
  <c r="B57" i="71" s="1"/>
  <c r="S57" i="71" s="1"/>
  <c r="Q55" i="71"/>
  <c r="P55" i="71"/>
  <c r="O55" i="71"/>
  <c r="N55" i="71"/>
  <c r="F55" i="71"/>
  <c r="F56" i="71" s="1"/>
  <c r="F57" i="71" s="1"/>
  <c r="V57" i="71" s="1"/>
  <c r="Q54" i="71"/>
  <c r="P54" i="71"/>
  <c r="E55" i="71" s="1"/>
  <c r="O54" i="71"/>
  <c r="C55" i="71" s="1"/>
  <c r="N54" i="71"/>
  <c r="B55" i="71" s="1"/>
  <c r="D54" i="71"/>
  <c r="Q53" i="71"/>
  <c r="P53" i="71"/>
  <c r="O53" i="71"/>
  <c r="N53" i="71"/>
  <c r="E53" i="71"/>
  <c r="U53" i="71" s="1"/>
  <c r="Q52" i="71"/>
  <c r="P52" i="71"/>
  <c r="O52" i="71"/>
  <c r="N52" i="71"/>
  <c r="Q51" i="71"/>
  <c r="P51" i="71"/>
  <c r="O51" i="71"/>
  <c r="N51" i="71"/>
  <c r="B52" i="71" s="1"/>
  <c r="B53" i="71" s="1"/>
  <c r="S53" i="71" s="1"/>
  <c r="D51" i="71"/>
  <c r="B51" i="71"/>
  <c r="Q50" i="71"/>
  <c r="F51" i="71" s="1"/>
  <c r="F52" i="71" s="1"/>
  <c r="F53" i="71" s="1"/>
  <c r="V53" i="71" s="1"/>
  <c r="P50" i="71"/>
  <c r="E51" i="71" s="1"/>
  <c r="E52" i="71" s="1"/>
  <c r="O50" i="71"/>
  <c r="C51" i="71" s="1"/>
  <c r="N50" i="71"/>
  <c r="D50" i="71"/>
  <c r="Q49" i="71"/>
  <c r="P49" i="71"/>
  <c r="O49" i="71"/>
  <c r="N49" i="71"/>
  <c r="F49" i="71"/>
  <c r="V49" i="71" s="1"/>
  <c r="Q48" i="71"/>
  <c r="P48" i="71"/>
  <c r="O48" i="71"/>
  <c r="N48" i="71"/>
  <c r="D48" i="71"/>
  <c r="C48" i="71"/>
  <c r="B48" i="71"/>
  <c r="B49" i="71" s="1"/>
  <c r="S49" i="71" s="1"/>
  <c r="Q47" i="71"/>
  <c r="P47" i="71"/>
  <c r="O47" i="71"/>
  <c r="N47" i="71"/>
  <c r="D47" i="71"/>
  <c r="Q46" i="71"/>
  <c r="F47" i="71" s="1"/>
  <c r="F48"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F43" i="71"/>
  <c r="F44" i="71" s="1"/>
  <c r="F45" i="71" s="1"/>
  <c r="V45" i="71" s="1"/>
  <c r="D43" i="71"/>
  <c r="C43" i="71"/>
  <c r="C44" i="71" s="1"/>
  <c r="D44" i="71" s="1"/>
  <c r="Q42" i="71"/>
  <c r="P42" i="71"/>
  <c r="E43" i="71" s="1"/>
  <c r="E44" i="71" s="1"/>
  <c r="E45" i="71" s="1"/>
  <c r="U45" i="71" s="1"/>
  <c r="O42" i="71"/>
  <c r="N42" i="71"/>
  <c r="B43" i="71" s="1"/>
  <c r="B44" i="71" s="1"/>
  <c r="B45" i="71" s="1"/>
  <c r="S45" i="71" s="1"/>
  <c r="D42" i="71"/>
  <c r="Q41" i="71"/>
  <c r="P41" i="71"/>
  <c r="O41" i="71"/>
  <c r="N41" i="71"/>
  <c r="Q40" i="71"/>
  <c r="P40" i="71"/>
  <c r="O40" i="71"/>
  <c r="N40" i="71"/>
  <c r="C40" i="71"/>
  <c r="Q39" i="71"/>
  <c r="P39" i="71"/>
  <c r="O39" i="71"/>
  <c r="N39" i="71"/>
  <c r="F39" i="71"/>
  <c r="E39" i="71"/>
  <c r="E40" i="71" s="1"/>
  <c r="E41" i="71" s="1"/>
  <c r="U41" i="71" s="1"/>
  <c r="Q38" i="71"/>
  <c r="P38" i="71"/>
  <c r="O38" i="71"/>
  <c r="C39" i="71" s="1"/>
  <c r="D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E35" i="71"/>
  <c r="B35" i="71"/>
  <c r="AH34" i="71"/>
  <c r="AG34" i="71"/>
  <c r="AF34" i="71"/>
  <c r="AE34" i="71"/>
  <c r="AD34" i="71"/>
  <c r="Q34" i="71"/>
  <c r="P34" i="71"/>
  <c r="O34" i="71"/>
  <c r="N34" i="71"/>
  <c r="D34" i="71"/>
  <c r="AH33" i="71"/>
  <c r="AG33" i="71"/>
  <c r="AE33" i="71"/>
  <c r="AF33" i="71" s="1"/>
  <c r="AD33" i="71"/>
  <c r="AB33" i="71"/>
  <c r="X33" i="71"/>
  <c r="Q33" i="71"/>
  <c r="P33" i="71"/>
  <c r="O33" i="71"/>
  <c r="N33" i="71"/>
  <c r="B33" i="71"/>
  <c r="S33" i="71" s="1"/>
  <c r="AH32" i="71"/>
  <c r="AG32" i="71"/>
  <c r="AE32" i="71"/>
  <c r="AF32" i="71" s="1"/>
  <c r="AD32" i="71"/>
  <c r="AA32" i="71"/>
  <c r="X32" i="71"/>
  <c r="Q32" i="71"/>
  <c r="P32" i="71"/>
  <c r="O32" i="71"/>
  <c r="N32" i="71"/>
  <c r="AH31" i="71"/>
  <c r="AG31" i="71"/>
  <c r="AE31" i="71"/>
  <c r="AF31" i="71" s="1"/>
  <c r="AD31" i="71"/>
  <c r="X31" i="71"/>
  <c r="Q31" i="71"/>
  <c r="P31" i="71"/>
  <c r="O31" i="71"/>
  <c r="N31" i="71"/>
  <c r="AH30" i="71"/>
  <c r="AG30" i="71"/>
  <c r="AF30" i="71"/>
  <c r="AE30" i="71"/>
  <c r="AD30" i="71"/>
  <c r="X30" i="71"/>
  <c r="Q30" i="71"/>
  <c r="P30" i="71"/>
  <c r="O30" i="71"/>
  <c r="N30" i="71"/>
  <c r="B31" i="71" s="1"/>
  <c r="B32" i="71" s="1"/>
  <c r="D30" i="71"/>
  <c r="AH29" i="71"/>
  <c r="AG29" i="71"/>
  <c r="AF29" i="71"/>
  <c r="AE29" i="71"/>
  <c r="AD29" i="71"/>
  <c r="Q29" i="71"/>
  <c r="P29" i="71"/>
  <c r="O29" i="71"/>
  <c r="N29" i="71"/>
  <c r="F29" i="71"/>
  <c r="V29" i="71" s="1"/>
  <c r="AH28" i="71"/>
  <c r="AG28" i="71"/>
  <c r="AE28" i="71"/>
  <c r="AF28" i="71" s="1"/>
  <c r="AD28" i="71"/>
  <c r="Q28" i="71"/>
  <c r="P28" i="71"/>
  <c r="O28" i="71"/>
  <c r="N28" i="71"/>
  <c r="AH27" i="71"/>
  <c r="AG27" i="71"/>
  <c r="AF27" i="71"/>
  <c r="AE27" i="71"/>
  <c r="AD27" i="71"/>
  <c r="Y27" i="71"/>
  <c r="Z27" i="71" s="1"/>
  <c r="Q27" i="71"/>
  <c r="P27" i="71"/>
  <c r="O27" i="71"/>
  <c r="N27" i="71"/>
  <c r="E27" i="71"/>
  <c r="E28" i="71" s="1"/>
  <c r="E29" i="71" s="1"/>
  <c r="U29" i="71" s="1"/>
  <c r="C27" i="71"/>
  <c r="AH26" i="71"/>
  <c r="AG26" i="71"/>
  <c r="AF26" i="71"/>
  <c r="AE26" i="71"/>
  <c r="AD26" i="71"/>
  <c r="Q26" i="71"/>
  <c r="F27" i="71" s="1"/>
  <c r="F28" i="71" s="1"/>
  <c r="P26" i="71"/>
  <c r="O26" i="71"/>
  <c r="N26" i="71"/>
  <c r="D26" i="71"/>
  <c r="AH25" i="71"/>
  <c r="AG25" i="71"/>
  <c r="AF25" i="71"/>
  <c r="AE25" i="71"/>
  <c r="AD25" i="71"/>
  <c r="Q25" i="71"/>
  <c r="P25" i="71"/>
  <c r="O25" i="71"/>
  <c r="N25" i="71"/>
  <c r="E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F22" i="71"/>
  <c r="AE22" i="71"/>
  <c r="AD22" i="71"/>
  <c r="Q22" i="71"/>
  <c r="P22" i="71"/>
  <c r="O22" i="71"/>
  <c r="N22" i="71"/>
  <c r="D22" i="71"/>
  <c r="AH21" i="71"/>
  <c r="AG21" i="71"/>
  <c r="AF21" i="71"/>
  <c r="AE21" i="71"/>
  <c r="AD21" i="71"/>
  <c r="Q21" i="71"/>
  <c r="P21" i="71"/>
  <c r="O21" i="71"/>
  <c r="N21" i="71"/>
  <c r="C21" i="71"/>
  <c r="B21" i="71"/>
  <c r="S21" i="71" s="1"/>
  <c r="AH20" i="71"/>
  <c r="AG20" i="71"/>
  <c r="AF20" i="71"/>
  <c r="AE20" i="71"/>
  <c r="AD20" i="71"/>
  <c r="Q20" i="71"/>
  <c r="P20" i="71"/>
  <c r="O20" i="71"/>
  <c r="N20" i="71"/>
  <c r="AH19" i="71"/>
  <c r="AG19" i="71"/>
  <c r="AF19" i="71"/>
  <c r="AE19" i="71"/>
  <c r="AD19" i="71"/>
  <c r="Y19" i="71"/>
  <c r="Z19" i="71" s="1"/>
  <c r="Q19" i="71"/>
  <c r="P19" i="71"/>
  <c r="O19" i="71"/>
  <c r="N19" i="71"/>
  <c r="AH18" i="71"/>
  <c r="AG18" i="71"/>
  <c r="AF18" i="71"/>
  <c r="AE18" i="7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F6" i="71"/>
  <c r="AE6" i="71"/>
  <c r="AD6" i="71"/>
  <c r="Q6" i="71"/>
  <c r="P6" i="71"/>
  <c r="O6" i="71"/>
  <c r="N6" i="71"/>
  <c r="AH5" i="71"/>
  <c r="AG5" i="71"/>
  <c r="AF5" i="71"/>
  <c r="AE5" i="71"/>
  <c r="AD5" i="71"/>
  <c r="Q5" i="71"/>
  <c r="P5" i="71"/>
  <c r="O5" i="71"/>
  <c r="N5" i="71"/>
  <c r="AH3" i="71"/>
  <c r="AE3" i="71"/>
  <c r="AF3" i="71" s="1"/>
  <c r="AD3" i="71"/>
  <c r="L3" i="71"/>
  <c r="K3" i="71"/>
  <c r="AG3" i="71" s="1"/>
  <c r="J3" i="71"/>
  <c r="I3" i="71"/>
  <c r="M15" i="45"/>
  <c r="L15" i="45"/>
  <c r="K15" i="45"/>
  <c r="J15" i="45"/>
  <c r="I15" i="45"/>
  <c r="H15" i="45"/>
  <c r="G15" i="45"/>
  <c r="F15" i="45"/>
  <c r="E15" i="45"/>
  <c r="D15" i="45"/>
  <c r="C15" i="45"/>
  <c r="B15" i="45"/>
  <c r="F113" i="43"/>
  <c r="L108" i="43"/>
  <c r="K108" i="43"/>
  <c r="J108" i="43"/>
  <c r="H108" i="43"/>
  <c r="E108" i="43"/>
  <c r="C108" i="43"/>
  <c r="L100" i="43"/>
  <c r="K100" i="43"/>
  <c r="J100" i="43"/>
  <c r="H100" i="43"/>
  <c r="E100" i="43"/>
  <c r="D100" i="43"/>
  <c r="C100" i="43"/>
  <c r="N99" i="43"/>
  <c r="N108" i="43" s="1"/>
  <c r="M99" i="43"/>
  <c r="M108" i="43" s="1"/>
  <c r="L99" i="43"/>
  <c r="K99" i="43"/>
  <c r="J99" i="43"/>
  <c r="I99" i="43"/>
  <c r="H99" i="43"/>
  <c r="G99" i="43"/>
  <c r="F99" i="43"/>
  <c r="E99" i="43"/>
  <c r="D99" i="43"/>
  <c r="D108" i="43" s="1"/>
  <c r="C99" i="43"/>
  <c r="M88" i="43"/>
  <c r="N88" i="43" s="1"/>
  <c r="K88" i="43"/>
  <c r="J88" i="43" s="1"/>
  <c r="H88" i="43"/>
  <c r="D88" i="43"/>
  <c r="M87" i="43"/>
  <c r="N87" i="43" s="1"/>
  <c r="K87" i="43"/>
  <c r="J87" i="43"/>
  <c r="D87" i="43"/>
  <c r="M86" i="43"/>
  <c r="N86" i="43" s="1"/>
  <c r="K86" i="43"/>
  <c r="J86" i="43"/>
  <c r="H86" i="43"/>
  <c r="D86" i="43"/>
  <c r="N85" i="43"/>
  <c r="M85" i="43"/>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c r="H77" i="43"/>
  <c r="D77" i="43"/>
  <c r="M76" i="43"/>
  <c r="N76" i="43" s="1"/>
  <c r="K76" i="43"/>
  <c r="J76" i="43"/>
  <c r="D76" i="43"/>
  <c r="M75" i="43"/>
  <c r="N75" i="43" s="1"/>
  <c r="K75" i="43"/>
  <c r="J75" i="43"/>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c r="D71" i="43"/>
  <c r="E70" i="43" s="1"/>
  <c r="B68" i="43" s="1"/>
  <c r="M70" i="43"/>
  <c r="N70" i="43" s="1"/>
  <c r="K70" i="43"/>
  <c r="J70" i="43" s="1"/>
  <c r="H70" i="43"/>
  <c r="F70" i="43"/>
  <c r="D70" i="43"/>
  <c r="M67" i="43"/>
  <c r="N67" i="43" s="1"/>
  <c r="K67" i="43"/>
  <c r="J67" i="43"/>
  <c r="D67" i="43"/>
  <c r="M66" i="43"/>
  <c r="N66" i="43" s="1"/>
  <c r="K66" i="43"/>
  <c r="J66" i="43"/>
  <c r="D66" i="43"/>
  <c r="M65" i="43"/>
  <c r="N65" i="43" s="1"/>
  <c r="K65" i="43"/>
  <c r="J65" i="43" s="1"/>
  <c r="D65" i="43"/>
  <c r="M64" i="43"/>
  <c r="N64" i="43" s="1"/>
  <c r="K64" i="43"/>
  <c r="J64" i="43"/>
  <c r="H64" i="43"/>
  <c r="D64" i="43"/>
  <c r="N63" i="43"/>
  <c r="M63" i="43"/>
  <c r="K63" i="43"/>
  <c r="J63" i="43"/>
  <c r="D63" i="43"/>
  <c r="M62" i="43"/>
  <c r="N62" i="43" s="1"/>
  <c r="K62" i="43"/>
  <c r="J62" i="43" s="1"/>
  <c r="D62" i="43"/>
  <c r="M61" i="43"/>
  <c r="N61" i="43" s="1"/>
  <c r="K61" i="43"/>
  <c r="J61" i="43"/>
  <c r="H61" i="43"/>
  <c r="D61" i="43"/>
  <c r="B61" i="43"/>
  <c r="M60" i="43"/>
  <c r="N60" i="43" s="1"/>
  <c r="K60" i="43"/>
  <c r="J60" i="43"/>
  <c r="D60" i="43"/>
  <c r="M59" i="43"/>
  <c r="N59" i="43" s="1"/>
  <c r="K59" i="43"/>
  <c r="J59" i="43"/>
  <c r="F59" i="43"/>
  <c r="D59" i="43"/>
  <c r="M56" i="43"/>
  <c r="N56" i="43" s="1"/>
  <c r="K56" i="43"/>
  <c r="J56" i="43" s="1"/>
  <c r="H56" i="43"/>
  <c r="D56" i="43"/>
  <c r="N55" i="43"/>
  <c r="M55" i="43"/>
  <c r="K55" i="43"/>
  <c r="J55" i="43"/>
  <c r="D55" i="43"/>
  <c r="N54" i="43"/>
  <c r="M54" i="43"/>
  <c r="K54" i="43"/>
  <c r="J54" i="43" s="1"/>
  <c r="D54" i="43"/>
  <c r="M53" i="43"/>
  <c r="N53" i="43" s="1"/>
  <c r="K53" i="43"/>
  <c r="J53" i="43"/>
  <c r="D53" i="43"/>
  <c r="N52" i="43"/>
  <c r="M52" i="43"/>
  <c r="K52" i="43"/>
  <c r="J52" i="43"/>
  <c r="D52" i="43"/>
  <c r="M51" i="43"/>
  <c r="N51" i="43" s="1"/>
  <c r="K51" i="43"/>
  <c r="J51" i="43" s="1"/>
  <c r="D51" i="43"/>
  <c r="M50" i="43"/>
  <c r="N50" i="43" s="1"/>
  <c r="K50" i="43"/>
  <c r="J50" i="43" s="1"/>
  <c r="D50" i="43"/>
  <c r="B50" i="43"/>
  <c r="M49" i="43"/>
  <c r="N49" i="43" s="1"/>
  <c r="K49" i="43"/>
  <c r="J49" i="43"/>
  <c r="D49" i="43"/>
  <c r="N48" i="43"/>
  <c r="M48" i="43"/>
  <c r="K48" i="43"/>
  <c r="J48" i="43" s="1"/>
  <c r="F48" i="43"/>
  <c r="D48" i="43"/>
  <c r="B48" i="43"/>
  <c r="H39" i="43"/>
  <c r="H38" i="43"/>
  <c r="F38" i="43"/>
  <c r="H37" i="43"/>
  <c r="H36" i="43"/>
  <c r="H35" i="43"/>
  <c r="H34" i="43"/>
  <c r="F34" i="43"/>
  <c r="H33" i="43"/>
  <c r="P28" i="43"/>
  <c r="M28" i="43"/>
  <c r="C24" i="43"/>
  <c r="J20" i="43"/>
  <c r="I20" i="43"/>
  <c r="G20" i="43"/>
  <c r="E20" i="43"/>
  <c r="O28" i="43" s="1"/>
  <c r="M19" i="43"/>
  <c r="I19" i="43"/>
  <c r="C18" i="43"/>
  <c r="O17" i="43"/>
  <c r="N17" i="43"/>
  <c r="I17" i="43"/>
  <c r="D17" i="43"/>
  <c r="C17" i="43"/>
  <c r="F15" i="43"/>
  <c r="E15" i="43"/>
  <c r="D15" i="43"/>
  <c r="C15" i="43"/>
  <c r="C12" i="43" s="1"/>
  <c r="AE12" i="43"/>
  <c r="AD12" i="43"/>
  <c r="Z12" i="43"/>
  <c r="Y12" i="43"/>
  <c r="N12" i="43"/>
  <c r="M12" i="43"/>
  <c r="C11" i="43"/>
  <c r="AJ10" i="43"/>
  <c r="Y10" i="43"/>
  <c r="N10" i="43"/>
  <c r="C10" i="43"/>
  <c r="AJ9" i="43"/>
  <c r="AJ12" i="43" s="1"/>
  <c r="AI9" i="43"/>
  <c r="AH9" i="43"/>
  <c r="AG9" i="43"/>
  <c r="AG10" i="43" s="1"/>
  <c r="AF9" i="43"/>
  <c r="AF12" i="43" s="1"/>
  <c r="AE9" i="43"/>
  <c r="AE10" i="43" s="1"/>
  <c r="AD9" i="43"/>
  <c r="AD10" i="43" s="1"/>
  <c r="AC9" i="43"/>
  <c r="AB9" i="43"/>
  <c r="AB12" i="43" s="1"/>
  <c r="AA9" i="43"/>
  <c r="Z9" i="43"/>
  <c r="Z10" i="43" s="1"/>
  <c r="M9" i="43"/>
  <c r="C9" i="43"/>
  <c r="N8" i="43"/>
  <c r="M8" i="43"/>
  <c r="N7" i="43"/>
  <c r="M7" i="43"/>
  <c r="A7" i="43"/>
  <c r="N6" i="43"/>
  <c r="M6" i="43"/>
  <c r="C6" i="43"/>
  <c r="N5" i="43"/>
  <c r="M5" i="43"/>
  <c r="N4" i="43"/>
  <c r="M4" i="43"/>
  <c r="N3" i="43"/>
  <c r="N2" i="43"/>
  <c r="M2" i="43"/>
  <c r="I2" i="43"/>
  <c r="M11" i="43" s="1"/>
  <c r="G2" i="43"/>
  <c r="N1" i="43"/>
  <c r="M1" i="43"/>
  <c r="D1" i="43"/>
  <c r="B120" i="40"/>
  <c r="B118" i="40"/>
  <c r="H39" i="40" s="1"/>
  <c r="AB39" i="40" s="1"/>
  <c r="B116" i="40"/>
  <c r="E115" i="40"/>
  <c r="F115" i="40" s="1"/>
  <c r="G115" i="40" s="1"/>
  <c r="H115" i="40" s="1"/>
  <c r="I115" i="40" s="1"/>
  <c r="J115" i="40" s="1"/>
  <c r="K115" i="40" s="1"/>
  <c r="L115" i="40" s="1"/>
  <c r="M115" i="40" s="1"/>
  <c r="D115" i="40"/>
  <c r="L113" i="40"/>
  <c r="M113" i="40" s="1"/>
  <c r="G113" i="40"/>
  <c r="H113" i="40" s="1"/>
  <c r="I113" i="40" s="1"/>
  <c r="J113" i="40" s="1"/>
  <c r="K113" i="40" s="1"/>
  <c r="D113" i="40"/>
  <c r="E113" i="40" s="1"/>
  <c r="F113" i="40" s="1"/>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J33" i="40" s="1"/>
  <c r="B103" i="40"/>
  <c r="B101" i="40"/>
  <c r="F31" i="40" s="1"/>
  <c r="S31" i="40" s="1"/>
  <c r="F100" i="40"/>
  <c r="G100" i="40" s="1"/>
  <c r="H100" i="40" s="1"/>
  <c r="I100" i="40" s="1"/>
  <c r="J100" i="40" s="1"/>
  <c r="K100" i="40" s="1"/>
  <c r="L100" i="40" s="1"/>
  <c r="M100" i="40" s="1"/>
  <c r="D100" i="40"/>
  <c r="E100" i="40" s="1"/>
  <c r="G98" i="40"/>
  <c r="H98" i="40" s="1"/>
  <c r="I98" i="40" s="1"/>
  <c r="J98" i="40" s="1"/>
  <c r="K98" i="40" s="1"/>
  <c r="L98" i="40" s="1"/>
  <c r="M98" i="40" s="1"/>
  <c r="E98" i="40"/>
  <c r="F98" i="40" s="1"/>
  <c r="D98" i="40"/>
  <c r="L96" i="40"/>
  <c r="M96" i="40" s="1"/>
  <c r="G96" i="40"/>
  <c r="H96" i="40" s="1"/>
  <c r="I96" i="40" s="1"/>
  <c r="J96" i="40" s="1"/>
  <c r="K96" i="40" s="1"/>
  <c r="D96" i="40"/>
  <c r="E96" i="40" s="1"/>
  <c r="F96" i="40" s="1"/>
  <c r="B95" i="40"/>
  <c r="F27" i="40" s="1"/>
  <c r="D94" i="40"/>
  <c r="E94" i="40" s="1"/>
  <c r="F94" i="40" s="1"/>
  <c r="G94" i="40" s="1"/>
  <c r="D92" i="40"/>
  <c r="E92" i="40" s="1"/>
  <c r="E90" i="40"/>
  <c r="D90" i="40"/>
  <c r="E88" i="40"/>
  <c r="F88" i="40" s="1"/>
  <c r="G88" i="40" s="1"/>
  <c r="D88" i="40"/>
  <c r="H19" i="40" s="1"/>
  <c r="AB19" i="40" s="1"/>
  <c r="F86" i="40"/>
  <c r="G86" i="40" s="1"/>
  <c r="D86" i="40"/>
  <c r="E86" i="40" s="1"/>
  <c r="F84" i="40"/>
  <c r="G84" i="40" s="1"/>
  <c r="D84" i="40"/>
  <c r="E84" i="40" s="1"/>
  <c r="B81" i="40"/>
  <c r="F14" i="40" s="1"/>
  <c r="B79" i="40"/>
  <c r="B77" i="40"/>
  <c r="F76" i="40"/>
  <c r="G76" i="40" s="1"/>
  <c r="H76" i="40" s="1"/>
  <c r="I76" i="40" s="1"/>
  <c r="J76" i="40" s="1"/>
  <c r="K76" i="40" s="1"/>
  <c r="L76" i="40" s="1"/>
  <c r="M76" i="40" s="1"/>
  <c r="E76" i="40"/>
  <c r="D76" i="40"/>
  <c r="M74" i="40"/>
  <c r="L74" i="40"/>
  <c r="K74" i="40"/>
  <c r="J74" i="40"/>
  <c r="I74" i="40"/>
  <c r="H74" i="40"/>
  <c r="G74" i="40"/>
  <c r="F74" i="40"/>
  <c r="E74" i="40"/>
  <c r="D74" i="40"/>
  <c r="C74" i="40"/>
  <c r="I60" i="40"/>
  <c r="C60" i="40" s="1"/>
  <c r="H60" i="40"/>
  <c r="I59" i="40"/>
  <c r="H59" i="40"/>
  <c r="C59" i="40"/>
  <c r="H58" i="40"/>
  <c r="I58" i="40" s="1"/>
  <c r="C58" i="40" s="1"/>
  <c r="I57" i="40"/>
  <c r="C57" i="40" s="1"/>
  <c r="H57" i="40"/>
  <c r="H56" i="40"/>
  <c r="I56" i="40" s="1"/>
  <c r="C56" i="40"/>
  <c r="I55" i="40"/>
  <c r="C55" i="40" s="1"/>
  <c r="H55" i="40"/>
  <c r="I54" i="40"/>
  <c r="H54" i="40"/>
  <c r="C54" i="40"/>
  <c r="I53" i="40"/>
  <c r="C53" i="40" s="1"/>
  <c r="H53" i="40"/>
  <c r="I52" i="40"/>
  <c r="C52" i="40" s="1"/>
  <c r="H52" i="40"/>
  <c r="P43" i="40"/>
  <c r="P42" i="40"/>
  <c r="K42" i="40"/>
  <c r="V41" i="40"/>
  <c r="V42" i="40" s="1"/>
  <c r="I42" i="40" s="1"/>
  <c r="R41" i="40"/>
  <c r="R42" i="40" s="1"/>
  <c r="P41" i="40"/>
  <c r="I41" i="40"/>
  <c r="G41" i="40"/>
  <c r="E41" i="40"/>
  <c r="AC40" i="40"/>
  <c r="S40" i="40"/>
  <c r="Q40" i="40"/>
  <c r="Z40" i="40" s="1"/>
  <c r="J40" i="40"/>
  <c r="W40" i="40" s="1"/>
  <c r="H40" i="40"/>
  <c r="F40" i="40"/>
  <c r="AA40" i="40" s="1"/>
  <c r="AC39" i="40"/>
  <c r="Z39" i="40"/>
  <c r="W39" i="40"/>
  <c r="U39" i="40"/>
  <c r="Q39" i="40"/>
  <c r="J39" i="40"/>
  <c r="F39" i="40"/>
  <c r="Z38" i="40"/>
  <c r="U38" i="40"/>
  <c r="Q38" i="40"/>
  <c r="J38" i="40"/>
  <c r="H38" i="40"/>
  <c r="AB38" i="40" s="1"/>
  <c r="F38" i="40"/>
  <c r="W37" i="40"/>
  <c r="S37" i="40"/>
  <c r="Q37" i="40"/>
  <c r="Z37" i="40" s="1"/>
  <c r="J37" i="40"/>
  <c r="AC37" i="40" s="1"/>
  <c r="H37" i="40"/>
  <c r="AB37" i="40" s="1"/>
  <c r="F37" i="40"/>
  <c r="AA37" i="40" s="1"/>
  <c r="W36" i="40"/>
  <c r="U36" i="40"/>
  <c r="S36" i="40"/>
  <c r="Q36" i="40"/>
  <c r="Z36" i="40" s="1"/>
  <c r="J36" i="40"/>
  <c r="AC36" i="40" s="1"/>
  <c r="H36" i="40"/>
  <c r="AB36" i="40" s="1"/>
  <c r="F36" i="40"/>
  <c r="AA36" i="40" s="1"/>
  <c r="AC35" i="40"/>
  <c r="Z35" i="40"/>
  <c r="W35" i="40"/>
  <c r="S35" i="40"/>
  <c r="Q35" i="40"/>
  <c r="J35" i="40"/>
  <c r="H35" i="40"/>
  <c r="U35" i="40" s="1"/>
  <c r="F35" i="40"/>
  <c r="AA35" i="40" s="1"/>
  <c r="Q34" i="40"/>
  <c r="Z34" i="40" s="1"/>
  <c r="I34" i="40"/>
  <c r="G34" i="40"/>
  <c r="E34" i="40"/>
  <c r="AC33" i="40"/>
  <c r="AA33" i="40"/>
  <c r="W33" i="40"/>
  <c r="U33" i="40"/>
  <c r="Q33" i="40"/>
  <c r="Z33" i="40" s="1"/>
  <c r="H33" i="40"/>
  <c r="AB33" i="40" s="1"/>
  <c r="F33" i="40"/>
  <c r="S33" i="40" s="1"/>
  <c r="Q32" i="40"/>
  <c r="Z32" i="40" s="1"/>
  <c r="F32" i="40"/>
  <c r="AA31" i="40"/>
  <c r="Q31" i="40"/>
  <c r="Z31" i="40" s="1"/>
  <c r="J31" i="40"/>
  <c r="H31" i="40"/>
  <c r="Q30" i="40"/>
  <c r="Z30" i="40" s="1"/>
  <c r="J30" i="40"/>
  <c r="C30" i="40"/>
  <c r="AB28" i="40"/>
  <c r="W28" i="40"/>
  <c r="U28" i="40"/>
  <c r="Q28" i="40"/>
  <c r="Z28" i="40" s="1"/>
  <c r="J28" i="40"/>
  <c r="AC28" i="40" s="1"/>
  <c r="H28" i="40"/>
  <c r="F28" i="40"/>
  <c r="C28" i="40"/>
  <c r="Q27" i="40"/>
  <c r="Z27" i="40" s="1"/>
  <c r="J27" i="40"/>
  <c r="AC27" i="40" s="1"/>
  <c r="H27" i="40"/>
  <c r="AB25" i="40"/>
  <c r="AA25" i="40"/>
  <c r="Z25" i="40"/>
  <c r="S25" i="40"/>
  <c r="Q25" i="40"/>
  <c r="J25" i="40"/>
  <c r="H25" i="40"/>
  <c r="U25" i="40" s="1"/>
  <c r="F25" i="40"/>
  <c r="Q23" i="40"/>
  <c r="Z23" i="40" s="1"/>
  <c r="Z21" i="40"/>
  <c r="Q21" i="40"/>
  <c r="F21" i="40"/>
  <c r="AC19" i="40"/>
  <c r="W19" i="40"/>
  <c r="U19" i="40"/>
  <c r="Q19" i="40"/>
  <c r="Z19" i="40" s="1"/>
  <c r="J19" i="40"/>
  <c r="F19" i="40"/>
  <c r="C19" i="40"/>
  <c r="AC17" i="40"/>
  <c r="AA17" i="40"/>
  <c r="W17" i="40"/>
  <c r="S17" i="40"/>
  <c r="Q17" i="40"/>
  <c r="Z17" i="40" s="1"/>
  <c r="J17" i="40"/>
  <c r="H17" i="40"/>
  <c r="F17" i="40"/>
  <c r="W15" i="40"/>
  <c r="Q15" i="40"/>
  <c r="Z15" i="40" s="1"/>
  <c r="J15" i="40"/>
  <c r="AC15" i="40" s="1"/>
  <c r="AB14" i="40"/>
  <c r="Z14" i="40"/>
  <c r="W14" i="40"/>
  <c r="Q14" i="40"/>
  <c r="J14" i="40"/>
  <c r="AC14" i="40" s="1"/>
  <c r="H14" i="40"/>
  <c r="U14" i="40" s="1"/>
  <c r="W13" i="40"/>
  <c r="Q13" i="40"/>
  <c r="Z13" i="40" s="1"/>
  <c r="J13" i="40"/>
  <c r="AC13" i="40" s="1"/>
  <c r="AC12" i="40"/>
  <c r="AA12" i="40"/>
  <c r="Z12" i="40"/>
  <c r="S12" i="40"/>
  <c r="Q12" i="40"/>
  <c r="J12" i="40"/>
  <c r="W12" i="40" s="1"/>
  <c r="H12" i="40"/>
  <c r="U12" i="40" s="1"/>
  <c r="F12" i="40"/>
  <c r="Q11" i="40"/>
  <c r="Z11" i="40" s="1"/>
  <c r="Z10" i="40"/>
  <c r="Q10" i="40"/>
  <c r="AB9" i="40"/>
  <c r="Q9" i="40"/>
  <c r="Z9" i="40" s="1"/>
  <c r="J9" i="40"/>
  <c r="H9" i="40"/>
  <c r="U9" i="40" s="1"/>
  <c r="F9" i="40"/>
  <c r="AA9" i="40" s="1"/>
  <c r="AC8" i="40"/>
  <c r="AB8" i="40"/>
  <c r="U8" i="40"/>
  <c r="J8" i="40"/>
  <c r="W8" i="40" s="1"/>
  <c r="H8" i="40"/>
  <c r="F8" i="40"/>
  <c r="I7" i="40"/>
  <c r="G7" i="40"/>
  <c r="E7" i="40"/>
  <c r="B131" i="39"/>
  <c r="H45" i="39" s="1"/>
  <c r="U45" i="39" s="1"/>
  <c r="B129" i="39"/>
  <c r="F44" i="39" s="1"/>
  <c r="B127" i="39"/>
  <c r="K126" i="39"/>
  <c r="L126" i="39" s="1"/>
  <c r="M126" i="39" s="1"/>
  <c r="I126" i="39"/>
  <c r="J126" i="39" s="1"/>
  <c r="E126" i="39"/>
  <c r="F126" i="39" s="1"/>
  <c r="G126" i="39" s="1"/>
  <c r="H126" i="39" s="1"/>
  <c r="D126" i="39"/>
  <c r="F124" i="39"/>
  <c r="G124" i="39" s="1"/>
  <c r="H124" i="39" s="1"/>
  <c r="I124" i="39" s="1"/>
  <c r="J124" i="39" s="1"/>
  <c r="K124" i="39" s="1"/>
  <c r="L124" i="39" s="1"/>
  <c r="M124" i="39" s="1"/>
  <c r="E124" i="39"/>
  <c r="D124" i="39"/>
  <c r="L122" i="39"/>
  <c r="M122" i="39" s="1"/>
  <c r="F122" i="39"/>
  <c r="G122" i="39" s="1"/>
  <c r="H122" i="39" s="1"/>
  <c r="I122" i="39" s="1"/>
  <c r="J122" i="39" s="1"/>
  <c r="K122" i="39" s="1"/>
  <c r="D122" i="39"/>
  <c r="E122" i="39" s="1"/>
  <c r="I120" i="39"/>
  <c r="J120" i="39" s="1"/>
  <c r="K120" i="39" s="1"/>
  <c r="L120" i="39" s="1"/>
  <c r="M120" i="39" s="1"/>
  <c r="G120" i="39"/>
  <c r="H120" i="39" s="1"/>
  <c r="E120" i="39"/>
  <c r="F120" i="39" s="1"/>
  <c r="D120" i="39"/>
  <c r="M116" i="39"/>
  <c r="L116" i="39"/>
  <c r="K116" i="39"/>
  <c r="J116" i="39"/>
  <c r="I116" i="39"/>
  <c r="H116" i="39"/>
  <c r="G116" i="39"/>
  <c r="F116" i="39"/>
  <c r="E116" i="39"/>
  <c r="D116" i="39"/>
  <c r="C116" i="39"/>
  <c r="B114" i="39"/>
  <c r="B112" i="39"/>
  <c r="F36" i="39" s="1"/>
  <c r="AA36" i="39" s="1"/>
  <c r="B110" i="39"/>
  <c r="G109" i="39"/>
  <c r="H109" i="39" s="1"/>
  <c r="I109" i="39" s="1"/>
  <c r="J109" i="39" s="1"/>
  <c r="K109" i="39" s="1"/>
  <c r="L109" i="39" s="1"/>
  <c r="M109" i="39" s="1"/>
  <c r="F109" i="39"/>
  <c r="E109" i="39"/>
  <c r="D109" i="39"/>
  <c r="I107" i="39"/>
  <c r="J107" i="39" s="1"/>
  <c r="K107" i="39" s="1"/>
  <c r="L107" i="39" s="1"/>
  <c r="M107" i="39" s="1"/>
  <c r="H107" i="39"/>
  <c r="E107" i="39"/>
  <c r="F107" i="39" s="1"/>
  <c r="G107" i="39" s="1"/>
  <c r="D107" i="39"/>
  <c r="J105" i="39"/>
  <c r="K105" i="39" s="1"/>
  <c r="L105" i="39" s="1"/>
  <c r="M105" i="39" s="1"/>
  <c r="D105" i="39"/>
  <c r="E105" i="39" s="1"/>
  <c r="F105" i="39" s="1"/>
  <c r="G105" i="39" s="1"/>
  <c r="H105" i="39" s="1"/>
  <c r="I105" i="39" s="1"/>
  <c r="B104" i="39"/>
  <c r="D103" i="39"/>
  <c r="E103" i="39" s="1"/>
  <c r="F103" i="39" s="1"/>
  <c r="G103" i="39" s="1"/>
  <c r="D101" i="39"/>
  <c r="E101" i="39" s="1"/>
  <c r="F101" i="39" s="1"/>
  <c r="G101" i="39" s="1"/>
  <c r="F99" i="39"/>
  <c r="G99" i="39" s="1"/>
  <c r="D99" i="39"/>
  <c r="E99" i="39" s="1"/>
  <c r="G97" i="39"/>
  <c r="D97" i="39"/>
  <c r="E97" i="39" s="1"/>
  <c r="F97" i="39" s="1"/>
  <c r="D95" i="39"/>
  <c r="E95" i="39" s="1"/>
  <c r="F95" i="39" s="1"/>
  <c r="G95" i="39" s="1"/>
  <c r="G93" i="39"/>
  <c r="F93" i="39"/>
  <c r="D93" i="39"/>
  <c r="E93" i="39" s="1"/>
  <c r="G91" i="39"/>
  <c r="F91" i="39"/>
  <c r="D91" i="39"/>
  <c r="E91" i="39" s="1"/>
  <c r="F89" i="39"/>
  <c r="G89" i="39" s="1"/>
  <c r="E89" i="39"/>
  <c r="D89" i="39"/>
  <c r="B86" i="39"/>
  <c r="H14" i="39" s="1"/>
  <c r="U14" i="39" s="1"/>
  <c r="B84" i="39"/>
  <c r="B82" i="39"/>
  <c r="L81" i="39"/>
  <c r="M81" i="39" s="1"/>
  <c r="J81" i="39"/>
  <c r="K81" i="39" s="1"/>
  <c r="H81" i="39"/>
  <c r="I81" i="39" s="1"/>
  <c r="G81" i="39"/>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H62" i="39"/>
  <c r="C62" i="39"/>
  <c r="I61" i="39"/>
  <c r="H61" i="39"/>
  <c r="C61" i="39"/>
  <c r="H60" i="39"/>
  <c r="I60" i="39" s="1"/>
  <c r="C60" i="39" s="1"/>
  <c r="I59" i="39"/>
  <c r="C59" i="39" s="1"/>
  <c r="H59" i="39"/>
  <c r="H58" i="39"/>
  <c r="I58" i="39" s="1"/>
  <c r="C58" i="39" s="1"/>
  <c r="H57" i="39"/>
  <c r="I57" i="39" s="1"/>
  <c r="C57" i="39" s="1"/>
  <c r="J53" i="39"/>
  <c r="I53" i="39"/>
  <c r="H53" i="39"/>
  <c r="G53" i="39"/>
  <c r="F53" i="39"/>
  <c r="E53" i="39"/>
  <c r="P48" i="39"/>
  <c r="P47" i="39"/>
  <c r="K47" i="39"/>
  <c r="V46" i="39"/>
  <c r="T46" i="39"/>
  <c r="R46" i="39"/>
  <c r="P46" i="39"/>
  <c r="AB45" i="39"/>
  <c r="Q45" i="39"/>
  <c r="Z45" i="39" s="1"/>
  <c r="J45" i="39"/>
  <c r="F45" i="39"/>
  <c r="Z44" i="39"/>
  <c r="W44" i="39"/>
  <c r="Q44" i="39"/>
  <c r="J44" i="39"/>
  <c r="AC44" i="39" s="1"/>
  <c r="AC43" i="39"/>
  <c r="Z43" i="39"/>
  <c r="Q43" i="39"/>
  <c r="J43" i="39"/>
  <c r="W43" i="39" s="1"/>
  <c r="H43" i="39"/>
  <c r="AB43" i="39" s="1"/>
  <c r="F43" i="39"/>
  <c r="AB42" i="39"/>
  <c r="Z42" i="39"/>
  <c r="U42" i="39"/>
  <c r="Q42" i="39"/>
  <c r="J42" i="39"/>
  <c r="H42" i="39"/>
  <c r="F42" i="39"/>
  <c r="AA42" i="39" s="1"/>
  <c r="W41" i="39"/>
  <c r="U41" i="39"/>
  <c r="Q41" i="39"/>
  <c r="Z41" i="39" s="1"/>
  <c r="J41" i="39"/>
  <c r="AC41" i="39" s="1"/>
  <c r="H41" i="39"/>
  <c r="AB41" i="39" s="1"/>
  <c r="F41" i="39"/>
  <c r="AB40" i="39"/>
  <c r="Z40" i="39"/>
  <c r="W40" i="39"/>
  <c r="U40" i="39"/>
  <c r="Q40" i="39"/>
  <c r="J40" i="39"/>
  <c r="AC40" i="39" s="1"/>
  <c r="H40" i="39"/>
  <c r="F40" i="39"/>
  <c r="AB39" i="39"/>
  <c r="AA39" i="39"/>
  <c r="W39" i="39"/>
  <c r="S39" i="39"/>
  <c r="Q39" i="39"/>
  <c r="Z39" i="39" s="1"/>
  <c r="J39" i="39"/>
  <c r="AC39" i="39" s="1"/>
  <c r="H39" i="39"/>
  <c r="U39" i="39" s="1"/>
  <c r="F39" i="39"/>
  <c r="AB38" i="39"/>
  <c r="W38" i="39"/>
  <c r="U38" i="39"/>
  <c r="Q38" i="39"/>
  <c r="Z38" i="39" s="1"/>
  <c r="J38" i="39"/>
  <c r="AC38" i="39" s="1"/>
  <c r="H38" i="39"/>
  <c r="F38" i="39"/>
  <c r="Z37" i="39"/>
  <c r="Q37" i="39"/>
  <c r="J37" i="39"/>
  <c r="Z36" i="39"/>
  <c r="U36" i="39"/>
  <c r="S36" i="39"/>
  <c r="Q36" i="39"/>
  <c r="H36" i="39"/>
  <c r="AB36" i="39" s="1"/>
  <c r="AC35" i="39"/>
  <c r="AA35" i="39"/>
  <c r="Z35" i="39"/>
  <c r="W35" i="39"/>
  <c r="S35" i="39"/>
  <c r="Q35" i="39"/>
  <c r="J35" i="39"/>
  <c r="H35" i="39"/>
  <c r="AB35" i="39" s="1"/>
  <c r="F35" i="39"/>
  <c r="AC34" i="39"/>
  <c r="AB34" i="39"/>
  <c r="Z34" i="39"/>
  <c r="U34" i="39"/>
  <c r="S34" i="39"/>
  <c r="Q34" i="39"/>
  <c r="J34" i="39"/>
  <c r="W34" i="39" s="1"/>
  <c r="H34" i="39"/>
  <c r="F34" i="39"/>
  <c r="AA34" i="39" s="1"/>
  <c r="Z32" i="39"/>
  <c r="W32" i="39"/>
  <c r="U32" i="39"/>
  <c r="Q32" i="39"/>
  <c r="J32" i="39"/>
  <c r="AC32" i="39" s="1"/>
  <c r="H32" i="39"/>
  <c r="AB32" i="39" s="1"/>
  <c r="F32" i="39"/>
  <c r="AB31" i="39"/>
  <c r="Z31" i="39"/>
  <c r="U31" i="39"/>
  <c r="Q31" i="39"/>
  <c r="J31" i="39"/>
  <c r="H31" i="39"/>
  <c r="F31" i="39"/>
  <c r="AB29" i="39"/>
  <c r="AA29" i="39"/>
  <c r="S29" i="39"/>
  <c r="Q29" i="39"/>
  <c r="Z29" i="39" s="1"/>
  <c r="J29" i="39"/>
  <c r="H29" i="39"/>
  <c r="U29" i="39" s="1"/>
  <c r="F29" i="39"/>
  <c r="Z27" i="39"/>
  <c r="S27" i="39"/>
  <c r="Q27" i="39"/>
  <c r="J27" i="39"/>
  <c r="H27" i="39"/>
  <c r="U27" i="39" s="1"/>
  <c r="F27" i="39"/>
  <c r="AA27" i="39" s="1"/>
  <c r="U25" i="39"/>
  <c r="Q25" i="39"/>
  <c r="Z25" i="39" s="1"/>
  <c r="J25" i="39"/>
  <c r="H25" i="39"/>
  <c r="AB25" i="39" s="1"/>
  <c r="F25" i="39"/>
  <c r="AA25" i="39" s="1"/>
  <c r="AA23" i="39"/>
  <c r="Z23" i="39"/>
  <c r="U23" i="39"/>
  <c r="S23" i="39"/>
  <c r="Q23" i="39"/>
  <c r="J23" i="39"/>
  <c r="AC23" i="39" s="1"/>
  <c r="H23" i="39"/>
  <c r="AB23" i="39" s="1"/>
  <c r="F23" i="39"/>
  <c r="C23" i="39"/>
  <c r="AB21" i="39"/>
  <c r="AA21" i="39"/>
  <c r="W21" i="39"/>
  <c r="U21" i="39"/>
  <c r="Q21" i="39"/>
  <c r="Z21" i="39" s="1"/>
  <c r="J21" i="39"/>
  <c r="AC21" i="39" s="1"/>
  <c r="H21" i="39"/>
  <c r="F21" i="39"/>
  <c r="S21" i="39" s="1"/>
  <c r="AC19" i="39"/>
  <c r="Z19" i="39"/>
  <c r="Q19" i="39"/>
  <c r="J19" i="39"/>
  <c r="W19" i="39" s="1"/>
  <c r="H19" i="39"/>
  <c r="U19" i="39" s="1"/>
  <c r="F19" i="39"/>
  <c r="AA19" i="39" s="1"/>
  <c r="AC17" i="39"/>
  <c r="W17" i="39"/>
  <c r="S17" i="39"/>
  <c r="Q17" i="39"/>
  <c r="Z17" i="39" s="1"/>
  <c r="J17" i="39"/>
  <c r="H17" i="39"/>
  <c r="F17" i="39"/>
  <c r="AA17" i="39" s="1"/>
  <c r="Z15" i="39"/>
  <c r="W15" i="39"/>
  <c r="U15" i="39"/>
  <c r="S15" i="39"/>
  <c r="Q15" i="39"/>
  <c r="J15" i="39"/>
  <c r="AC15" i="39" s="1"/>
  <c r="H15" i="39"/>
  <c r="AB15" i="39" s="1"/>
  <c r="F15" i="39"/>
  <c r="AA15" i="39" s="1"/>
  <c r="AB14" i="39"/>
  <c r="Q14" i="39"/>
  <c r="Z14" i="39" s="1"/>
  <c r="F14" i="39"/>
  <c r="Q13" i="39"/>
  <c r="Z13" i="39" s="1"/>
  <c r="F13" i="39"/>
  <c r="AC12" i="39"/>
  <c r="AA12" i="39"/>
  <c r="W12" i="39"/>
  <c r="S12" i="39"/>
  <c r="Q12" i="39"/>
  <c r="Z12" i="39" s="1"/>
  <c r="J12" i="39"/>
  <c r="H12" i="39"/>
  <c r="F12" i="39"/>
  <c r="AC11" i="39"/>
  <c r="Z11" i="39"/>
  <c r="W11" i="39"/>
  <c r="S11" i="39"/>
  <c r="Q11" i="39"/>
  <c r="J11" i="39"/>
  <c r="H11" i="39"/>
  <c r="AB11" i="39" s="1"/>
  <c r="F11" i="39"/>
  <c r="AA11" i="39" s="1"/>
  <c r="Z10" i="39"/>
  <c r="Q10" i="39"/>
  <c r="AB9" i="39"/>
  <c r="Z9" i="39"/>
  <c r="Q9" i="39"/>
  <c r="J9" i="39"/>
  <c r="H9" i="39"/>
  <c r="U9" i="39" s="1"/>
  <c r="F9" i="39"/>
  <c r="W8" i="39"/>
  <c r="J8" i="39"/>
  <c r="AC8" i="39" s="1"/>
  <c r="H8" i="39"/>
  <c r="AB8" i="39" s="1"/>
  <c r="F8" i="39"/>
  <c r="S8" i="39" s="1"/>
  <c r="B95" i="36"/>
  <c r="B93" i="36"/>
  <c r="B91" i="36"/>
  <c r="F32" i="36" s="1"/>
  <c r="M86" i="36"/>
  <c r="L86" i="36"/>
  <c r="K86" i="36"/>
  <c r="J86" i="36"/>
  <c r="I86" i="36"/>
  <c r="H86" i="36"/>
  <c r="G86" i="36"/>
  <c r="F86" i="36"/>
  <c r="E86" i="36"/>
  <c r="D86" i="36"/>
  <c r="C86" i="36"/>
  <c r="H85" i="36"/>
  <c r="I85" i="36" s="1"/>
  <c r="J85" i="36" s="1"/>
  <c r="K85" i="36" s="1"/>
  <c r="L85" i="36" s="1"/>
  <c r="M85" i="36" s="1"/>
  <c r="G85" i="36"/>
  <c r="D85" i="36"/>
  <c r="E85" i="36" s="1"/>
  <c r="F85" i="36" s="1"/>
  <c r="F83" i="36"/>
  <c r="G83" i="36" s="1"/>
  <c r="H83" i="36" s="1"/>
  <c r="I83" i="36" s="1"/>
  <c r="J83" i="36" s="1"/>
  <c r="K83" i="36" s="1"/>
  <c r="L83" i="36" s="1"/>
  <c r="M83" i="36" s="1"/>
  <c r="D83" i="36"/>
  <c r="E83" i="36" s="1"/>
  <c r="H81" i="36"/>
  <c r="I81" i="36" s="1"/>
  <c r="J81" i="36" s="1"/>
  <c r="K81" i="36" s="1"/>
  <c r="L81" i="36" s="1"/>
  <c r="M81" i="36" s="1"/>
  <c r="F81" i="36"/>
  <c r="G81" i="36" s="1"/>
  <c r="D81" i="36"/>
  <c r="E81" i="36" s="1"/>
  <c r="G79" i="36"/>
  <c r="F79" i="36"/>
  <c r="E79" i="36"/>
  <c r="D79" i="36"/>
  <c r="C79" i="36"/>
  <c r="F78" i="36"/>
  <c r="G78" i="36" s="1"/>
  <c r="H78" i="36" s="1"/>
  <c r="I78" i="36" s="1"/>
  <c r="J78" i="36" s="1"/>
  <c r="K78" i="36" s="1"/>
  <c r="L78" i="36" s="1"/>
  <c r="M78" i="36" s="1"/>
  <c r="E78" i="36"/>
  <c r="D78" i="36"/>
  <c r="B75" i="36"/>
  <c r="J25" i="36" s="1"/>
  <c r="B73" i="36"/>
  <c r="F24" i="36" s="1"/>
  <c r="B71" i="36"/>
  <c r="D70" i="36"/>
  <c r="F68" i="36"/>
  <c r="G68" i="36" s="1"/>
  <c r="E68" i="36"/>
  <c r="D68" i="36"/>
  <c r="F66" i="36"/>
  <c r="G66" i="36" s="1"/>
  <c r="E66" i="36"/>
  <c r="D66" i="36"/>
  <c r="F64" i="36"/>
  <c r="G64" i="36" s="1"/>
  <c r="E64" i="36"/>
  <c r="D64" i="36"/>
  <c r="E62" i="36"/>
  <c r="F62" i="36" s="1"/>
  <c r="G62" i="36" s="1"/>
  <c r="D62" i="36"/>
  <c r="B59" i="36"/>
  <c r="H13" i="36" s="1"/>
  <c r="AB13" i="36" s="1"/>
  <c r="B57" i="36"/>
  <c r="B55" i="36"/>
  <c r="H54" i="36"/>
  <c r="I54" i="36" s="1"/>
  <c r="G54" i="36"/>
  <c r="F54" i="36"/>
  <c r="C51" i="36"/>
  <c r="J42" i="36"/>
  <c r="I42" i="36"/>
  <c r="G42" i="36"/>
  <c r="H42" i="36" s="1"/>
  <c r="E42" i="36"/>
  <c r="F42" i="36" s="1"/>
  <c r="P37" i="36"/>
  <c r="P36" i="36"/>
  <c r="K36" i="36"/>
  <c r="V35" i="36"/>
  <c r="T35" i="36"/>
  <c r="R35" i="36"/>
  <c r="P35" i="36"/>
  <c r="Z34" i="36"/>
  <c r="Q34" i="36"/>
  <c r="Q33" i="36"/>
  <c r="Z33" i="36" s="1"/>
  <c r="F33" i="36"/>
  <c r="AC32" i="36"/>
  <c r="AB32" i="36"/>
  <c r="Z32" i="36"/>
  <c r="W32" i="36"/>
  <c r="Q32" i="36"/>
  <c r="J32" i="36"/>
  <c r="H32" i="36"/>
  <c r="U32" i="36" s="1"/>
  <c r="Z31" i="36"/>
  <c r="U31" i="36"/>
  <c r="Q31" i="36"/>
  <c r="J31" i="36"/>
  <c r="W31" i="36" s="1"/>
  <c r="H31" i="36"/>
  <c r="AB31" i="36" s="1"/>
  <c r="F31" i="36"/>
  <c r="Z30" i="36"/>
  <c r="S30" i="36"/>
  <c r="Q30" i="36"/>
  <c r="J30" i="36"/>
  <c r="AC30" i="36" s="1"/>
  <c r="H30" i="36"/>
  <c r="F30" i="36"/>
  <c r="AA30" i="36" s="1"/>
  <c r="AA29" i="36"/>
  <c r="U29" i="36"/>
  <c r="S29" i="36"/>
  <c r="Q29" i="36"/>
  <c r="Z29" i="36" s="1"/>
  <c r="J29" i="36"/>
  <c r="AC29" i="36" s="1"/>
  <c r="H29" i="36"/>
  <c r="AB29" i="36" s="1"/>
  <c r="F29" i="36"/>
  <c r="AB28" i="36"/>
  <c r="W28" i="36"/>
  <c r="U28" i="36"/>
  <c r="Q28" i="36"/>
  <c r="Z28" i="36" s="1"/>
  <c r="J28" i="36"/>
  <c r="AC28" i="36" s="1"/>
  <c r="H28" i="36"/>
  <c r="F28" i="36"/>
  <c r="AA28" i="36" s="1"/>
  <c r="AC27" i="36"/>
  <c r="AA27" i="36"/>
  <c r="W27" i="36"/>
  <c r="U27" i="36"/>
  <c r="Q27" i="36"/>
  <c r="Z27" i="36" s="1"/>
  <c r="J27" i="36"/>
  <c r="H27" i="36"/>
  <c r="AB27" i="36" s="1"/>
  <c r="F27" i="36"/>
  <c r="S27" i="36" s="1"/>
  <c r="AA26" i="36"/>
  <c r="Z26" i="36"/>
  <c r="W26" i="36"/>
  <c r="Q26" i="36"/>
  <c r="J26" i="36"/>
  <c r="AC26" i="36" s="1"/>
  <c r="H26" i="36"/>
  <c r="F26" i="36"/>
  <c r="S26" i="36" s="1"/>
  <c r="Z25" i="36"/>
  <c r="Q25" i="36"/>
  <c r="AC24" i="36"/>
  <c r="Q24" i="36"/>
  <c r="Z24" i="36" s="1"/>
  <c r="J24" i="36"/>
  <c r="W24" i="36" s="1"/>
  <c r="Z23" i="36"/>
  <c r="Q23" i="36"/>
  <c r="AA22" i="36"/>
  <c r="S22" i="36"/>
  <c r="Q22" i="36"/>
  <c r="Z22" i="36" s="1"/>
  <c r="J22" i="36"/>
  <c r="AC22" i="36" s="1"/>
  <c r="H22" i="36"/>
  <c r="AB22" i="36" s="1"/>
  <c r="F22" i="36"/>
  <c r="AC20" i="36"/>
  <c r="AA20" i="36"/>
  <c r="Z20" i="36"/>
  <c r="W20" i="36"/>
  <c r="S20" i="36"/>
  <c r="Q20" i="36"/>
  <c r="J20" i="36"/>
  <c r="H20" i="36"/>
  <c r="U20" i="36" s="1"/>
  <c r="F20" i="36"/>
  <c r="C20" i="36"/>
  <c r="Z18" i="36"/>
  <c r="S18" i="36"/>
  <c r="Q18" i="36"/>
  <c r="J18" i="36"/>
  <c r="H18" i="36"/>
  <c r="AB18" i="36" s="1"/>
  <c r="F18" i="36"/>
  <c r="AA18" i="36" s="1"/>
  <c r="C18" i="36"/>
  <c r="Z16" i="36"/>
  <c r="S16" i="36"/>
  <c r="Q16" i="36"/>
  <c r="J16" i="36"/>
  <c r="H16" i="36"/>
  <c r="U16" i="36" s="1"/>
  <c r="F16" i="36"/>
  <c r="AA16" i="36" s="1"/>
  <c r="C16" i="36"/>
  <c r="AC14" i="36"/>
  <c r="W14" i="36"/>
  <c r="S14" i="36"/>
  <c r="Q14" i="36"/>
  <c r="Z14" i="36" s="1"/>
  <c r="J14" i="36"/>
  <c r="H14" i="36"/>
  <c r="AB14" i="36" s="1"/>
  <c r="F14" i="36"/>
  <c r="AA14" i="36" s="1"/>
  <c r="C14" i="36"/>
  <c r="AC13" i="36"/>
  <c r="AA13" i="36"/>
  <c r="W13" i="36"/>
  <c r="U13" i="36"/>
  <c r="Q13" i="36"/>
  <c r="Z13" i="36" s="1"/>
  <c r="J13" i="36"/>
  <c r="F13" i="36"/>
  <c r="S13" i="36" s="1"/>
  <c r="AC12" i="36"/>
  <c r="Z12" i="36"/>
  <c r="Q12" i="36"/>
  <c r="J12" i="36"/>
  <c r="W12" i="36" s="1"/>
  <c r="H12" i="36"/>
  <c r="U12" i="36" s="1"/>
  <c r="F12" i="36"/>
  <c r="AC11" i="36"/>
  <c r="W11" i="36"/>
  <c r="Q11" i="36"/>
  <c r="Z11" i="36" s="1"/>
  <c r="J11" i="36"/>
  <c r="H11" i="36"/>
  <c r="F11" i="36"/>
  <c r="W10" i="36"/>
  <c r="U10" i="36"/>
  <c r="Q10" i="36"/>
  <c r="Z10" i="36" s="1"/>
  <c r="J10" i="36"/>
  <c r="AC10" i="36" s="1"/>
  <c r="H10" i="36"/>
  <c r="AB10" i="36" s="1"/>
  <c r="F10" i="36"/>
  <c r="AB9" i="36"/>
  <c r="Z9" i="36"/>
  <c r="W9" i="36"/>
  <c r="Q9" i="36"/>
  <c r="J9" i="36"/>
  <c r="AC9" i="36" s="1"/>
  <c r="H9" i="36"/>
  <c r="U9" i="36" s="1"/>
  <c r="F9" i="36"/>
  <c r="AC8" i="36"/>
  <c r="AB8" i="36"/>
  <c r="U8" i="36"/>
  <c r="J8" i="36"/>
  <c r="W8" i="36" s="1"/>
  <c r="H8" i="36"/>
  <c r="F8" i="36"/>
  <c r="D3" i="36"/>
  <c r="B112" i="37"/>
  <c r="B110" i="37"/>
  <c r="B108" i="37"/>
  <c r="K107" i="37"/>
  <c r="L107" i="37" s="1"/>
  <c r="M107" i="37" s="1"/>
  <c r="G107" i="37"/>
  <c r="H107" i="37" s="1"/>
  <c r="I107" i="37" s="1"/>
  <c r="J107" i="37" s="1"/>
  <c r="E107" i="37"/>
  <c r="F107" i="37" s="1"/>
  <c r="D107" i="37"/>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J96" i="37"/>
  <c r="K96" i="37" s="1"/>
  <c r="L96" i="37" s="1"/>
  <c r="M96" i="37" s="1"/>
  <c r="G96" i="37"/>
  <c r="H96" i="37" s="1"/>
  <c r="I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B82" i="37"/>
  <c r="H26" i="37" s="1"/>
  <c r="AB26" i="37" s="1"/>
  <c r="B80" i="37"/>
  <c r="F79" i="37"/>
  <c r="G79" i="37" s="1"/>
  <c r="E79" i="37"/>
  <c r="D79" i="37"/>
  <c r="E77" i="37"/>
  <c r="F77" i="37" s="1"/>
  <c r="G77" i="37" s="1"/>
  <c r="D77" i="37"/>
  <c r="E75" i="37"/>
  <c r="F75" i="37" s="1"/>
  <c r="G75" i="37" s="1"/>
  <c r="D75" i="37"/>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AC40" i="37"/>
  <c r="W40" i="37"/>
  <c r="Q40" i="37"/>
  <c r="Z40" i="37" s="1"/>
  <c r="J40" i="37"/>
  <c r="H40" i="37"/>
  <c r="U40" i="37" s="1"/>
  <c r="F40" i="37"/>
  <c r="Z39" i="37"/>
  <c r="Q39" i="37"/>
  <c r="AC38" i="37"/>
  <c r="AA38" i="37"/>
  <c r="Z38" i="37"/>
  <c r="W38" i="37"/>
  <c r="S38" i="37"/>
  <c r="Q38" i="37"/>
  <c r="J38" i="37"/>
  <c r="H38" i="37"/>
  <c r="F38" i="37"/>
  <c r="AB37" i="37"/>
  <c r="Z37" i="37"/>
  <c r="U37" i="37"/>
  <c r="S37" i="37"/>
  <c r="Q37" i="37"/>
  <c r="J37" i="37"/>
  <c r="W37" i="37" s="1"/>
  <c r="H37" i="37"/>
  <c r="F37" i="37"/>
  <c r="AA37" i="37" s="1"/>
  <c r="Z36" i="37"/>
  <c r="U36" i="37"/>
  <c r="Q36" i="37"/>
  <c r="J36" i="37"/>
  <c r="H36" i="37"/>
  <c r="AB36" i="37" s="1"/>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U33" i="37"/>
  <c r="Q33" i="37"/>
  <c r="Z33" i="37" s="1"/>
  <c r="J33" i="37"/>
  <c r="AC33" i="37" s="1"/>
  <c r="H33" i="37"/>
  <c r="AB33" i="37" s="1"/>
  <c r="F33" i="37"/>
  <c r="S33" i="37" s="1"/>
  <c r="W32" i="37"/>
  <c r="S32" i="37"/>
  <c r="Q32" i="37"/>
  <c r="Z32" i="37" s="1"/>
  <c r="J32" i="37"/>
  <c r="AC32" i="37" s="1"/>
  <c r="H32" i="37"/>
  <c r="U32" i="37" s="1"/>
  <c r="F32" i="37"/>
  <c r="AA32" i="37" s="1"/>
  <c r="W31" i="37"/>
  <c r="U31" i="37"/>
  <c r="S31" i="37"/>
  <c r="Q31" i="37"/>
  <c r="Z31" i="37" s="1"/>
  <c r="J31" i="37"/>
  <c r="AC31" i="37" s="1"/>
  <c r="H31" i="37"/>
  <c r="AB31" i="37" s="1"/>
  <c r="F31" i="37"/>
  <c r="AA31" i="37" s="1"/>
  <c r="AC30" i="37"/>
  <c r="AB30" i="37"/>
  <c r="AA30" i="37"/>
  <c r="Z30" i="37"/>
  <c r="W30" i="37"/>
  <c r="Q30" i="37"/>
  <c r="J30" i="37"/>
  <c r="H30" i="37"/>
  <c r="U30" i="37" s="1"/>
  <c r="F30" i="37"/>
  <c r="S30" i="37" s="1"/>
  <c r="AC29" i="37"/>
  <c r="Z29" i="37"/>
  <c r="S29" i="37"/>
  <c r="Q29" i="37"/>
  <c r="J29" i="37"/>
  <c r="W29" i="37" s="1"/>
  <c r="H29" i="37"/>
  <c r="F29" i="37"/>
  <c r="AA29" i="37" s="1"/>
  <c r="Z28" i="37"/>
  <c r="Q28" i="37"/>
  <c r="J28" i="37"/>
  <c r="AB27" i="37"/>
  <c r="U27" i="37"/>
  <c r="Q27" i="37"/>
  <c r="Z27" i="37" s="1"/>
  <c r="J27" i="37"/>
  <c r="H27" i="37"/>
  <c r="F27" i="37"/>
  <c r="AC26" i="37"/>
  <c r="AA26" i="37"/>
  <c r="U26" i="37"/>
  <c r="Q26" i="37"/>
  <c r="Z26" i="37" s="1"/>
  <c r="J26" i="37"/>
  <c r="W26" i="37" s="1"/>
  <c r="F26" i="37"/>
  <c r="S26" i="37" s="1"/>
  <c r="Q25" i="37"/>
  <c r="Z25" i="37" s="1"/>
  <c r="F25" i="37"/>
  <c r="AC23" i="37"/>
  <c r="AB23" i="37"/>
  <c r="W23" i="37"/>
  <c r="S23" i="37"/>
  <c r="Q23" i="37"/>
  <c r="Z23" i="37" s="1"/>
  <c r="J23" i="37"/>
  <c r="H23" i="37"/>
  <c r="U23" i="37" s="1"/>
  <c r="F23" i="37"/>
  <c r="AA23" i="37" s="1"/>
  <c r="C23" i="37"/>
  <c r="Z21" i="37"/>
  <c r="W21" i="37"/>
  <c r="U21" i="37"/>
  <c r="S21" i="37"/>
  <c r="Q21" i="37"/>
  <c r="J21" i="37"/>
  <c r="AC21" i="37" s="1"/>
  <c r="H21" i="37"/>
  <c r="AB21" i="37" s="1"/>
  <c r="F21" i="37"/>
  <c r="AA21" i="37" s="1"/>
  <c r="C21" i="37"/>
  <c r="AC19" i="37"/>
  <c r="Q19" i="37"/>
  <c r="Z19" i="37" s="1"/>
  <c r="J19" i="37"/>
  <c r="W19" i="37" s="1"/>
  <c r="H19" i="37"/>
  <c r="F19" i="37"/>
  <c r="AA19" i="37" s="1"/>
  <c r="C19" i="37"/>
  <c r="AC17" i="37"/>
  <c r="Z17" i="37"/>
  <c r="U17" i="37"/>
  <c r="S17" i="37"/>
  <c r="Q17" i="37"/>
  <c r="J17" i="37"/>
  <c r="W17" i="37" s="1"/>
  <c r="H17" i="37"/>
  <c r="AB17" i="37" s="1"/>
  <c r="F17" i="37"/>
  <c r="AA17" i="37" s="1"/>
  <c r="C17" i="37"/>
  <c r="AA15" i="37"/>
  <c r="W15" i="37"/>
  <c r="S15" i="37"/>
  <c r="Q15" i="37"/>
  <c r="Z15" i="37" s="1"/>
  <c r="J15" i="37"/>
  <c r="AC15" i="37" s="1"/>
  <c r="H15" i="37"/>
  <c r="F15" i="37"/>
  <c r="C15" i="37"/>
  <c r="AC14" i="37"/>
  <c r="Z14" i="37"/>
  <c r="W14" i="37"/>
  <c r="U14" i="37"/>
  <c r="S14" i="37"/>
  <c r="Q14" i="37"/>
  <c r="J14" i="37"/>
  <c r="F14" i="37"/>
  <c r="AA14" i="37" s="1"/>
  <c r="AA13" i="37"/>
  <c r="Z13" i="37"/>
  <c r="U13" i="37"/>
  <c r="Q13" i="37"/>
  <c r="J13" i="37"/>
  <c r="H13" i="37"/>
  <c r="AB13" i="37" s="1"/>
  <c r="F13" i="37"/>
  <c r="S13" i="37" s="1"/>
  <c r="Q12" i="37"/>
  <c r="Z12" i="37" s="1"/>
  <c r="F12" i="37"/>
  <c r="AA11" i="37"/>
  <c r="W11" i="37"/>
  <c r="Q11" i="37"/>
  <c r="Z11" i="37" s="1"/>
  <c r="J11" i="37"/>
  <c r="AC11" i="37" s="1"/>
  <c r="H11" i="37"/>
  <c r="F11" i="37"/>
  <c r="S11" i="37" s="1"/>
  <c r="AC10" i="37"/>
  <c r="AB10" i="37"/>
  <c r="AA10" i="37"/>
  <c r="Q10" i="37"/>
  <c r="Z10" i="37" s="1"/>
  <c r="J10" i="37"/>
  <c r="W10" i="37" s="1"/>
  <c r="H10" i="37"/>
  <c r="U10" i="37" s="1"/>
  <c r="F10" i="37"/>
  <c r="S10" i="37" s="1"/>
  <c r="Z9" i="37"/>
  <c r="Q9" i="37"/>
  <c r="AC8" i="37"/>
  <c r="AB8" i="37"/>
  <c r="AA8" i="37"/>
  <c r="U8" i="37"/>
  <c r="J8" i="37"/>
  <c r="W8" i="37" s="1"/>
  <c r="H8" i="37"/>
  <c r="F8" i="37"/>
  <c r="S8" i="37" s="1"/>
  <c r="B130" i="33"/>
  <c r="B128" i="33"/>
  <c r="F45" i="33" s="1"/>
  <c r="B126" i="33"/>
  <c r="E125" i="33"/>
  <c r="F125" i="33" s="1"/>
  <c r="G125" i="33" s="1"/>
  <c r="D125" i="33"/>
  <c r="E123" i="33"/>
  <c r="F123" i="33" s="1"/>
  <c r="G123" i="33" s="1"/>
  <c r="H123" i="33" s="1"/>
  <c r="I123" i="33" s="1"/>
  <c r="J123" i="33" s="1"/>
  <c r="K123" i="33" s="1"/>
  <c r="L123" i="33" s="1"/>
  <c r="M123" i="33" s="1"/>
  <c r="D123" i="33"/>
  <c r="J121" i="33"/>
  <c r="K121" i="33" s="1"/>
  <c r="L121" i="33" s="1"/>
  <c r="M121" i="33" s="1"/>
  <c r="E121" i="33"/>
  <c r="F121" i="33" s="1"/>
  <c r="G121" i="33" s="1"/>
  <c r="H121" i="33" s="1"/>
  <c r="I121" i="33" s="1"/>
  <c r="D121" i="33"/>
  <c r="G117" i="33"/>
  <c r="E117" i="33"/>
  <c r="F117" i="33" s="1"/>
  <c r="D117" i="33"/>
  <c r="J115" i="33"/>
  <c r="K115" i="33" s="1"/>
  <c r="L115" i="33" s="1"/>
  <c r="M115" i="33" s="1"/>
  <c r="E115" i="33"/>
  <c r="F115" i="33" s="1"/>
  <c r="G115" i="33" s="1"/>
  <c r="H115" i="33" s="1"/>
  <c r="I115" i="33" s="1"/>
  <c r="D115" i="33"/>
  <c r="M113" i="33"/>
  <c r="D113" i="33"/>
  <c r="E113" i="33" s="1"/>
  <c r="F113" i="33" s="1"/>
  <c r="G113" i="33" s="1"/>
  <c r="H113" i="33" s="1"/>
  <c r="I113" i="33" s="1"/>
  <c r="J113" i="33" s="1"/>
  <c r="K113" i="33" s="1"/>
  <c r="L113" i="33" s="1"/>
  <c r="M111" i="33"/>
  <c r="E111" i="33"/>
  <c r="F111" i="33" s="1"/>
  <c r="G111" i="33" s="1"/>
  <c r="H111" i="33" s="1"/>
  <c r="I111" i="33" s="1"/>
  <c r="J111" i="33" s="1"/>
  <c r="K111" i="33" s="1"/>
  <c r="L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B94" i="33"/>
  <c r="J29" i="33" s="1"/>
  <c r="B92" i="33"/>
  <c r="J91" i="33"/>
  <c r="K91" i="33" s="1"/>
  <c r="L91" i="33" s="1"/>
  <c r="M91" i="33" s="1"/>
  <c r="H91" i="33"/>
  <c r="I91" i="33" s="1"/>
  <c r="E91" i="33"/>
  <c r="F91" i="33" s="1"/>
  <c r="G91" i="33" s="1"/>
  <c r="D91" i="33"/>
  <c r="B90" i="33"/>
  <c r="B88" i="33"/>
  <c r="G87" i="33"/>
  <c r="H87" i="33" s="1"/>
  <c r="I87" i="33" s="1"/>
  <c r="J87" i="33" s="1"/>
  <c r="K87" i="33" s="1"/>
  <c r="L87" i="33" s="1"/>
  <c r="M87" i="33" s="1"/>
  <c r="E87" i="33"/>
  <c r="F87" i="33" s="1"/>
  <c r="D87" i="33"/>
  <c r="G85" i="33"/>
  <c r="E85" i="33"/>
  <c r="F85" i="33" s="1"/>
  <c r="D85" i="33"/>
  <c r="F83" i="33"/>
  <c r="G83" i="33" s="1"/>
  <c r="D83" i="33"/>
  <c r="E83" i="33" s="1"/>
  <c r="E81" i="33"/>
  <c r="F81" i="33" s="1"/>
  <c r="G81" i="33" s="1"/>
  <c r="D81" i="33"/>
  <c r="E79" i="33"/>
  <c r="F79" i="33" s="1"/>
  <c r="G79" i="33" s="1"/>
  <c r="D79" i="33"/>
  <c r="G77" i="33"/>
  <c r="E77" i="33"/>
  <c r="F77" i="33" s="1"/>
  <c r="D77" i="33"/>
  <c r="B74" i="33"/>
  <c r="B72" i="33"/>
  <c r="B70" i="33"/>
  <c r="J69" i="33"/>
  <c r="K69" i="33" s="1"/>
  <c r="L69" i="33" s="1"/>
  <c r="M69" i="33" s="1"/>
  <c r="F69" i="33"/>
  <c r="G69" i="33" s="1"/>
  <c r="H69" i="33" s="1"/>
  <c r="I69" i="33" s="1"/>
  <c r="E69" i="33"/>
  <c r="D69" i="33"/>
  <c r="M67" i="33"/>
  <c r="L67" i="33"/>
  <c r="K67" i="33"/>
  <c r="J67" i="33"/>
  <c r="I67" i="33"/>
  <c r="H67" i="33"/>
  <c r="G67" i="33"/>
  <c r="F67" i="33"/>
  <c r="E67" i="33"/>
  <c r="D67" i="33"/>
  <c r="C67" i="33"/>
  <c r="H66" i="33"/>
  <c r="I66" i="33" s="1"/>
  <c r="G66" i="33"/>
  <c r="C63" i="33"/>
  <c r="F9" i="33" s="1"/>
  <c r="J54" i="33"/>
  <c r="I54" i="33"/>
  <c r="H54" i="33"/>
  <c r="G54" i="33"/>
  <c r="E54" i="33"/>
  <c r="F54" i="33" s="1"/>
  <c r="P49" i="33"/>
  <c r="P48" i="33"/>
  <c r="K48" i="33"/>
  <c r="V47" i="33"/>
  <c r="T47" i="33"/>
  <c r="R47" i="33"/>
  <c r="P47" i="33"/>
  <c r="AB46" i="33"/>
  <c r="Z46" i="33"/>
  <c r="W46" i="33"/>
  <c r="U46" i="33"/>
  <c r="S46" i="33"/>
  <c r="Q46" i="33"/>
  <c r="J46" i="33"/>
  <c r="AC46" i="33" s="1"/>
  <c r="H46" i="33"/>
  <c r="F46" i="33"/>
  <c r="AA46" i="33" s="1"/>
  <c r="Z45" i="33"/>
  <c r="Q45" i="33"/>
  <c r="H45" i="33"/>
  <c r="Q44" i="33"/>
  <c r="Z44" i="33" s="1"/>
  <c r="AC43" i="33"/>
  <c r="Z43" i="33"/>
  <c r="W43" i="33"/>
  <c r="U43" i="33"/>
  <c r="S43" i="33"/>
  <c r="Q43" i="33"/>
  <c r="J43" i="33"/>
  <c r="H43" i="33"/>
  <c r="AB43" i="33" s="1"/>
  <c r="F43" i="33"/>
  <c r="AA43" i="33" s="1"/>
  <c r="AC42" i="33"/>
  <c r="AB42" i="33"/>
  <c r="Z42" i="33"/>
  <c r="W42" i="33"/>
  <c r="Q42" i="33"/>
  <c r="J42" i="33"/>
  <c r="H42" i="33"/>
  <c r="U42" i="33" s="1"/>
  <c r="F42" i="33"/>
  <c r="AB41" i="33"/>
  <c r="S41" i="33"/>
  <c r="Q41" i="33"/>
  <c r="Z41" i="33" s="1"/>
  <c r="J41" i="33"/>
  <c r="W41" i="33" s="1"/>
  <c r="H41" i="33"/>
  <c r="U41" i="33" s="1"/>
  <c r="F41" i="33"/>
  <c r="AA41" i="33" s="1"/>
  <c r="AC40" i="33"/>
  <c r="Z40" i="33"/>
  <c r="U40" i="33"/>
  <c r="Q40" i="33"/>
  <c r="J40" i="33"/>
  <c r="W40" i="33" s="1"/>
  <c r="H40" i="33"/>
  <c r="AB40" i="33" s="1"/>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W36" i="33"/>
  <c r="S36" i="33"/>
  <c r="Q36" i="33"/>
  <c r="Z36" i="33" s="1"/>
  <c r="J36" i="33"/>
  <c r="AC36" i="33" s="1"/>
  <c r="H36" i="33"/>
  <c r="U36" i="33" s="1"/>
  <c r="F36" i="33"/>
  <c r="AA36" i="33" s="1"/>
  <c r="AB35" i="33"/>
  <c r="W35" i="33"/>
  <c r="U35" i="33"/>
  <c r="S35" i="33"/>
  <c r="Q35" i="33"/>
  <c r="Z35" i="33" s="1"/>
  <c r="J35" i="33"/>
  <c r="AC35" i="33" s="1"/>
  <c r="H35" i="33"/>
  <c r="F35" i="33"/>
  <c r="AA35" i="33" s="1"/>
  <c r="AB34" i="33"/>
  <c r="Z34" i="33"/>
  <c r="W34" i="33"/>
  <c r="Q34" i="33"/>
  <c r="J34" i="33"/>
  <c r="AC34" i="33" s="1"/>
  <c r="H34" i="33"/>
  <c r="U34" i="33" s="1"/>
  <c r="F34" i="33"/>
  <c r="AA34" i="33" s="1"/>
  <c r="AB33" i="33"/>
  <c r="Z33" i="33"/>
  <c r="U33" i="33"/>
  <c r="S33" i="33"/>
  <c r="Q33" i="33"/>
  <c r="J33" i="33"/>
  <c r="W33" i="33" s="1"/>
  <c r="H33" i="33"/>
  <c r="F33" i="33"/>
  <c r="AA33" i="33" s="1"/>
  <c r="Z32" i="33"/>
  <c r="U32" i="33"/>
  <c r="Q32" i="33"/>
  <c r="J32" i="33"/>
  <c r="H32" i="33"/>
  <c r="AB32" i="33" s="1"/>
  <c r="F32" i="33"/>
  <c r="S32" i="33" s="1"/>
  <c r="AB31" i="33"/>
  <c r="Z31" i="33"/>
  <c r="U31" i="33"/>
  <c r="Q31" i="33"/>
  <c r="J31" i="33"/>
  <c r="H31" i="33"/>
  <c r="AC30" i="33"/>
  <c r="W30" i="33"/>
  <c r="U30" i="33"/>
  <c r="Q30" i="33"/>
  <c r="Z30" i="33" s="1"/>
  <c r="J30" i="33"/>
  <c r="H30" i="33"/>
  <c r="AB30" i="33" s="1"/>
  <c r="F30" i="33"/>
  <c r="Z29" i="33"/>
  <c r="Q29" i="33"/>
  <c r="H29" i="33"/>
  <c r="U29" i="33" s="1"/>
  <c r="AC28" i="33"/>
  <c r="AA28" i="33"/>
  <c r="W28" i="33"/>
  <c r="Q28" i="33"/>
  <c r="Z28" i="33" s="1"/>
  <c r="J28" i="33"/>
  <c r="H28" i="33"/>
  <c r="U28" i="33" s="1"/>
  <c r="F28" i="33"/>
  <c r="S28" i="33" s="1"/>
  <c r="Q27" i="33"/>
  <c r="Z27" i="33" s="1"/>
  <c r="AC26" i="33"/>
  <c r="Z26" i="33"/>
  <c r="W26" i="33"/>
  <c r="Q26" i="33"/>
  <c r="J26" i="33"/>
  <c r="H26" i="33"/>
  <c r="F26" i="33"/>
  <c r="S26" i="33" s="1"/>
  <c r="U25" i="33"/>
  <c r="S25" i="33"/>
  <c r="Q25" i="33"/>
  <c r="Z25" i="33" s="1"/>
  <c r="J25" i="33"/>
  <c r="W25" i="33" s="1"/>
  <c r="H25" i="33"/>
  <c r="AB25" i="33" s="1"/>
  <c r="F25" i="33"/>
  <c r="AA25" i="33" s="1"/>
  <c r="Z23" i="33"/>
  <c r="U23" i="33"/>
  <c r="Q23" i="33"/>
  <c r="J23" i="33"/>
  <c r="H23" i="33"/>
  <c r="AB23" i="33" s="1"/>
  <c r="F23" i="33"/>
  <c r="S23" i="33" s="1"/>
  <c r="C23" i="33"/>
  <c r="Q21" i="33"/>
  <c r="Z21" i="33" s="1"/>
  <c r="J21" i="33"/>
  <c r="H21" i="33"/>
  <c r="U21" i="33" s="1"/>
  <c r="F21" i="33"/>
  <c r="C21" i="33"/>
  <c r="AC19" i="33"/>
  <c r="Z19" i="33"/>
  <c r="W19" i="33"/>
  <c r="U19" i="33"/>
  <c r="S19" i="33"/>
  <c r="Q19" i="33"/>
  <c r="J19" i="33"/>
  <c r="H19" i="33"/>
  <c r="AB19" i="33" s="1"/>
  <c r="F19" i="33"/>
  <c r="AA19" i="33" s="1"/>
  <c r="C19" i="33"/>
  <c r="AC17" i="33"/>
  <c r="W17" i="33"/>
  <c r="S17" i="33"/>
  <c r="Q17" i="33"/>
  <c r="Z17" i="33" s="1"/>
  <c r="J17" i="33"/>
  <c r="H17" i="33"/>
  <c r="U17" i="33" s="1"/>
  <c r="F17" i="33"/>
  <c r="AA17" i="33" s="1"/>
  <c r="C17" i="33"/>
  <c r="AA15" i="33"/>
  <c r="Z15" i="33"/>
  <c r="U15" i="33"/>
  <c r="Q15" i="33"/>
  <c r="J15" i="33"/>
  <c r="W15" i="33" s="1"/>
  <c r="H15" i="33"/>
  <c r="AB15" i="33" s="1"/>
  <c r="F15" i="33"/>
  <c r="S15" i="33" s="1"/>
  <c r="C15" i="33"/>
  <c r="Q14" i="33"/>
  <c r="Z14" i="33" s="1"/>
  <c r="Q13" i="33"/>
  <c r="Z13" i="33" s="1"/>
  <c r="H13" i="33"/>
  <c r="AC12" i="33"/>
  <c r="Z12" i="33"/>
  <c r="W12" i="33"/>
  <c r="Q12" i="33"/>
  <c r="J12" i="33"/>
  <c r="H12" i="33"/>
  <c r="F12" i="33"/>
  <c r="AB11" i="33"/>
  <c r="U11" i="33"/>
  <c r="S11" i="33"/>
  <c r="Q11" i="33"/>
  <c r="Z11" i="33" s="1"/>
  <c r="J11" i="33"/>
  <c r="W11" i="33" s="1"/>
  <c r="H11" i="33"/>
  <c r="F11" i="33"/>
  <c r="AA11" i="33" s="1"/>
  <c r="Z10" i="33"/>
  <c r="U10" i="33"/>
  <c r="S10" i="33"/>
  <c r="Q10" i="33"/>
  <c r="J10" i="33"/>
  <c r="W10" i="33" s="1"/>
  <c r="H10" i="33"/>
  <c r="AB10" i="33" s="1"/>
  <c r="F10" i="33"/>
  <c r="AA10" i="33" s="1"/>
  <c r="Z9" i="33"/>
  <c r="Q9" i="33"/>
  <c r="H9" i="33"/>
  <c r="AB8" i="33"/>
  <c r="U8" i="33"/>
  <c r="S8" i="33"/>
  <c r="J8" i="33"/>
  <c r="H8" i="33"/>
  <c r="F8" i="33"/>
  <c r="AA8" i="33" s="1"/>
  <c r="C145" i="21"/>
  <c r="K139" i="21" s="1"/>
  <c r="J142" i="21"/>
  <c r="J140" i="21"/>
  <c r="B130" i="21"/>
  <c r="F46" i="21" s="1"/>
  <c r="B128" i="21"/>
  <c r="B126" i="21"/>
  <c r="J44" i="21" s="1"/>
  <c r="D125" i="21"/>
  <c r="E125" i="21" s="1"/>
  <c r="F125" i="21" s="1"/>
  <c r="G125" i="21" s="1"/>
  <c r="F123" i="21"/>
  <c r="G123" i="21" s="1"/>
  <c r="H123" i="21" s="1"/>
  <c r="I123" i="21" s="1"/>
  <c r="J123" i="21" s="1"/>
  <c r="K123" i="21" s="1"/>
  <c r="L123" i="21" s="1"/>
  <c r="M123" i="21" s="1"/>
  <c r="E123" i="21"/>
  <c r="D123" i="21"/>
  <c r="H119" i="21"/>
  <c r="I119" i="21" s="1"/>
  <c r="J119" i="21" s="1"/>
  <c r="K119" i="21" s="1"/>
  <c r="L119" i="21" s="1"/>
  <c r="M119" i="21" s="1"/>
  <c r="E119" i="21"/>
  <c r="F119" i="21" s="1"/>
  <c r="G119" i="21" s="1"/>
  <c r="D119" i="2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L110" i="21"/>
  <c r="M110" i="21" s="1"/>
  <c r="H110" i="21"/>
  <c r="I110" i="21" s="1"/>
  <c r="J110" i="21" s="1"/>
  <c r="K110" i="21" s="1"/>
  <c r="D110" i="21"/>
  <c r="E110" i="21" s="1"/>
  <c r="F110" i="21" s="1"/>
  <c r="G110" i="21" s="1"/>
  <c r="E108" i="21"/>
  <c r="F108" i="21" s="1"/>
  <c r="G108" i="21" s="1"/>
  <c r="H108" i="21" s="1"/>
  <c r="I108" i="21" s="1"/>
  <c r="J108" i="21" s="1"/>
  <c r="K108" i="21" s="1"/>
  <c r="L108" i="21" s="1"/>
  <c r="M108" i="21" s="1"/>
  <c r="D108" i="2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J28" i="21" s="1"/>
  <c r="B90" i="21"/>
  <c r="H27" i="21" s="1"/>
  <c r="H89" i="21"/>
  <c r="I89" i="21" s="1"/>
  <c r="J89" i="21" s="1"/>
  <c r="K89" i="21" s="1"/>
  <c r="L89" i="21" s="1"/>
  <c r="M89" i="21" s="1"/>
  <c r="F89" i="21"/>
  <c r="G89" i="21" s="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K48" i="21"/>
  <c r="V47" i="21"/>
  <c r="T47" i="21"/>
  <c r="R47" i="21"/>
  <c r="P47" i="21"/>
  <c r="AB46" i="21"/>
  <c r="Z46" i="21"/>
  <c r="W46" i="21"/>
  <c r="Q46" i="21"/>
  <c r="J46" i="21"/>
  <c r="AC46" i="21" s="1"/>
  <c r="H46" i="21"/>
  <c r="U46" i="21" s="1"/>
  <c r="AA45" i="21"/>
  <c r="Z45" i="21"/>
  <c r="W45" i="21"/>
  <c r="Q45" i="21"/>
  <c r="J45" i="21"/>
  <c r="AC45" i="21" s="1"/>
  <c r="H45" i="21"/>
  <c r="F45" i="21"/>
  <c r="S45" i="21" s="1"/>
  <c r="AB44" i="21"/>
  <c r="U44" i="21"/>
  <c r="S44" i="21"/>
  <c r="Q44" i="21"/>
  <c r="Z44" i="21" s="1"/>
  <c r="H44" i="21"/>
  <c r="F44" i="21"/>
  <c r="AA44" i="21" s="1"/>
  <c r="AC43" i="21"/>
  <c r="Z43" i="21"/>
  <c r="W43" i="21"/>
  <c r="U43" i="21"/>
  <c r="S43" i="21"/>
  <c r="Q43" i="21"/>
  <c r="J43" i="21"/>
  <c r="H43" i="21"/>
  <c r="AB43" i="21" s="1"/>
  <c r="F43" i="21"/>
  <c r="AA43" i="21" s="1"/>
  <c r="AB42" i="21"/>
  <c r="U42" i="21"/>
  <c r="Q42" i="21"/>
  <c r="Z42" i="21" s="1"/>
  <c r="J42" i="21"/>
  <c r="H42" i="21"/>
  <c r="F42" i="21"/>
  <c r="S42" i="21" s="1"/>
  <c r="AA41" i="21"/>
  <c r="U41" i="21"/>
  <c r="S41" i="21"/>
  <c r="Q41" i="21"/>
  <c r="Z41" i="21" s="1"/>
  <c r="J41" i="21"/>
  <c r="H41" i="21"/>
  <c r="AB41" i="21" s="1"/>
  <c r="F41" i="21"/>
  <c r="AB40" i="21"/>
  <c r="W40" i="21"/>
  <c r="U40" i="21"/>
  <c r="Q40" i="21"/>
  <c r="Z40" i="21" s="1"/>
  <c r="J40" i="21"/>
  <c r="AC40" i="21" s="1"/>
  <c r="H40" i="21"/>
  <c r="F40" i="21"/>
  <c r="Q39" i="21"/>
  <c r="Z39" i="21" s="1"/>
  <c r="J39" i="21"/>
  <c r="H39" i="21"/>
  <c r="U39" i="21" s="1"/>
  <c r="F39" i="21"/>
  <c r="AA39" i="21" s="1"/>
  <c r="W38" i="21"/>
  <c r="U38" i="21"/>
  <c r="S38" i="21"/>
  <c r="Q38" i="21"/>
  <c r="Z38" i="21" s="1"/>
  <c r="J38" i="21"/>
  <c r="AC38" i="21" s="1"/>
  <c r="H38" i="21"/>
  <c r="AB38" i="21" s="1"/>
  <c r="F38" i="21"/>
  <c r="AA38" i="21" s="1"/>
  <c r="AC37" i="21"/>
  <c r="AA37" i="21"/>
  <c r="Z37" i="21"/>
  <c r="W37" i="21"/>
  <c r="Q37" i="21"/>
  <c r="J37" i="21"/>
  <c r="H37" i="21"/>
  <c r="U37" i="21" s="1"/>
  <c r="F37" i="21"/>
  <c r="S37" i="21" s="1"/>
  <c r="S36" i="21"/>
  <c r="Q36" i="21"/>
  <c r="Z36" i="21" s="1"/>
  <c r="J36" i="21"/>
  <c r="W36" i="21" s="1"/>
  <c r="H36" i="21"/>
  <c r="AB36" i="21" s="1"/>
  <c r="F36" i="21"/>
  <c r="AA36" i="21" s="1"/>
  <c r="AA35" i="21"/>
  <c r="Z35" i="21"/>
  <c r="U35" i="21"/>
  <c r="Q35" i="21"/>
  <c r="J35" i="21"/>
  <c r="H35" i="21"/>
  <c r="AB35" i="21" s="1"/>
  <c r="F35" i="21"/>
  <c r="S35" i="21" s="1"/>
  <c r="Z34" i="21"/>
  <c r="Q34" i="21"/>
  <c r="J34" i="21"/>
  <c r="H34" i="21"/>
  <c r="F34" i="21"/>
  <c r="S34" i="21" s="1"/>
  <c r="U33" i="21"/>
  <c r="Q33" i="21"/>
  <c r="Z33" i="21" s="1"/>
  <c r="J33" i="21"/>
  <c r="H33" i="21"/>
  <c r="AB33" i="21" s="1"/>
  <c r="F33" i="21"/>
  <c r="AA33" i="21" s="1"/>
  <c r="AA32" i="21"/>
  <c r="W32" i="21"/>
  <c r="Q32" i="21"/>
  <c r="Z32" i="21" s="1"/>
  <c r="J32" i="21"/>
  <c r="AC32" i="21" s="1"/>
  <c r="H32" i="21"/>
  <c r="F32" i="21"/>
  <c r="S32" i="21" s="1"/>
  <c r="AC31" i="21"/>
  <c r="Q31" i="21"/>
  <c r="Z31" i="21" s="1"/>
  <c r="J31" i="21"/>
  <c r="W31" i="21" s="1"/>
  <c r="Z30" i="21"/>
  <c r="W30" i="21"/>
  <c r="Q30" i="21"/>
  <c r="J30" i="21"/>
  <c r="AC30" i="21" s="1"/>
  <c r="H30" i="21"/>
  <c r="Z29" i="21"/>
  <c r="Q29" i="21"/>
  <c r="J29" i="21"/>
  <c r="F29" i="21"/>
  <c r="S29" i="21" s="1"/>
  <c r="AB28" i="21"/>
  <c r="U28" i="21"/>
  <c r="S28" i="21"/>
  <c r="Q28" i="21"/>
  <c r="Z28" i="21" s="1"/>
  <c r="H28" i="21"/>
  <c r="F28" i="21"/>
  <c r="AA28" i="21" s="1"/>
  <c r="Z27" i="21"/>
  <c r="W27" i="21"/>
  <c r="Q27" i="21"/>
  <c r="J27" i="21"/>
  <c r="AC27" i="21" s="1"/>
  <c r="F27" i="21"/>
  <c r="S27" i="21" s="1"/>
  <c r="AB26" i="21"/>
  <c r="U26" i="21"/>
  <c r="Q26" i="21"/>
  <c r="Z26" i="21" s="1"/>
  <c r="J26" i="21"/>
  <c r="W26" i="21" s="1"/>
  <c r="H26" i="21"/>
  <c r="F26" i="21"/>
  <c r="S26" i="21" s="1"/>
  <c r="AC25" i="21"/>
  <c r="U25" i="21"/>
  <c r="S25" i="21"/>
  <c r="Q25" i="21"/>
  <c r="Z25" i="21" s="1"/>
  <c r="J25" i="21"/>
  <c r="W25" i="21" s="1"/>
  <c r="H25" i="21"/>
  <c r="AB25" i="21" s="1"/>
  <c r="F25" i="21"/>
  <c r="AA25" i="21" s="1"/>
  <c r="AB23" i="21"/>
  <c r="W23" i="21"/>
  <c r="U23" i="21"/>
  <c r="S23" i="21"/>
  <c r="Q23" i="21"/>
  <c r="Z23" i="21" s="1"/>
  <c r="J23" i="21"/>
  <c r="AC23" i="21" s="1"/>
  <c r="H23" i="21"/>
  <c r="F23" i="21"/>
  <c r="AA23" i="21" s="1"/>
  <c r="C23" i="21"/>
  <c r="AB21" i="21"/>
  <c r="Z21" i="21"/>
  <c r="U21" i="21"/>
  <c r="Q21" i="21"/>
  <c r="J21" i="21"/>
  <c r="W21" i="21" s="1"/>
  <c r="H21" i="21"/>
  <c r="F21" i="21"/>
  <c r="C21" i="21"/>
  <c r="Z19" i="21"/>
  <c r="W19" i="21"/>
  <c r="Q19" i="21"/>
  <c r="J19" i="21"/>
  <c r="AC19" i="21" s="1"/>
  <c r="H19" i="21"/>
  <c r="F19" i="21"/>
  <c r="AA19" i="21" s="1"/>
  <c r="C19" i="21"/>
  <c r="U17" i="21"/>
  <c r="Q17" i="21"/>
  <c r="Z17" i="21" s="1"/>
  <c r="J17" i="21"/>
  <c r="W17" i="21" s="1"/>
  <c r="H17" i="21"/>
  <c r="AB17" i="21" s="1"/>
  <c r="F17" i="21"/>
  <c r="AA17" i="21" s="1"/>
  <c r="C17" i="21"/>
  <c r="W15" i="21"/>
  <c r="U15" i="21"/>
  <c r="S15" i="21"/>
  <c r="Q15" i="21"/>
  <c r="Z15" i="21" s="1"/>
  <c r="J15" i="21"/>
  <c r="AC15" i="21" s="1"/>
  <c r="H15" i="21"/>
  <c r="AB15" i="21" s="1"/>
  <c r="F15" i="21"/>
  <c r="AA15" i="21" s="1"/>
  <c r="C15" i="21"/>
  <c r="AB14" i="21"/>
  <c r="AA14" i="21"/>
  <c r="Z14" i="21"/>
  <c r="Q14" i="21"/>
  <c r="J14" i="21"/>
  <c r="W14" i="21" s="1"/>
  <c r="H14" i="21"/>
  <c r="U14" i="21" s="1"/>
  <c r="F14" i="21"/>
  <c r="S14" i="21" s="1"/>
  <c r="AC13" i="21"/>
  <c r="Z13" i="21"/>
  <c r="Q13" i="21"/>
  <c r="J13" i="21"/>
  <c r="W13" i="21" s="1"/>
  <c r="F13" i="21"/>
  <c r="S13" i="21" s="1"/>
  <c r="Z12" i="21"/>
  <c r="Q12" i="21"/>
  <c r="AC11" i="21"/>
  <c r="AA11" i="21"/>
  <c r="U11" i="21"/>
  <c r="S11" i="21"/>
  <c r="Q11" i="21"/>
  <c r="Z11" i="21" s="1"/>
  <c r="J11" i="21"/>
  <c r="W11" i="21" s="1"/>
  <c r="H11" i="21"/>
  <c r="AB11" i="21" s="1"/>
  <c r="F11" i="21"/>
  <c r="Z10" i="21"/>
  <c r="W10" i="21"/>
  <c r="S10" i="21"/>
  <c r="Q10" i="21"/>
  <c r="J10" i="21"/>
  <c r="AC10" i="21" s="1"/>
  <c r="H10" i="21"/>
  <c r="AB10" i="21" s="1"/>
  <c r="F10" i="21"/>
  <c r="AA10" i="21" s="1"/>
  <c r="AC9" i="21"/>
  <c r="AA9" i="21"/>
  <c r="Z9" i="21"/>
  <c r="S9" i="21"/>
  <c r="Q9" i="21"/>
  <c r="J9" i="21"/>
  <c r="W9" i="21" s="1"/>
  <c r="H9" i="21"/>
  <c r="U9" i="21" s="1"/>
  <c r="F9" i="21"/>
  <c r="AC8" i="21"/>
  <c r="AB8" i="21"/>
  <c r="W8" i="21"/>
  <c r="U8" i="21"/>
  <c r="J8" i="21"/>
  <c r="H8" i="21"/>
  <c r="F8" i="21"/>
  <c r="E13" i="70"/>
  <c r="A13" i="70"/>
  <c r="A12" i="70"/>
  <c r="E12" i="70" s="1"/>
  <c r="A11" i="70"/>
  <c r="E11" i="70" s="1"/>
  <c r="E10" i="70"/>
  <c r="A10" i="70"/>
  <c r="A9" i="70"/>
  <c r="E9" i="70" s="1"/>
  <c r="A8" i="70"/>
  <c r="E8" i="70" s="1"/>
  <c r="E7" i="70"/>
  <c r="A7" i="70"/>
  <c r="A6" i="70"/>
  <c r="R43" i="77"/>
  <c r="R41" i="77"/>
  <c r="R35" i="77" s="1"/>
  <c r="R40" i="77"/>
  <c r="F36" i="77"/>
  <c r="U34"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P61" i="67"/>
  <c r="Q59" i="67"/>
  <c r="K59" i="67"/>
  <c r="F59" i="67"/>
  <c r="Q58" i="67"/>
  <c r="Q51" i="67"/>
  <c r="J51" i="67"/>
  <c r="J50" i="67"/>
  <c r="M47" i="67"/>
  <c r="D46" i="67"/>
  <c r="F33" i="67"/>
  <c r="F61" i="67" s="1"/>
  <c r="F31" i="67"/>
  <c r="F28" i="67"/>
  <c r="F24" i="67"/>
  <c r="D24" i="67"/>
  <c r="C24" i="67"/>
  <c r="F23" i="67"/>
  <c r="D23" i="67"/>
  <c r="D22" i="67"/>
  <c r="F21" i="67"/>
  <c r="M20" i="67"/>
  <c r="F20" i="67"/>
  <c r="M19" i="67"/>
  <c r="F18" i="67"/>
  <c r="M17" i="67"/>
  <c r="F17" i="67"/>
  <c r="F15" i="67"/>
  <c r="Q72" i="15"/>
  <c r="F61" i="15"/>
  <c r="Q59" i="15"/>
  <c r="K59" i="15"/>
  <c r="F59" i="15"/>
  <c r="Q58" i="15"/>
  <c r="L50" i="15"/>
  <c r="J50" i="15"/>
  <c r="M47" i="15"/>
  <c r="D46" i="15"/>
  <c r="F34" i="15"/>
  <c r="F33" i="15"/>
  <c r="F31" i="15"/>
  <c r="F28" i="15"/>
  <c r="F24" i="15"/>
  <c r="D24" i="15"/>
  <c r="F23" i="15"/>
  <c r="D22" i="15" s="1"/>
  <c r="F21" i="15"/>
  <c r="F20" i="15"/>
  <c r="M19" i="15"/>
  <c r="F18" i="15"/>
  <c r="M17" i="15"/>
  <c r="F17" i="15"/>
  <c r="F15" i="15"/>
  <c r="B131" i="34"/>
  <c r="F47" i="34" s="1"/>
  <c r="AA47" i="34" s="1"/>
  <c r="B129" i="34"/>
  <c r="B127" i="34"/>
  <c r="D126" i="34"/>
  <c r="I124" i="34"/>
  <c r="J124" i="34" s="1"/>
  <c r="K124" i="34" s="1"/>
  <c r="L124" i="34" s="1"/>
  <c r="M124" i="34" s="1"/>
  <c r="D124" i="34"/>
  <c r="E124" i="34" s="1"/>
  <c r="F124" i="34" s="1"/>
  <c r="G124" i="34" s="1"/>
  <c r="H124" i="34" s="1"/>
  <c r="E120" i="34"/>
  <c r="F120" i="34" s="1"/>
  <c r="G120" i="34" s="1"/>
  <c r="H120" i="34" s="1"/>
  <c r="I120" i="34" s="1"/>
  <c r="J120" i="34" s="1"/>
  <c r="K120" i="34" s="1"/>
  <c r="L120" i="34" s="1"/>
  <c r="M120" i="34" s="1"/>
  <c r="D120" i="34"/>
  <c r="E118" i="34"/>
  <c r="D118" i="34"/>
  <c r="G116" i="34"/>
  <c r="H116" i="34" s="1"/>
  <c r="I116" i="34" s="1"/>
  <c r="J116" i="34" s="1"/>
  <c r="K116" i="34" s="1"/>
  <c r="L116" i="34" s="1"/>
  <c r="M116" i="34" s="1"/>
  <c r="E116" i="34"/>
  <c r="F116" i="34" s="1"/>
  <c r="D116" i="34"/>
  <c r="L114" i="34"/>
  <c r="M114" i="34" s="1"/>
  <c r="K114" i="34"/>
  <c r="E114" i="34"/>
  <c r="F114" i="34" s="1"/>
  <c r="G114" i="34" s="1"/>
  <c r="H114" i="34" s="1"/>
  <c r="I114" i="34" s="1"/>
  <c r="J114" i="34" s="1"/>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J31" i="34" s="1"/>
  <c r="AC31" i="34" s="1"/>
  <c r="B95" i="34"/>
  <c r="B93" i="34"/>
  <c r="F29" i="34" s="1"/>
  <c r="H92" i="34"/>
  <c r="I92" i="34" s="1"/>
  <c r="J92" i="34" s="1"/>
  <c r="K92" i="34" s="1"/>
  <c r="L92" i="34" s="1"/>
  <c r="M92" i="34" s="1"/>
  <c r="G92" i="34"/>
  <c r="D92" i="34"/>
  <c r="E92" i="34" s="1"/>
  <c r="F92" i="34" s="1"/>
  <c r="B91" i="34"/>
  <c r="H90" i="34"/>
  <c r="I90" i="34" s="1"/>
  <c r="J90" i="34" s="1"/>
  <c r="K90" i="34" s="1"/>
  <c r="L90" i="34" s="1"/>
  <c r="M90" i="34" s="1"/>
  <c r="G90" i="34"/>
  <c r="E90" i="34"/>
  <c r="F90" i="34" s="1"/>
  <c r="D90" i="34"/>
  <c r="B89" i="34"/>
  <c r="J27" i="34" s="1"/>
  <c r="W27" i="34" s="1"/>
  <c r="F88" i="34"/>
  <c r="G88" i="34" s="1"/>
  <c r="H88" i="34" s="1"/>
  <c r="I88" i="34" s="1"/>
  <c r="J88" i="34" s="1"/>
  <c r="K88" i="34" s="1"/>
  <c r="L88" i="34" s="1"/>
  <c r="M88" i="34" s="1"/>
  <c r="D88" i="34"/>
  <c r="E88" i="34" s="1"/>
  <c r="D86" i="34"/>
  <c r="H23" i="34" s="1"/>
  <c r="F84" i="34"/>
  <c r="G84" i="34" s="1"/>
  <c r="E84" i="34"/>
  <c r="D84" i="34"/>
  <c r="F82" i="34"/>
  <c r="G82" i="34" s="1"/>
  <c r="D82" i="34"/>
  <c r="E82" i="34" s="1"/>
  <c r="D80" i="34"/>
  <c r="D78" i="34"/>
  <c r="E78" i="34" s="1"/>
  <c r="F78" i="34" s="1"/>
  <c r="G78" i="34" s="1"/>
  <c r="B75" i="34"/>
  <c r="F14" i="34" s="1"/>
  <c r="AA14" i="34" s="1"/>
  <c r="B73" i="34"/>
  <c r="B71" i="34"/>
  <c r="D70" i="34"/>
  <c r="E70" i="34" s="1"/>
  <c r="M68" i="34"/>
  <c r="L68" i="34"/>
  <c r="K68" i="34"/>
  <c r="J68" i="34"/>
  <c r="I68" i="34"/>
  <c r="H68" i="34"/>
  <c r="G68" i="34"/>
  <c r="F68" i="34"/>
  <c r="E68" i="34"/>
  <c r="D68" i="34"/>
  <c r="C68" i="34"/>
  <c r="F67" i="34"/>
  <c r="J10" i="34" s="1"/>
  <c r="C64" i="34"/>
  <c r="H9" i="34" s="1"/>
  <c r="P50" i="34"/>
  <c r="P49" i="34"/>
  <c r="K49" i="34"/>
  <c r="R48" i="34"/>
  <c r="P48" i="34"/>
  <c r="G48" i="34"/>
  <c r="T48" i="34" s="1"/>
  <c r="E48" i="34"/>
  <c r="Q47" i="34"/>
  <c r="Z47" i="34" s="1"/>
  <c r="J47" i="34"/>
  <c r="W47" i="34" s="1"/>
  <c r="Q46" i="34"/>
  <c r="Z46" i="34" s="1"/>
  <c r="G46" i="34"/>
  <c r="E46" i="34"/>
  <c r="Q45" i="34"/>
  <c r="Z45" i="34" s="1"/>
  <c r="H45" i="34"/>
  <c r="Z44" i="34"/>
  <c r="Q44" i="34"/>
  <c r="H44" i="34"/>
  <c r="F44" i="34"/>
  <c r="U43" i="34"/>
  <c r="Q43" i="34"/>
  <c r="Z43" i="34" s="1"/>
  <c r="J43" i="34"/>
  <c r="W43" i="34" s="1"/>
  <c r="H43" i="34"/>
  <c r="AB43" i="34" s="1"/>
  <c r="F43" i="34"/>
  <c r="Z42" i="34"/>
  <c r="U42" i="34"/>
  <c r="S42" i="34"/>
  <c r="Q42" i="34"/>
  <c r="J42" i="34"/>
  <c r="W42" i="34" s="1"/>
  <c r="H42" i="34"/>
  <c r="AB42" i="34" s="1"/>
  <c r="F42" i="34"/>
  <c r="AA42" i="34" s="1"/>
  <c r="AC41" i="34"/>
  <c r="AA41" i="34"/>
  <c r="W41" i="34"/>
  <c r="Q41" i="34"/>
  <c r="Z41" i="34" s="1"/>
  <c r="J41" i="34"/>
  <c r="H41" i="34"/>
  <c r="F41" i="34"/>
  <c r="S41" i="34" s="1"/>
  <c r="Q40" i="34"/>
  <c r="Z40" i="34" s="1"/>
  <c r="H40" i="34"/>
  <c r="AB39" i="34"/>
  <c r="Z39" i="34"/>
  <c r="W39" i="34"/>
  <c r="U39" i="34"/>
  <c r="Q39" i="34"/>
  <c r="J39" i="34"/>
  <c r="AC39" i="34" s="1"/>
  <c r="H39" i="34"/>
  <c r="F39" i="34"/>
  <c r="S39" i="34" s="1"/>
  <c r="AA38" i="34"/>
  <c r="S38" i="34"/>
  <c r="Q38" i="34"/>
  <c r="Z38" i="34" s="1"/>
  <c r="J38" i="34"/>
  <c r="H38" i="34"/>
  <c r="F38" i="34"/>
  <c r="Z37" i="34"/>
  <c r="Q37" i="34"/>
  <c r="E37" i="34"/>
  <c r="AB36" i="34"/>
  <c r="W36" i="34"/>
  <c r="Q36" i="34"/>
  <c r="Z36" i="34" s="1"/>
  <c r="J36" i="34"/>
  <c r="AC36" i="34" s="1"/>
  <c r="H36" i="34"/>
  <c r="U36" i="34" s="1"/>
  <c r="F36" i="34"/>
  <c r="W35" i="34"/>
  <c r="U35" i="34"/>
  <c r="S35" i="34"/>
  <c r="Q35" i="34"/>
  <c r="Z35" i="34" s="1"/>
  <c r="J35" i="34"/>
  <c r="AC35" i="34" s="1"/>
  <c r="H35" i="34"/>
  <c r="AB35" i="34" s="1"/>
  <c r="F35" i="34"/>
  <c r="AA35" i="34" s="1"/>
  <c r="Z34" i="34"/>
  <c r="Q34" i="34"/>
  <c r="G34" i="34"/>
  <c r="E34" i="34"/>
  <c r="AB33" i="34"/>
  <c r="U33" i="34"/>
  <c r="Q33" i="34"/>
  <c r="Z33" i="34" s="1"/>
  <c r="J33" i="34"/>
  <c r="AC33" i="34" s="1"/>
  <c r="H33" i="34"/>
  <c r="F33" i="34"/>
  <c r="AB32" i="34"/>
  <c r="U32" i="34"/>
  <c r="S32" i="34"/>
  <c r="Q32" i="34"/>
  <c r="Z32" i="34" s="1"/>
  <c r="J32" i="34"/>
  <c r="F32" i="34"/>
  <c r="AA32" i="34" s="1"/>
  <c r="Z31" i="34"/>
  <c r="Q31" i="34"/>
  <c r="H31" i="34"/>
  <c r="AA30" i="34"/>
  <c r="Q30" i="34"/>
  <c r="Z30" i="34" s="1"/>
  <c r="J30" i="34"/>
  <c r="H30" i="34"/>
  <c r="F30" i="34"/>
  <c r="S30" i="34" s="1"/>
  <c r="Q29" i="34"/>
  <c r="Z29" i="34" s="1"/>
  <c r="J29" i="34"/>
  <c r="H29" i="34"/>
  <c r="Z28" i="34"/>
  <c r="W28" i="34"/>
  <c r="U28" i="34"/>
  <c r="S28" i="34"/>
  <c r="Q28" i="34"/>
  <c r="J28" i="34"/>
  <c r="AC28" i="34" s="1"/>
  <c r="H28" i="34"/>
  <c r="AB28" i="34" s="1"/>
  <c r="F28" i="34"/>
  <c r="AA28" i="34" s="1"/>
  <c r="AC27" i="34"/>
  <c r="AA27" i="34"/>
  <c r="Q27" i="34"/>
  <c r="Z27" i="34" s="1"/>
  <c r="H27" i="34"/>
  <c r="F27" i="34"/>
  <c r="S27" i="34" s="1"/>
  <c r="Z25" i="34"/>
  <c r="U25" i="34"/>
  <c r="Q25" i="34"/>
  <c r="J25" i="34"/>
  <c r="H25" i="34"/>
  <c r="AB25" i="34" s="1"/>
  <c r="F25" i="34"/>
  <c r="S25" i="34" s="1"/>
  <c r="Q23" i="34"/>
  <c r="Z23" i="34" s="1"/>
  <c r="C23" i="34"/>
  <c r="AB21" i="34"/>
  <c r="Z21" i="34"/>
  <c r="W21" i="34"/>
  <c r="U21" i="34"/>
  <c r="S21" i="34"/>
  <c r="Q21" i="34"/>
  <c r="J21" i="34"/>
  <c r="AC21" i="34" s="1"/>
  <c r="H21" i="34"/>
  <c r="F21" i="34"/>
  <c r="AA21" i="34" s="1"/>
  <c r="C21" i="34"/>
  <c r="AC19" i="34"/>
  <c r="AA19" i="34"/>
  <c r="W19" i="34"/>
  <c r="Q19" i="34"/>
  <c r="Z19" i="34" s="1"/>
  <c r="J19" i="34"/>
  <c r="H19" i="34"/>
  <c r="U19" i="34" s="1"/>
  <c r="F19" i="34"/>
  <c r="S19" i="34" s="1"/>
  <c r="C19" i="34"/>
  <c r="Q17" i="34"/>
  <c r="Z17" i="34" s="1"/>
  <c r="C17" i="34"/>
  <c r="Z15" i="34"/>
  <c r="Q15" i="34"/>
  <c r="J15" i="34"/>
  <c r="AC15" i="34" s="1"/>
  <c r="H15" i="34"/>
  <c r="AB15" i="34" s="1"/>
  <c r="F15" i="34"/>
  <c r="C15" i="34"/>
  <c r="AB14" i="34"/>
  <c r="Z14" i="34"/>
  <c r="S14" i="34"/>
  <c r="Q14" i="34"/>
  <c r="J14" i="34"/>
  <c r="H14" i="34"/>
  <c r="U14" i="34" s="1"/>
  <c r="Z13" i="34"/>
  <c r="Q13" i="34"/>
  <c r="Z12" i="34"/>
  <c r="Q12" i="34"/>
  <c r="H12" i="34"/>
  <c r="Z11" i="34"/>
  <c r="Q11" i="34"/>
  <c r="Z10" i="34"/>
  <c r="Q10" i="34"/>
  <c r="Q9" i="34"/>
  <c r="Z9" i="34" s="1"/>
  <c r="J9" i="34"/>
  <c r="AC9" i="34" s="1"/>
  <c r="F9" i="34"/>
  <c r="AA9" i="34" s="1"/>
  <c r="AA8" i="34"/>
  <c r="U8" i="34"/>
  <c r="S8" i="34"/>
  <c r="J8" i="34"/>
  <c r="H8" i="34"/>
  <c r="AB8" i="34" s="1"/>
  <c r="F8" i="34"/>
  <c r="G5" i="34"/>
  <c r="E5" i="34"/>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C40" i="69"/>
  <c r="C44" i="69" s="1"/>
  <c r="D41" i="69" s="1"/>
  <c r="F39" i="69"/>
  <c r="F38" i="69"/>
  <c r="E37" i="69"/>
  <c r="F36" i="69"/>
  <c r="F35" i="69"/>
  <c r="F30" i="69"/>
  <c r="G22" i="69"/>
  <c r="F22" i="69"/>
  <c r="F21" i="69"/>
  <c r="F20" i="69"/>
  <c r="E19" i="69"/>
  <c r="E10" i="69"/>
  <c r="E9" i="69"/>
  <c r="F7" i="69"/>
  <c r="C7" i="69" s="1"/>
  <c r="H1" i="69"/>
  <c r="D127" i="9"/>
  <c r="A124" i="9"/>
  <c r="A122" i="9"/>
  <c r="A120" i="9"/>
  <c r="A118" i="9"/>
  <c r="H111" i="9"/>
  <c r="D126" i="9" s="1"/>
  <c r="E111" i="9"/>
  <c r="H112" i="9" s="1"/>
  <c r="H110" i="9"/>
  <c r="H109" i="9"/>
  <c r="D124" i="9" s="1"/>
  <c r="H14" i="74" s="1"/>
  <c r="B7" i="74" s="1"/>
  <c r="E109" i="9"/>
  <c r="E107" i="9"/>
  <c r="H106" i="9"/>
  <c r="H105" i="9"/>
  <c r="H104" i="9"/>
  <c r="D101" i="9"/>
  <c r="C101" i="9"/>
  <c r="D93" i="9"/>
  <c r="C91" i="9"/>
  <c r="E90" i="9"/>
  <c r="D89" i="9"/>
  <c r="C89" i="9"/>
  <c r="C87" i="9" s="1"/>
  <c r="C92" i="9" s="1"/>
  <c r="D78" i="9"/>
  <c r="H77" i="9"/>
  <c r="D77" i="9"/>
  <c r="C76" i="9"/>
  <c r="F59" i="9"/>
  <c r="E59" i="9"/>
  <c r="F56" i="9"/>
  <c r="O54" i="9" s="1"/>
  <c r="O55" i="9"/>
  <c r="N55" i="9"/>
  <c r="K55" i="9"/>
  <c r="J55" i="9"/>
  <c r="I55" i="9"/>
  <c r="F55" i="9"/>
  <c r="O53" i="9" s="1"/>
  <c r="N54" i="9"/>
  <c r="N53" i="9"/>
  <c r="F53" i="9"/>
  <c r="M52" i="9"/>
  <c r="K49" i="9"/>
  <c r="F48" i="9"/>
  <c r="O52" i="9" s="1"/>
  <c r="E48" i="9"/>
  <c r="N52" i="9" s="1"/>
  <c r="D48" i="9"/>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I14" i="74"/>
  <c r="B8" i="74"/>
  <c r="C24" i="20"/>
  <c r="C22" i="20"/>
  <c r="C21" i="20"/>
  <c r="G20" i="20"/>
  <c r="C20" i="20"/>
  <c r="G19" i="20"/>
  <c r="G18" i="20"/>
  <c r="B88" i="43" s="1"/>
  <c r="C18" i="20"/>
  <c r="C17" i="20"/>
  <c r="G16" i="20"/>
  <c r="C16" i="20"/>
  <c r="C17" i="39" s="1"/>
  <c r="G15" i="20"/>
  <c r="C15" i="20"/>
  <c r="B52" i="1"/>
  <c r="B43" i="1"/>
  <c r="B41" i="1"/>
  <c r="B31" i="1"/>
  <c r="B29" i="1"/>
  <c r="C8" i="68" s="1"/>
  <c r="B23" i="1"/>
  <c r="B22" i="1"/>
  <c r="B21" i="1"/>
  <c r="B24" i="1" s="1"/>
  <c r="N18" i="1"/>
  <c r="N6" i="1" s="1"/>
  <c r="Y6" i="1" s="1"/>
  <c r="P14" i="1"/>
  <c r="O14" i="1"/>
  <c r="N14" i="1"/>
  <c r="L14" i="1"/>
  <c r="AP13" i="1"/>
  <c r="AG13" i="1"/>
  <c r="AE13" i="1"/>
  <c r="S13" i="1"/>
  <c r="R13" i="1"/>
  <c r="P13" i="1"/>
  <c r="O13" i="1"/>
  <c r="M13" i="1"/>
  <c r="K13" i="1"/>
  <c r="G13" i="1"/>
  <c r="F13" i="1"/>
  <c r="E13" i="1"/>
  <c r="D13" i="1"/>
  <c r="B13" i="1"/>
  <c r="A13" i="1"/>
  <c r="AP12" i="1"/>
  <c r="AG12" i="1"/>
  <c r="AE12" i="1"/>
  <c r="R12" i="1"/>
  <c r="P12" i="1"/>
  <c r="O12" i="1"/>
  <c r="F12" i="1"/>
  <c r="D12" i="1"/>
  <c r="A12" i="1"/>
  <c r="AR11" i="1"/>
  <c r="AP11" i="1"/>
  <c r="AG11" i="1"/>
  <c r="AE11" i="1"/>
  <c r="S11" i="1"/>
  <c r="R11" i="1"/>
  <c r="P11" i="1"/>
  <c r="O11" i="1"/>
  <c r="G11" i="1"/>
  <c r="F11" i="1"/>
  <c r="D11" i="1"/>
  <c r="B11" i="1"/>
  <c r="E11" i="1" s="1"/>
  <c r="A11" i="1"/>
  <c r="K11" i="1" s="1"/>
  <c r="M11" i="1" s="1"/>
  <c r="AP10" i="1"/>
  <c r="AG10" i="1"/>
  <c r="AE10" i="1"/>
  <c r="P10" i="1"/>
  <c r="O10" i="1"/>
  <c r="F10" i="1"/>
  <c r="D10" i="1"/>
  <c r="G10" i="1" s="1"/>
  <c r="A10" i="1"/>
  <c r="R10" i="1" s="1"/>
  <c r="AP9" i="1"/>
  <c r="AG9" i="1"/>
  <c r="AE9" i="1"/>
  <c r="S9" i="1"/>
  <c r="R9" i="1"/>
  <c r="P9" i="1"/>
  <c r="O9" i="1"/>
  <c r="F9" i="1"/>
  <c r="D9" i="1"/>
  <c r="G9" i="1" s="1"/>
  <c r="B9" i="1"/>
  <c r="E9" i="1" s="1"/>
  <c r="A9" i="1"/>
  <c r="K9" i="1" s="1"/>
  <c r="M9" i="1" s="1"/>
  <c r="AR8" i="1"/>
  <c r="AP8" i="1"/>
  <c r="AG8" i="1"/>
  <c r="AE8" i="1"/>
  <c r="S8" i="1"/>
  <c r="R8" i="1"/>
  <c r="P8" i="1"/>
  <c r="O8" i="1"/>
  <c r="G8" i="1"/>
  <c r="F8" i="1"/>
  <c r="D8" i="1"/>
  <c r="A8" i="1"/>
  <c r="AP7" i="1"/>
  <c r="C36" i="69" s="1"/>
  <c r="AG7" i="1"/>
  <c r="AE7" i="1"/>
  <c r="P7" i="1"/>
  <c r="O7" i="1"/>
  <c r="K7" i="1"/>
  <c r="M7" i="1" s="1"/>
  <c r="G7" i="1"/>
  <c r="F7" i="1"/>
  <c r="D7" i="1"/>
  <c r="B7" i="1"/>
  <c r="E7" i="1" s="1"/>
  <c r="A7" i="1"/>
  <c r="AP6" i="1"/>
  <c r="AG6" i="1"/>
  <c r="P6" i="1"/>
  <c r="P16" i="1" s="1"/>
  <c r="C11" i="12" s="1"/>
  <c r="O6" i="1"/>
  <c r="D6" i="1"/>
  <c r="A6" i="1"/>
  <c r="K1" i="12" s="1"/>
  <c r="T4" i="1"/>
  <c r="E32" i="6"/>
  <c r="O27" i="6"/>
  <c r="N27" i="6"/>
  <c r="P26" i="6"/>
  <c r="L26" i="6"/>
  <c r="E26" i="6"/>
  <c r="P25" i="6"/>
  <c r="L25" i="6"/>
  <c r="E25" i="6"/>
  <c r="P24" i="6"/>
  <c r="L24" i="6"/>
  <c r="E24" i="6"/>
  <c r="P23" i="6"/>
  <c r="L23" i="6"/>
  <c r="E23" i="6"/>
  <c r="P22" i="6"/>
  <c r="L22" i="6"/>
  <c r="E22" i="6"/>
  <c r="P21" i="6"/>
  <c r="L21" i="6"/>
  <c r="E21" i="6"/>
  <c r="P20" i="6"/>
  <c r="L20" i="6"/>
  <c r="E20" i="6"/>
  <c r="P19" i="6"/>
  <c r="L19" i="6"/>
  <c r="L27" i="6"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A584" i="3" s="1"/>
  <c r="BF584" i="3"/>
  <c r="BE584" i="3"/>
  <c r="BD584" i="3"/>
  <c r="BC584" i="3"/>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c r="BT580" i="3"/>
  <c r="BS580" i="3"/>
  <c r="BL580" i="3" s="1"/>
  <c r="BR580" i="3"/>
  <c r="BQ580" i="3"/>
  <c r="BP580" i="3"/>
  <c r="BO580" i="3"/>
  <c r="BN580" i="3"/>
  <c r="BM580" i="3"/>
  <c r="BK580" i="3"/>
  <c r="BJ580" i="3"/>
  <c r="BI580" i="3"/>
  <c r="BH580" i="3"/>
  <c r="BG580" i="3"/>
  <c r="BF580" i="3"/>
  <c r="BE580" i="3"/>
  <c r="BD580" i="3"/>
  <c r="BC580" i="3"/>
  <c r="BA580" i="3" s="1"/>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L578" i="3" s="1"/>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L576" i="3" s="1"/>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L575" i="3" s="1"/>
  <c r="BM575" i="3"/>
  <c r="BK575" i="3"/>
  <c r="BJ575" i="3"/>
  <c r="BI575" i="3"/>
  <c r="BH575" i="3"/>
  <c r="BG575" i="3"/>
  <c r="BF575" i="3"/>
  <c r="BA575" i="3" s="1"/>
  <c r="AZ575" i="3" s="1"/>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A571" i="3" s="1"/>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c r="BT568" i="3"/>
  <c r="BS568" i="3"/>
  <c r="BR568" i="3"/>
  <c r="BQ568" i="3"/>
  <c r="BP568" i="3"/>
  <c r="BO568" i="3"/>
  <c r="BN568" i="3"/>
  <c r="BM568" i="3"/>
  <c r="BK568" i="3"/>
  <c r="BJ568" i="3"/>
  <c r="BI568" i="3"/>
  <c r="BH568" i="3"/>
  <c r="BG568" i="3"/>
  <c r="BF568" i="3"/>
  <c r="BE568" i="3"/>
  <c r="BA568" i="3" s="1"/>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A556" i="3" s="1"/>
  <c r="BD556" i="3"/>
  <c r="BC556" i="3"/>
  <c r="BB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c r="BT548" i="3"/>
  <c r="BS548" i="3"/>
  <c r="BL548" i="3" s="1"/>
  <c r="BR548" i="3"/>
  <c r="BQ548" i="3"/>
  <c r="BP548" i="3"/>
  <c r="BO548" i="3"/>
  <c r="BN548" i="3"/>
  <c r="BM548" i="3"/>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L544" i="3" s="1"/>
  <c r="BN544" i="3"/>
  <c r="BM544" i="3"/>
  <c r="BK544" i="3"/>
  <c r="BJ544" i="3"/>
  <c r="BI544" i="3"/>
  <c r="BH544" i="3"/>
  <c r="BG544" i="3"/>
  <c r="BA544" i="3" s="1"/>
  <c r="AZ544" i="3" s="1"/>
  <c r="BF544" i="3"/>
  <c r="BE544" i="3"/>
  <c r="BD544" i="3"/>
  <c r="BC544" i="3"/>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c r="AX543" i="3"/>
  <c r="AW543" i="3"/>
  <c r="AV543" i="3"/>
  <c r="AC543" i="3"/>
  <c r="H543" i="3"/>
  <c r="G543" i="3" s="1"/>
  <c r="BT542" i="3"/>
  <c r="BL542" i="3" s="1"/>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A541" i="3" s="1"/>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M539" i="3"/>
  <c r="BK539" i="3"/>
  <c r="BJ539" i="3"/>
  <c r="BI539" i="3"/>
  <c r="BH539" i="3"/>
  <c r="BG539" i="3"/>
  <c r="BF539" i="3"/>
  <c r="BA539" i="3" s="1"/>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L537" i="3" s="1"/>
  <c r="BO537" i="3"/>
  <c r="BN537" i="3"/>
  <c r="BM537" i="3"/>
  <c r="BK537" i="3"/>
  <c r="BJ537" i="3"/>
  <c r="BI537" i="3"/>
  <c r="BH537" i="3"/>
  <c r="BA537" i="3" s="1"/>
  <c r="AZ537" i="3" s="1"/>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A536" i="3" s="1"/>
  <c r="BD536" i="3"/>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A525" i="3" s="1"/>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L522" i="3" s="1"/>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L517" i="3" s="1"/>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A515" i="3" s="1"/>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L512" i="3" s="1"/>
  <c r="BM512" i="3"/>
  <c r="BK512" i="3"/>
  <c r="BJ512" i="3"/>
  <c r="BI512" i="3"/>
  <c r="BH512" i="3"/>
  <c r="BG512" i="3"/>
  <c r="BF512" i="3"/>
  <c r="BA512" i="3" s="1"/>
  <c r="BE512" i="3"/>
  <c r="BD512" i="3"/>
  <c r="BC512" i="3"/>
  <c r="BB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BT510" i="3"/>
  <c r="BS510" i="3"/>
  <c r="BR510" i="3"/>
  <c r="BQ510" i="3"/>
  <c r="BP510" i="3"/>
  <c r="BO510" i="3"/>
  <c r="BN510" i="3"/>
  <c r="BL510" i="3" s="1"/>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L509" i="3" s="1"/>
  <c r="BM509" i="3"/>
  <c r="BK509" i="3"/>
  <c r="BJ509" i="3"/>
  <c r="BI509" i="3"/>
  <c r="BH509" i="3"/>
  <c r="BG509" i="3"/>
  <c r="BF509" i="3"/>
  <c r="BA509" i="3" s="1"/>
  <c r="AZ509" i="3" s="1"/>
  <c r="BE509" i="3"/>
  <c r="BD509" i="3"/>
  <c r="BC509" i="3"/>
  <c r="BB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L504" i="3" s="1"/>
  <c r="BP504" i="3"/>
  <c r="BO504" i="3"/>
  <c r="BN504" i="3"/>
  <c r="BM504" i="3"/>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A502" i="3" s="1"/>
  <c r="AZ502" i="3" s="1"/>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G501" i="3" s="1"/>
  <c r="H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L488" i="3" s="1"/>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A485" i="3" s="1"/>
  <c r="BE485" i="3"/>
  <c r="BD485" i="3"/>
  <c r="BC485" i="3"/>
  <c r="BB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A483" i="3" s="1"/>
  <c r="BE483" i="3"/>
  <c r="BD483" i="3"/>
  <c r="BC483" i="3"/>
  <c r="BB483" i="3"/>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G461" i="3" s="1"/>
  <c r="H461" i="3"/>
  <c r="BT460" i="3"/>
  <c r="BS460" i="3"/>
  <c r="BR460" i="3"/>
  <c r="BQ460" i="3"/>
  <c r="BL460" i="3" s="1"/>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K455" i="3"/>
  <c r="BJ455" i="3"/>
  <c r="BI455" i="3"/>
  <c r="BH455" i="3"/>
  <c r="BG455" i="3"/>
  <c r="BF455" i="3"/>
  <c r="BA455" i="3" s="1"/>
  <c r="BE455" i="3"/>
  <c r="BD455" i="3"/>
  <c r="BC455" i="3"/>
  <c r="BB455" i="3"/>
  <c r="AX455" i="3"/>
  <c r="AW455" i="3"/>
  <c r="AV455" i="3"/>
  <c r="AC455" i="3"/>
  <c r="H455" i="3"/>
  <c r="G455" i="3"/>
  <c r="BT454" i="3"/>
  <c r="BS454" i="3"/>
  <c r="BR454" i="3"/>
  <c r="BQ454" i="3"/>
  <c r="BL454" i="3" s="1"/>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L446" i="3" s="1"/>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c r="BT421" i="3"/>
  <c r="BS421" i="3"/>
  <c r="BR421" i="3"/>
  <c r="BQ421" i="3"/>
  <c r="BP421" i="3"/>
  <c r="BO421" i="3"/>
  <c r="BN421" i="3"/>
  <c r="BM421" i="3"/>
  <c r="BK421" i="3"/>
  <c r="BJ421" i="3"/>
  <c r="BI421" i="3"/>
  <c r="BH421" i="3"/>
  <c r="BG421" i="3"/>
  <c r="BF421" i="3"/>
  <c r="BA421" i="3" s="1"/>
  <c r="BE421" i="3"/>
  <c r="BD421" i="3"/>
  <c r="BC421" i="3"/>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L414" i="3" s="1"/>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A413" i="3" s="1"/>
  <c r="AZ413" i="3" s="1"/>
  <c r="BE413" i="3"/>
  <c r="BD413" i="3"/>
  <c r="BC413" i="3"/>
  <c r="BB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K397" i="3"/>
  <c r="BJ397" i="3"/>
  <c r="BI397" i="3"/>
  <c r="BH397" i="3"/>
  <c r="BG397" i="3"/>
  <c r="BF397" i="3"/>
  <c r="BA397" i="3" s="1"/>
  <c r="BE397" i="3"/>
  <c r="BD397" i="3"/>
  <c r="BC397" i="3"/>
  <c r="BB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K381" i="3"/>
  <c r="BJ381" i="3"/>
  <c r="BI381" i="3"/>
  <c r="BH381" i="3"/>
  <c r="BG381" i="3"/>
  <c r="BF381" i="3"/>
  <c r="BA381" i="3" s="1"/>
  <c r="BE381" i="3"/>
  <c r="BD381" i="3"/>
  <c r="BC381" i="3"/>
  <c r="BB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G367" i="3" s="1"/>
  <c r="H367" i="3"/>
  <c r="BT366" i="3"/>
  <c r="BS366" i="3"/>
  <c r="BR366" i="3"/>
  <c r="BQ366" i="3"/>
  <c r="BL366" i="3" s="1"/>
  <c r="BP366" i="3"/>
  <c r="BO366" i="3"/>
  <c r="BN366" i="3"/>
  <c r="BM366" i="3"/>
  <c r="BK366" i="3"/>
  <c r="BJ366" i="3"/>
  <c r="BI366" i="3"/>
  <c r="BA366" i="3" s="1"/>
  <c r="AZ366" i="3" s="1"/>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c r="BT357" i="3"/>
  <c r="BS357" i="3"/>
  <c r="BR357" i="3"/>
  <c r="BQ357" i="3"/>
  <c r="BP357" i="3"/>
  <c r="BO357" i="3"/>
  <c r="BN357" i="3"/>
  <c r="BM357" i="3"/>
  <c r="BK357" i="3"/>
  <c r="BJ357" i="3"/>
  <c r="BI357" i="3"/>
  <c r="BH357" i="3"/>
  <c r="BG357" i="3"/>
  <c r="BF357" i="3"/>
  <c r="BA357" i="3" s="1"/>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A349" i="3" s="1"/>
  <c r="AZ349" i="3" s="1"/>
  <c r="BE349" i="3"/>
  <c r="BD349" i="3"/>
  <c r="BC349" i="3"/>
  <c r="BB349" i="3"/>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A342" i="3" s="1"/>
  <c r="AZ342" i="3" s="1"/>
  <c r="BC342" i="3"/>
  <c r="BB342" i="3"/>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A333" i="3" s="1"/>
  <c r="BE333" i="3"/>
  <c r="BD333" i="3"/>
  <c r="BC333" i="3"/>
  <c r="BB333" i="3"/>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L331" i="3" s="1"/>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AX327" i="3"/>
  <c r="AW327" i="3"/>
  <c r="AV327" i="3"/>
  <c r="AC327" i="3"/>
  <c r="H327" i="3"/>
  <c r="G327" i="3" s="1"/>
  <c r="BT326" i="3"/>
  <c r="BS326" i="3"/>
  <c r="BR326" i="3"/>
  <c r="BQ326" i="3"/>
  <c r="BL326" i="3" s="1"/>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A322" i="3" s="1"/>
  <c r="BC322" i="3"/>
  <c r="BB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L318" i="3" s="1"/>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A317" i="3" s="1"/>
  <c r="BE317" i="3"/>
  <c r="BD317" i="3"/>
  <c r="BC317" i="3"/>
  <c r="BB317" i="3"/>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A310" i="3" s="1"/>
  <c r="AZ310" i="3" s="1"/>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G307" i="3" s="1"/>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L302" i="3" s="1"/>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A285" i="3" s="1"/>
  <c r="AZ285" i="3" s="1"/>
  <c r="BE285" i="3"/>
  <c r="BD285" i="3"/>
  <c r="BC285" i="3"/>
  <c r="BB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A282" i="3" s="1"/>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A269" i="3" s="1"/>
  <c r="BE269" i="3"/>
  <c r="BD269" i="3"/>
  <c r="BC269" i="3"/>
  <c r="BB269" i="3"/>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L262" i="3" s="1"/>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A253" i="3" s="1"/>
  <c r="BE253" i="3"/>
  <c r="BD253" i="3"/>
  <c r="BC253" i="3"/>
  <c r="BB253" i="3"/>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L238" i="3" s="1"/>
  <c r="BP238" i="3"/>
  <c r="BO238" i="3"/>
  <c r="BN238" i="3"/>
  <c r="BM238" i="3"/>
  <c r="BK238" i="3"/>
  <c r="BJ238" i="3"/>
  <c r="BI238" i="3"/>
  <c r="BA238" i="3" s="1"/>
  <c r="AZ238" i="3" s="1"/>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L220" i="3" s="1"/>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A197" i="3" s="1"/>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L190" i="3" s="1"/>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A154" i="3" s="1"/>
  <c r="AZ154" i="3" s="1"/>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A146" i="3" s="1"/>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A138" i="3" s="1"/>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A130" i="3" s="1"/>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A122" i="3" s="1"/>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A103" i="3" s="1"/>
  <c r="AZ103" i="3" s="1"/>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A98" i="3" s="1"/>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A90" i="3" s="1"/>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L83" i="3" s="1"/>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A82" i="3" s="1"/>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A79" i="3" s="1"/>
  <c r="AZ79" i="3" s="1"/>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A66" i="3" s="1"/>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A50" i="3" s="1"/>
  <c r="AZ50" i="3" s="1"/>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L43" i="3" s="1"/>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c r="BT37" i="3"/>
  <c r="BS37" i="3"/>
  <c r="BR37" i="3"/>
  <c r="BQ37" i="3"/>
  <c r="BP37" i="3"/>
  <c r="BO37" i="3"/>
  <c r="BN37" i="3"/>
  <c r="BM37" i="3"/>
  <c r="BL37" i="3" s="1"/>
  <c r="BK37" i="3"/>
  <c r="BJ37" i="3"/>
  <c r="BI37" i="3"/>
  <c r="BH37" i="3"/>
  <c r="BG37" i="3"/>
  <c r="BF37" i="3"/>
  <c r="BA37" i="3" s="1"/>
  <c r="AZ37" i="3" s="1"/>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L35" i="3" s="1"/>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L27" i="3" s="1"/>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A26" i="3" s="1"/>
  <c r="AZ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L19" i="3" s="1"/>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AX18" i="3"/>
  <c r="AW18" i="3"/>
  <c r="AV18" i="3"/>
  <c r="M18" i="3"/>
  <c r="BD18" i="3" s="1"/>
  <c r="K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N5" i="3" s="1"/>
  <c r="BM16" i="3"/>
  <c r="BK16" i="3"/>
  <c r="BJ16" i="3"/>
  <c r="BI16" i="3"/>
  <c r="BH16" i="3"/>
  <c r="BG16" i="3"/>
  <c r="BF16" i="3"/>
  <c r="BF5" i="3" s="1"/>
  <c r="BE16" i="3"/>
  <c r="BD16" i="3"/>
  <c r="BC16" i="3"/>
  <c r="BB16" i="3"/>
  <c r="AX16" i="3"/>
  <c r="AW16" i="3"/>
  <c r="AV16" i="3"/>
  <c r="AC16" i="3"/>
  <c r="H16" i="3"/>
  <c r="G16" i="3" s="1"/>
  <c r="BT15" i="3"/>
  <c r="BS15" i="3"/>
  <c r="BR15" i="3"/>
  <c r="BQ15" i="3"/>
  <c r="BP15" i="3"/>
  <c r="BL15" i="3" s="1"/>
  <c r="BO15" i="3"/>
  <c r="BN15" i="3"/>
  <c r="BM15" i="3"/>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K14" i="3"/>
  <c r="BJ14" i="3"/>
  <c r="BI14" i="3"/>
  <c r="BH14" i="3"/>
  <c r="BH5" i="3" s="1"/>
  <c r="BG14" i="3"/>
  <c r="BF14" i="3"/>
  <c r="BE14" i="3"/>
  <c r="BE5" i="3" s="1"/>
  <c r="BD14" i="3"/>
  <c r="BC14" i="3"/>
  <c r="BB14" i="3"/>
  <c r="AX14" i="3"/>
  <c r="AW14" i="3"/>
  <c r="AV14" i="3"/>
  <c r="AC14" i="3"/>
  <c r="H14" i="3"/>
  <c r="G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I5" i="3"/>
  <c r="F5" i="3"/>
  <c r="E87" i="85"/>
  <c r="L13" i="79"/>
  <c r="J13" i="79"/>
  <c r="B27" i="31" s="1"/>
  <c r="L12" i="79"/>
  <c r="J12" i="79"/>
  <c r="B26" i="31" s="1"/>
  <c r="E12" i="79"/>
  <c r="J2" i="79" s="1"/>
  <c r="J14" i="79" s="1"/>
  <c r="L14" i="79" s="1"/>
  <c r="L11" i="79"/>
  <c r="J11" i="79"/>
  <c r="B25" i="31" s="1"/>
  <c r="E11" i="79"/>
  <c r="J10" i="79"/>
  <c r="J15" i="79" s="1"/>
  <c r="L15" i="79" s="1"/>
  <c r="E7" i="79"/>
  <c r="E50" i="79" s="1"/>
  <c r="E88" i="85" s="1"/>
  <c r="J6" i="79"/>
  <c r="K6" i="79" s="1"/>
  <c r="E6" i="79"/>
  <c r="J5" i="79"/>
  <c r="J4" i="79"/>
  <c r="I18" i="3" s="1"/>
  <c r="J3" i="79"/>
  <c r="AN18" i="3" s="1"/>
  <c r="K2" i="79"/>
  <c r="R35" i="4"/>
  <c r="Q35" i="4"/>
  <c r="P35" i="4"/>
  <c r="O35" i="4"/>
  <c r="N35" i="4"/>
  <c r="M35" i="4"/>
  <c r="L35" i="4"/>
  <c r="F35" i="4"/>
  <c r="T34" i="4"/>
  <c r="T35" i="4" s="1"/>
  <c r="K34" i="4"/>
  <c r="C33" i="4"/>
  <c r="C32" i="4"/>
  <c r="C31" i="4"/>
  <c r="L22" i="4"/>
  <c r="L21" i="4"/>
  <c r="L20" i="4"/>
  <c r="F19" i="4"/>
  <c r="I15" i="4"/>
  <c r="H15" i="4"/>
  <c r="E15" i="4"/>
  <c r="D15" i="4"/>
  <c r="K6" i="4"/>
  <c r="I4" i="4"/>
  <c r="G4" i="4"/>
  <c r="K5" i="4" s="1"/>
  <c r="D3" i="4"/>
  <c r="C53" i="10" s="1"/>
  <c r="S2" i="4"/>
  <c r="S1" i="4"/>
  <c r="B1" i="4"/>
  <c r="C51" i="10"/>
  <c r="A13" i="51" s="1"/>
  <c r="B51" i="10"/>
  <c r="H16" i="49"/>
  <c r="D16" i="49"/>
  <c r="D15" i="49"/>
  <c r="B2" i="49"/>
  <c r="F12" i="49" s="1"/>
  <c r="H12" i="49" s="1"/>
  <c r="A21" i="62"/>
  <c r="A20" i="62"/>
  <c r="A19" i="62"/>
  <c r="B65" i="72" s="1"/>
  <c r="A15" i="62"/>
  <c r="B61" i="72" s="1"/>
  <c r="A14" i="62"/>
  <c r="B60" i="72" s="1"/>
  <c r="A13" i="62"/>
  <c r="A12" i="62"/>
  <c r="B58" i="72" s="1"/>
  <c r="A5" i="62"/>
  <c r="A4" i="62"/>
  <c r="D13" i="52"/>
  <c r="D12" i="52"/>
  <c r="D10" i="52"/>
  <c r="A10" i="52"/>
  <c r="A8" i="52"/>
  <c r="A6" i="52"/>
  <c r="B57" i="72" s="1"/>
  <c r="A4" i="52"/>
  <c r="B41" i="72" s="1"/>
  <c r="H2" i="52"/>
  <c r="F2" i="52"/>
  <c r="B50" i="72" s="1"/>
  <c r="D2" i="52"/>
  <c r="A1" i="52"/>
  <c r="D21" i="53"/>
  <c r="D19" i="53"/>
  <c r="D20" i="53" s="1"/>
  <c r="B40" i="72" s="1"/>
  <c r="B19" i="53"/>
  <c r="B37" i="72" s="1"/>
  <c r="D18" i="53"/>
  <c r="D17" i="53"/>
  <c r="B36" i="72" s="1"/>
  <c r="D16" i="53"/>
  <c r="B34" i="72" s="1"/>
  <c r="B16" i="53"/>
  <c r="B33" i="72" s="1"/>
  <c r="B13" i="53"/>
  <c r="B29" i="72" s="1"/>
  <c r="D12" i="53"/>
  <c r="B28" i="72" s="1"/>
  <c r="D11" i="53"/>
  <c r="D10" i="53"/>
  <c r="B26" i="72" s="1"/>
  <c r="B8" i="53"/>
  <c r="A3" i="53"/>
  <c r="A2" i="53"/>
  <c r="A24" i="51"/>
  <c r="B18" i="72" s="1"/>
  <c r="A22" i="51"/>
  <c r="A21" i="51"/>
  <c r="A20" i="51"/>
  <c r="A19" i="51"/>
  <c r="A4" i="51"/>
  <c r="A3" i="51"/>
  <c r="B49" i="48"/>
  <c r="B5" i="72" s="1"/>
  <c r="B47" i="48"/>
  <c r="B40" i="48"/>
  <c r="B37" i="48"/>
  <c r="B2" i="72" s="1"/>
  <c r="B74" i="72"/>
  <c r="B72" i="72"/>
  <c r="B70" i="72"/>
  <c r="B69" i="72"/>
  <c r="B68" i="72"/>
  <c r="B67" i="72"/>
  <c r="B66" i="72"/>
  <c r="B63" i="72"/>
  <c r="B62" i="72"/>
  <c r="B59" i="72"/>
  <c r="B55" i="72"/>
  <c r="B54" i="72"/>
  <c r="B46" i="72"/>
  <c r="B44" i="72"/>
  <c r="B42" i="72"/>
  <c r="B39" i="72"/>
  <c r="B38" i="72"/>
  <c r="B35" i="72"/>
  <c r="B27" i="72"/>
  <c r="B23" i="72"/>
  <c r="B19" i="72"/>
  <c r="B17" i="72"/>
  <c r="B16" i="72"/>
  <c r="B15" i="72"/>
  <c r="B14" i="72"/>
  <c r="B11" i="72"/>
  <c r="B10" i="72"/>
  <c r="B8" i="72"/>
  <c r="B6" i="72"/>
  <c r="B3" i="72"/>
  <c r="AO7" i="1"/>
  <c r="D2" i="35"/>
  <c r="B8" i="76"/>
  <c r="B11" i="76"/>
  <c r="B9" i="76"/>
  <c r="B13" i="76"/>
  <c r="AO12" i="1"/>
  <c r="E2" i="69"/>
  <c r="D2" i="21"/>
  <c r="F20" i="31"/>
  <c r="D2" i="33"/>
  <c r="AO10" i="1"/>
  <c r="E11" i="76"/>
  <c r="AO8" i="1"/>
  <c r="AO9" i="1"/>
  <c r="D2" i="34"/>
  <c r="E8" i="76"/>
  <c r="AO13" i="1"/>
  <c r="E13" i="76"/>
  <c r="E12" i="76"/>
  <c r="B10" i="76"/>
  <c r="D2" i="36"/>
  <c r="E10" i="76"/>
  <c r="E7" i="76"/>
  <c r="B7" i="76"/>
  <c r="E9" i="76"/>
  <c r="B12" i="76"/>
  <c r="E2" i="68"/>
  <c r="D2" i="37"/>
  <c r="AO11" i="1"/>
  <c r="W10" i="34" l="1"/>
  <c r="AC10" i="34"/>
  <c r="G67" i="34"/>
  <c r="H10" i="34"/>
  <c r="E55" i="34"/>
  <c r="F55" i="34" s="1"/>
  <c r="U15" i="34"/>
  <c r="W15" i="34"/>
  <c r="W9" i="34"/>
  <c r="S47" i="34"/>
  <c r="AC47" i="34"/>
  <c r="H47" i="34"/>
  <c r="F8" i="49"/>
  <c r="H8" i="49" s="1"/>
  <c r="F10" i="49"/>
  <c r="H10" i="49" s="1"/>
  <c r="F6" i="49"/>
  <c r="H6" i="49" s="1"/>
  <c r="S9" i="34"/>
  <c r="B10" i="70"/>
  <c r="B13" i="70"/>
  <c r="B9" i="70"/>
  <c r="B7" i="70"/>
  <c r="B11" i="70"/>
  <c r="B12" i="70"/>
  <c r="B8" i="70"/>
  <c r="AZ157" i="3"/>
  <c r="AZ198" i="3"/>
  <c r="AZ43" i="3"/>
  <c r="AZ46" i="3"/>
  <c r="AZ101" i="3"/>
  <c r="AZ38" i="3"/>
  <c r="AZ51" i="3"/>
  <c r="BR5" i="3"/>
  <c r="G28" i="6" s="1"/>
  <c r="AZ142" i="3"/>
  <c r="BA14" i="3"/>
  <c r="AZ14" i="3" s="1"/>
  <c r="AZ213" i="3"/>
  <c r="AZ311" i="3"/>
  <c r="W44" i="21"/>
  <c r="AC44" i="21"/>
  <c r="U45" i="33"/>
  <c r="AB45" i="33"/>
  <c r="D81" i="71"/>
  <c r="C80" i="71"/>
  <c r="AZ70" i="3"/>
  <c r="AZ85" i="3"/>
  <c r="J7" i="79"/>
  <c r="C27" i="31"/>
  <c r="G13" i="3"/>
  <c r="H5" i="3"/>
  <c r="G28" i="3"/>
  <c r="BL28" i="3"/>
  <c r="BA35" i="3"/>
  <c r="AZ35" i="3" s="1"/>
  <c r="BA40" i="3"/>
  <c r="BL45" i="3"/>
  <c r="G51" i="3"/>
  <c r="BA52" i="3"/>
  <c r="G56" i="3"/>
  <c r="BA65" i="3"/>
  <c r="BL69" i="3"/>
  <c r="AZ69" i="3" s="1"/>
  <c r="BL72" i="3"/>
  <c r="BL74" i="3"/>
  <c r="AZ74" i="3" s="1"/>
  <c r="BA76" i="3"/>
  <c r="BL80" i="3"/>
  <c r="AZ80" i="3" s="1"/>
  <c r="BL82" i="3"/>
  <c r="AZ82" i="3" s="1"/>
  <c r="G83" i="3"/>
  <c r="BL84" i="3"/>
  <c r="BA89" i="3"/>
  <c r="BL104" i="3"/>
  <c r="BL106" i="3"/>
  <c r="AZ106" i="3" s="1"/>
  <c r="G107" i="3"/>
  <c r="BL108" i="3"/>
  <c r="BL121" i="3"/>
  <c r="AZ121" i="3" s="1"/>
  <c r="BA123" i="3"/>
  <c r="AZ123" i="3" s="1"/>
  <c r="BL130" i="3"/>
  <c r="AZ130" i="3" s="1"/>
  <c r="G131" i="3"/>
  <c r="BL132" i="3"/>
  <c r="AZ132" i="3" s="1"/>
  <c r="BA137" i="3"/>
  <c r="AZ137" i="3" s="1"/>
  <c r="BL144" i="3"/>
  <c r="BL151" i="3"/>
  <c r="AZ151" i="3" s="1"/>
  <c r="BA158" i="3"/>
  <c r="AZ158" i="3" s="1"/>
  <c r="BA160" i="3"/>
  <c r="AZ160" i="3" s="1"/>
  <c r="BL170" i="3"/>
  <c r="AZ170" i="3" s="1"/>
  <c r="BA174" i="3"/>
  <c r="BL174" i="3"/>
  <c r="G175" i="3"/>
  <c r="AZ182" i="3"/>
  <c r="BA187" i="3"/>
  <c r="BA193" i="3"/>
  <c r="BL198" i="3"/>
  <c r="BA209" i="3"/>
  <c r="AZ209" i="3" s="1"/>
  <c r="AZ227" i="3"/>
  <c r="AZ262" i="3"/>
  <c r="AZ355" i="3"/>
  <c r="AZ390" i="3"/>
  <c r="BL408" i="3"/>
  <c r="AZ408" i="3" s="1"/>
  <c r="AZ439" i="3"/>
  <c r="G478" i="3"/>
  <c r="F48" i="69"/>
  <c r="AZ56" i="3"/>
  <c r="AZ108" i="3"/>
  <c r="BI5" i="3"/>
  <c r="AZ41" i="3"/>
  <c r="BA15" i="3"/>
  <c r="AZ15" i="3" s="1"/>
  <c r="BA25" i="3"/>
  <c r="AZ25" i="3" s="1"/>
  <c r="BL29" i="3"/>
  <c r="BL32" i="3"/>
  <c r="BL34" i="3"/>
  <c r="AZ34" i="3" s="1"/>
  <c r="BA39" i="3"/>
  <c r="AZ39" i="3" s="1"/>
  <c r="BL41" i="3"/>
  <c r="BL52" i="3"/>
  <c r="BA59" i="3"/>
  <c r="AZ59" i="3" s="1"/>
  <c r="BA64" i="3"/>
  <c r="AZ64" i="3" s="1"/>
  <c r="BA95" i="3"/>
  <c r="AZ95" i="3" s="1"/>
  <c r="BA100" i="3"/>
  <c r="BL109" i="3"/>
  <c r="AZ109" i="3" s="1"/>
  <c r="BA113" i="3"/>
  <c r="AZ113" i="3" s="1"/>
  <c r="BA124" i="3"/>
  <c r="AZ124" i="3" s="1"/>
  <c r="AZ125" i="3"/>
  <c r="BL133" i="3"/>
  <c r="AZ136" i="3"/>
  <c r="BA148" i="3"/>
  <c r="AZ148" i="3" s="1"/>
  <c r="BL157" i="3"/>
  <c r="BA159" i="3"/>
  <c r="BA163" i="3"/>
  <c r="AZ163" i="3" s="1"/>
  <c r="AZ428" i="3"/>
  <c r="W14" i="35"/>
  <c r="AC14" i="35"/>
  <c r="AN5" i="3"/>
  <c r="BR18" i="3"/>
  <c r="AC18" i="3"/>
  <c r="AC5" i="3" s="1"/>
  <c r="M5" i="3"/>
  <c r="BL14" i="3"/>
  <c r="BC5" i="3"/>
  <c r="BK5" i="3"/>
  <c r="BS5" i="3"/>
  <c r="F28" i="6" s="1"/>
  <c r="BA16" i="3"/>
  <c r="BA19" i="3"/>
  <c r="AZ19" i="3" s="1"/>
  <c r="BA24" i="3"/>
  <c r="AZ24" i="3" s="1"/>
  <c r="G35" i="3"/>
  <c r="BA36" i="3"/>
  <c r="AZ36" i="3" s="1"/>
  <c r="G40" i="3"/>
  <c r="BA49" i="3"/>
  <c r="AZ49" i="3" s="1"/>
  <c r="BL56" i="3"/>
  <c r="BL58" i="3"/>
  <c r="AZ58" i="3" s="1"/>
  <c r="BA60" i="3"/>
  <c r="BA63" i="3"/>
  <c r="AZ63" i="3" s="1"/>
  <c r="BL65" i="3"/>
  <c r="G76" i="3"/>
  <c r="BL76" i="3"/>
  <c r="BL85" i="3"/>
  <c r="BL89" i="3"/>
  <c r="BA91" i="3"/>
  <c r="AZ91" i="3" s="1"/>
  <c r="BL96" i="3"/>
  <c r="BL98" i="3"/>
  <c r="AZ98" i="3" s="1"/>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AZ190" i="3"/>
  <c r="AZ191" i="3"/>
  <c r="BA195" i="3"/>
  <c r="AZ195" i="3" s="1"/>
  <c r="AZ203" i="3"/>
  <c r="BL208" i="3"/>
  <c r="BA219" i="3"/>
  <c r="AZ229" i="3"/>
  <c r="AZ302" i="3"/>
  <c r="BA335" i="3"/>
  <c r="AZ335" i="3" s="1"/>
  <c r="BA346" i="3"/>
  <c r="AZ346" i="3" s="1"/>
  <c r="AZ357" i="3"/>
  <c r="AZ430" i="3"/>
  <c r="AZ469" i="3"/>
  <c r="AB29" i="34"/>
  <c r="U29" i="34"/>
  <c r="AZ133" i="3"/>
  <c r="AZ282" i="3"/>
  <c r="AZ322" i="3"/>
  <c r="I4" i="6"/>
  <c r="G3" i="43" s="1"/>
  <c r="F19" i="6"/>
  <c r="E19" i="6" s="1"/>
  <c r="H18" i="3"/>
  <c r="G18" i="3" s="1"/>
  <c r="BB18" i="3"/>
  <c r="BD5" i="3"/>
  <c r="BA20" i="3"/>
  <c r="AZ48" i="3"/>
  <c r="BL53" i="3"/>
  <c r="AZ53" i="3" s="1"/>
  <c r="BA73" i="3"/>
  <c r="BL77" i="3"/>
  <c r="AZ77" i="3" s="1"/>
  <c r="BA81" i="3"/>
  <c r="AZ93" i="3"/>
  <c r="BA105" i="3"/>
  <c r="AZ105" i="3" s="1"/>
  <c r="AZ115" i="3"/>
  <c r="BL120" i="3"/>
  <c r="AZ120" i="3" s="1"/>
  <c r="BL122" i="3"/>
  <c r="AZ122" i="3" s="1"/>
  <c r="BA129" i="3"/>
  <c r="BA135" i="3"/>
  <c r="AZ135" i="3" s="1"/>
  <c r="BA140" i="3"/>
  <c r="AZ141" i="3"/>
  <c r="BA164" i="3"/>
  <c r="AZ248" i="3"/>
  <c r="AZ473" i="3"/>
  <c r="G19" i="6"/>
  <c r="G27" i="6" s="1"/>
  <c r="K5" i="3"/>
  <c r="BC18" i="3"/>
  <c r="AZ28" i="3"/>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AZ45" i="3"/>
  <c r="BA47" i="3"/>
  <c r="AZ47" i="3" s="1"/>
  <c r="BL60" i="3"/>
  <c r="BA67" i="3"/>
  <c r="AZ67" i="3" s="1"/>
  <c r="AZ72" i="3"/>
  <c r="BA87" i="3"/>
  <c r="AZ87" i="3" s="1"/>
  <c r="BA92" i="3"/>
  <c r="BL101" i="3"/>
  <c r="AZ104" i="3"/>
  <c r="AZ116" i="3"/>
  <c r="AZ117" i="3"/>
  <c r="AZ128" i="3"/>
  <c r="BL149" i="3"/>
  <c r="AZ149" i="3" s="1"/>
  <c r="BA155" i="3"/>
  <c r="AZ155" i="3" s="1"/>
  <c r="BL162" i="3"/>
  <c r="AZ162" i="3" s="1"/>
  <c r="BL164" i="3"/>
  <c r="AZ197" i="3"/>
  <c r="AZ201" i="3"/>
  <c r="BL215" i="3"/>
  <c r="AZ326" i="3"/>
  <c r="AZ454" i="3"/>
  <c r="AZ488" i="3"/>
  <c r="AZ501" i="3"/>
  <c r="AZ29" i="3"/>
  <c r="AZ84" i="3"/>
  <c r="AZ14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AZ66" i="3" s="1"/>
  <c r="BA68" i="3"/>
  <c r="AZ68" i="3" s="1"/>
  <c r="BA71" i="3"/>
  <c r="AZ71" i="3" s="1"/>
  <c r="BL73" i="3"/>
  <c r="BL81" i="3"/>
  <c r="BA83" i="3"/>
  <c r="AZ83" i="3" s="1"/>
  <c r="BL88" i="3"/>
  <c r="AZ88" i="3" s="1"/>
  <c r="BL90" i="3"/>
  <c r="AZ90" i="3" s="1"/>
  <c r="G91" i="3"/>
  <c r="BL92" i="3"/>
  <c r="BA97" i="3"/>
  <c r="AZ97" i="3" s="1"/>
  <c r="BL105" i="3"/>
  <c r="BA107" i="3"/>
  <c r="AZ107" i="3" s="1"/>
  <c r="BA111" i="3"/>
  <c r="AZ111" i="3" s="1"/>
  <c r="G112" i="3"/>
  <c r="BL129" i="3"/>
  <c r="BA131" i="3"/>
  <c r="AZ131" i="3" s="1"/>
  <c r="BL138" i="3"/>
  <c r="AZ138" i="3" s="1"/>
  <c r="G139" i="3"/>
  <c r="BL140" i="3"/>
  <c r="AZ145" i="3"/>
  <c r="BL152" i="3"/>
  <c r="AZ152" i="3" s="1"/>
  <c r="BL159" i="3"/>
  <c r="BA166" i="3"/>
  <c r="AZ166" i="3" s="1"/>
  <c r="BA173" i="3"/>
  <c r="AZ173" i="3" s="1"/>
  <c r="BA189" i="3"/>
  <c r="AZ189" i="3" s="1"/>
  <c r="BL195" i="3"/>
  <c r="G212" i="3"/>
  <c r="BA236" i="3"/>
  <c r="AZ237" i="3"/>
  <c r="G244" i="3"/>
  <c r="BL245" i="3"/>
  <c r="AZ272" i="3"/>
  <c r="BA364" i="3"/>
  <c r="AZ365" i="3"/>
  <c r="G372" i="3"/>
  <c r="BL373" i="3"/>
  <c r="AZ373" i="3" s="1"/>
  <c r="AZ405" i="3"/>
  <c r="AZ512" i="3"/>
  <c r="BA542" i="3"/>
  <c r="AZ542" i="3" s="1"/>
  <c r="F13" i="34"/>
  <c r="H13" i="34"/>
  <c r="J13" i="34"/>
  <c r="Y5" i="71"/>
  <c r="Z5" i="71" s="1"/>
  <c r="AB5" i="71"/>
  <c r="X5" i="71"/>
  <c r="AA5" i="71"/>
  <c r="BA176" i="3"/>
  <c r="BA184" i="3"/>
  <c r="BA188" i="3"/>
  <c r="AZ188" i="3" s="1"/>
  <c r="BA199" i="3"/>
  <c r="AZ199" i="3" s="1"/>
  <c r="BA202" i="3"/>
  <c r="AZ202" i="3" s="1"/>
  <c r="BL211" i="3"/>
  <c r="AZ211" i="3" s="1"/>
  <c r="BL213" i="3"/>
  <c r="BA218" i="3"/>
  <c r="AZ218" i="3" s="1"/>
  <c r="BL218" i="3"/>
  <c r="BA220" i="3"/>
  <c r="AZ220" i="3" s="1"/>
  <c r="BA224" i="3"/>
  <c r="BA234" i="3"/>
  <c r="BL234" i="3"/>
  <c r="BA235" i="3"/>
  <c r="BL243" i="3"/>
  <c r="AZ243" i="3" s="1"/>
  <c r="BL249" i="3"/>
  <c r="AZ249" i="3" s="1"/>
  <c r="AZ252" i="3"/>
  <c r="BL260" i="3"/>
  <c r="BA263" i="3"/>
  <c r="AZ263" i="3" s="1"/>
  <c r="BA265" i="3"/>
  <c r="BL272" i="3"/>
  <c r="BA288" i="3"/>
  <c r="BA298" i="3"/>
  <c r="AZ298" i="3" s="1"/>
  <c r="BL298" i="3"/>
  <c r="BA299" i="3"/>
  <c r="AZ299" i="3" s="1"/>
  <c r="BL307" i="3"/>
  <c r="AZ307" i="3" s="1"/>
  <c r="BL313" i="3"/>
  <c r="AZ313" i="3" s="1"/>
  <c r="BA316" i="3"/>
  <c r="AZ316" i="3" s="1"/>
  <c r="BL324" i="3"/>
  <c r="BA329" i="3"/>
  <c r="BA351" i="3"/>
  <c r="AZ351" i="3" s="1"/>
  <c r="BA352" i="3"/>
  <c r="BL360" i="3"/>
  <c r="AZ360" i="3" s="1"/>
  <c r="BA362" i="3"/>
  <c r="BL362" i="3"/>
  <c r="BA363" i="3"/>
  <c r="BL371" i="3"/>
  <c r="AZ371" i="3" s="1"/>
  <c r="BL377" i="3"/>
  <c r="AZ377" i="3" s="1"/>
  <c r="BA380" i="3"/>
  <c r="AZ380" i="3" s="1"/>
  <c r="G388" i="3"/>
  <c r="BL388" i="3"/>
  <c r="BL389" i="3"/>
  <c r="AZ389" i="3" s="1"/>
  <c r="BA393" i="3"/>
  <c r="BA415" i="3"/>
  <c r="AZ415" i="3" s="1"/>
  <c r="BA416" i="3"/>
  <c r="BL424" i="3"/>
  <c r="AZ424" i="3" s="1"/>
  <c r="BA426" i="3"/>
  <c r="AZ426" i="3" s="1"/>
  <c r="BL426" i="3"/>
  <c r="BA427" i="3"/>
  <c r="BL435" i="3"/>
  <c r="AZ435" i="3" s="1"/>
  <c r="BL441" i="3"/>
  <c r="BA444" i="3"/>
  <c r="AZ444" i="3" s="1"/>
  <c r="G452" i="3"/>
  <c r="BL452" i="3"/>
  <c r="BL453" i="3"/>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AZ207" i="3" s="1"/>
  <c r="BA210" i="3"/>
  <c r="AZ210" i="3" s="1"/>
  <c r="BL225" i="3"/>
  <c r="AZ225" i="3" s="1"/>
  <c r="BA228" i="3"/>
  <c r="BL236" i="3"/>
  <c r="BL237" i="3"/>
  <c r="BA239" i="3"/>
  <c r="AZ239" i="3" s="1"/>
  <c r="AZ241" i="3"/>
  <c r="BL248" i="3"/>
  <c r="AZ254" i="3"/>
  <c r="BA264" i="3"/>
  <c r="AZ264" i="3" s="1"/>
  <c r="BA274" i="3"/>
  <c r="AZ274" i="3" s="1"/>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AZ338" i="3" s="1"/>
  <c r="BA339" i="3"/>
  <c r="AZ339" i="3" s="1"/>
  <c r="BL347" i="3"/>
  <c r="AZ347" i="3" s="1"/>
  <c r="BL353" i="3"/>
  <c r="AZ353" i="3" s="1"/>
  <c r="BA356" i="3"/>
  <c r="BL364" i="3"/>
  <c r="BL365" i="3"/>
  <c r="AZ369" i="3"/>
  <c r="AZ382" i="3"/>
  <c r="BA391" i="3"/>
  <c r="AZ391" i="3" s="1"/>
  <c r="BA392" i="3"/>
  <c r="AZ392" i="3" s="1"/>
  <c r="BL400" i="3"/>
  <c r="AZ400" i="3" s="1"/>
  <c r="BA402" i="3"/>
  <c r="AZ402" i="3" s="1"/>
  <c r="BA403" i="3"/>
  <c r="BL411" i="3"/>
  <c r="AZ411" i="3" s="1"/>
  <c r="BL417" i="3"/>
  <c r="AZ417" i="3" s="1"/>
  <c r="BA420" i="3"/>
  <c r="AZ420" i="3" s="1"/>
  <c r="BL428" i="3"/>
  <c r="BL429" i="3"/>
  <c r="AZ429" i="3" s="1"/>
  <c r="AZ433" i="3"/>
  <c r="AZ446" i="3"/>
  <c r="BL465" i="3"/>
  <c r="AZ465" i="3" s="1"/>
  <c r="BA470" i="3"/>
  <c r="BL471" i="3"/>
  <c r="AZ471" i="3" s="1"/>
  <c r="BL495" i="3"/>
  <c r="AZ495" i="3" s="1"/>
  <c r="BL500" i="3"/>
  <c r="AZ500" i="3" s="1"/>
  <c r="BA505" i="3"/>
  <c r="AZ505" i="3" s="1"/>
  <c r="BA510" i="3"/>
  <c r="AZ510" i="3" s="1"/>
  <c r="BL519" i="3"/>
  <c r="AZ519" i="3" s="1"/>
  <c r="AZ521" i="3"/>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AZ215" i="3" s="1"/>
  <c r="BL224" i="3"/>
  <c r="BA240" i="3"/>
  <c r="BA250" i="3"/>
  <c r="AZ250" i="3" s="1"/>
  <c r="BL250" i="3"/>
  <c r="BA251" i="3"/>
  <c r="AZ251" i="3" s="1"/>
  <c r="BL259" i="3"/>
  <c r="AZ259" i="3" s="1"/>
  <c r="BL265" i="3"/>
  <c r="BA268" i="3"/>
  <c r="AZ268" i="3" s="1"/>
  <c r="G276" i="3"/>
  <c r="BL276" i="3"/>
  <c r="AZ276" i="3" s="1"/>
  <c r="BL277" i="3"/>
  <c r="AZ277" i="3" s="1"/>
  <c r="BA279" i="3"/>
  <c r="AZ279" i="3" s="1"/>
  <c r="BA281" i="3"/>
  <c r="BL288" i="3"/>
  <c r="BA304" i="3"/>
  <c r="BA314" i="3"/>
  <c r="AZ314" i="3" s="1"/>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AZ396" i="3" s="1"/>
  <c r="G404" i="3"/>
  <c r="BL404" i="3"/>
  <c r="AZ404" i="3" s="1"/>
  <c r="BL405" i="3"/>
  <c r="BA409" i="3"/>
  <c r="BA431" i="3"/>
  <c r="AZ431" i="3" s="1"/>
  <c r="BA432" i="3"/>
  <c r="BL440" i="3"/>
  <c r="AZ440" i="3" s="1"/>
  <c r="BA442" i="3"/>
  <c r="AZ442" i="3" s="1"/>
  <c r="BL442" i="3"/>
  <c r="BA443" i="3"/>
  <c r="BL451" i="3"/>
  <c r="AZ451" i="3" s="1"/>
  <c r="G463" i="3"/>
  <c r="BL466" i="3"/>
  <c r="AZ466" i="3" s="1"/>
  <c r="BL470" i="3"/>
  <c r="BA480" i="3"/>
  <c r="AZ480" i="3" s="1"/>
  <c r="AZ481" i="3"/>
  <c r="BA484" i="3"/>
  <c r="AZ484" i="3" s="1"/>
  <c r="BA491" i="3"/>
  <c r="BA508" i="3"/>
  <c r="AZ508" i="3" s="1"/>
  <c r="AZ541" i="3"/>
  <c r="AZ572" i="3"/>
  <c r="AZ580" i="3"/>
  <c r="F62" i="15"/>
  <c r="BL185" i="3"/>
  <c r="AZ185" i="3" s="1"/>
  <c r="BA200" i="3"/>
  <c r="BA212" i="3"/>
  <c r="AZ212" i="3" s="1"/>
  <c r="BA226" i="3"/>
  <c r="AZ226" i="3" s="1"/>
  <c r="BL226" i="3"/>
  <c r="BL235" i="3"/>
  <c r="BA244" i="3"/>
  <c r="AZ244" i="3" s="1"/>
  <c r="AZ245" i="3"/>
  <c r="BL253" i="3"/>
  <c r="AZ253" i="3" s="1"/>
  <c r="BA257" i="3"/>
  <c r="AZ257" i="3" s="1"/>
  <c r="BA290" i="3"/>
  <c r="BL290" i="3"/>
  <c r="BL299" i="3"/>
  <c r="BA308" i="3"/>
  <c r="AZ308" i="3" s="1"/>
  <c r="AZ309" i="3"/>
  <c r="BL317" i="3"/>
  <c r="AZ317" i="3" s="1"/>
  <c r="BA321" i="3"/>
  <c r="AZ321" i="3" s="1"/>
  <c r="BA343" i="3"/>
  <c r="AZ343" i="3" s="1"/>
  <c r="AZ344" i="3"/>
  <c r="BL352" i="3"/>
  <c r="BA354" i="3"/>
  <c r="BL354" i="3"/>
  <c r="BL363" i="3"/>
  <c r="BA372" i="3"/>
  <c r="AZ372" i="3" s="1"/>
  <c r="BL381" i="3"/>
  <c r="AZ381" i="3" s="1"/>
  <c r="BA385" i="3"/>
  <c r="AZ385" i="3" s="1"/>
  <c r="BA407" i="3"/>
  <c r="AZ407" i="3" s="1"/>
  <c r="BL416" i="3"/>
  <c r="BA418" i="3"/>
  <c r="BL418" i="3"/>
  <c r="BL427" i="3"/>
  <c r="BA436" i="3"/>
  <c r="AZ436" i="3" s="1"/>
  <c r="AZ437" i="3"/>
  <c r="BL445" i="3"/>
  <c r="AZ445" i="3" s="1"/>
  <c r="BA449" i="3"/>
  <c r="AZ449" i="3" s="1"/>
  <c r="BL455" i="3"/>
  <c r="AZ455" i="3" s="1"/>
  <c r="BL462" i="3"/>
  <c r="BL464" i="3"/>
  <c r="BA472" i="3"/>
  <c r="AZ472" i="3" s="1"/>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AZ217" i="3" s="1"/>
  <c r="G228" i="3"/>
  <c r="BL228" i="3"/>
  <c r="BL229" i="3"/>
  <c r="BA231" i="3"/>
  <c r="AZ231" i="3" s="1"/>
  <c r="BA233" i="3"/>
  <c r="AZ233" i="3" s="1"/>
  <c r="BL240" i="3"/>
  <c r="BA256" i="3"/>
  <c r="AZ256" i="3" s="1"/>
  <c r="BA266" i="3"/>
  <c r="BL266" i="3"/>
  <c r="BA267" i="3"/>
  <c r="AZ267" i="3" s="1"/>
  <c r="BL275" i="3"/>
  <c r="BL281" i="3"/>
  <c r="BA284" i="3"/>
  <c r="AZ284" i="3" s="1"/>
  <c r="G292" i="3"/>
  <c r="BL292" i="3"/>
  <c r="BL293" i="3"/>
  <c r="AZ293" i="3" s="1"/>
  <c r="BA295" i="3"/>
  <c r="AZ295" i="3" s="1"/>
  <c r="BA297" i="3"/>
  <c r="AZ297" i="3" s="1"/>
  <c r="BL304" i="3"/>
  <c r="BA319" i="3"/>
  <c r="AZ319" i="3" s="1"/>
  <c r="BA320" i="3"/>
  <c r="AZ320" i="3" s="1"/>
  <c r="BL328" i="3"/>
  <c r="BA330" i="3"/>
  <c r="BL330" i="3"/>
  <c r="BA331" i="3"/>
  <c r="AZ331" i="3" s="1"/>
  <c r="BL339" i="3"/>
  <c r="BL345" i="3"/>
  <c r="BA348" i="3"/>
  <c r="AZ348" i="3" s="1"/>
  <c r="G356" i="3"/>
  <c r="BL356" i="3"/>
  <c r="BL357" i="3"/>
  <c r="BA361" i="3"/>
  <c r="AZ361" i="3" s="1"/>
  <c r="BA383" i="3"/>
  <c r="AZ383" i="3" s="1"/>
  <c r="BA384" i="3"/>
  <c r="AZ384" i="3" s="1"/>
  <c r="BL392" i="3"/>
  <c r="BA394" i="3"/>
  <c r="AZ394" i="3" s="1"/>
  <c r="BL394" i="3"/>
  <c r="BA395" i="3"/>
  <c r="AZ395" i="3" s="1"/>
  <c r="BL403" i="3"/>
  <c r="BL409" i="3"/>
  <c r="BA412" i="3"/>
  <c r="AZ412" i="3" s="1"/>
  <c r="G420" i="3"/>
  <c r="BL421" i="3"/>
  <c r="AZ421" i="3" s="1"/>
  <c r="BA425" i="3"/>
  <c r="AZ425" i="3" s="1"/>
  <c r="BA447" i="3"/>
  <c r="AZ447" i="3" s="1"/>
  <c r="BA448" i="3"/>
  <c r="AZ448" i="3" s="1"/>
  <c r="BA457" i="3"/>
  <c r="AZ457" i="3" s="1"/>
  <c r="BL474" i="3"/>
  <c r="AZ479" i="3"/>
  <c r="BL491" i="3"/>
  <c r="BA516" i="3"/>
  <c r="AZ516" i="3" s="1"/>
  <c r="BL528" i="3"/>
  <c r="AZ528" i="3" s="1"/>
  <c r="BL550" i="3"/>
  <c r="AZ550" i="3" s="1"/>
  <c r="AZ555" i="3"/>
  <c r="AZ568" i="3"/>
  <c r="BA576" i="3"/>
  <c r="AZ576" i="3" s="1"/>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AZ232" i="3"/>
  <c r="BA242" i="3"/>
  <c r="AZ242" i="3" s="1"/>
  <c r="BL251" i="3"/>
  <c r="BA260" i="3"/>
  <c r="G268" i="3"/>
  <c r="BL269" i="3"/>
  <c r="AZ269" i="3" s="1"/>
  <c r="BA271" i="3"/>
  <c r="AZ271" i="3" s="1"/>
  <c r="AZ273" i="3"/>
  <c r="BL280" i="3"/>
  <c r="AZ280" i="3" s="1"/>
  <c r="AZ286" i="3"/>
  <c r="AZ296" i="3"/>
  <c r="BA306" i="3"/>
  <c r="AZ306" i="3" s="1"/>
  <c r="BL315" i="3"/>
  <c r="BA324" i="3"/>
  <c r="AZ324" i="3" s="1"/>
  <c r="G332" i="3"/>
  <c r="BL333" i="3"/>
  <c r="AZ333" i="3" s="1"/>
  <c r="AZ337" i="3"/>
  <c r="AZ350" i="3"/>
  <c r="BA359" i="3"/>
  <c r="AZ359" i="3" s="1"/>
  <c r="BL368" i="3"/>
  <c r="BA370" i="3"/>
  <c r="AZ370" i="3" s="1"/>
  <c r="BL379" i="3"/>
  <c r="BA388" i="3"/>
  <c r="AZ388" i="3" s="1"/>
  <c r="G396" i="3"/>
  <c r="BL397" i="3"/>
  <c r="AZ397" i="3" s="1"/>
  <c r="AZ401" i="3"/>
  <c r="AZ414" i="3"/>
  <c r="BA423" i="3"/>
  <c r="AZ423" i="3" s="1"/>
  <c r="BL432" i="3"/>
  <c r="BA434" i="3"/>
  <c r="AZ434" i="3" s="1"/>
  <c r="BL443" i="3"/>
  <c r="BA452" i="3"/>
  <c r="AZ452" i="3" s="1"/>
  <c r="AZ453" i="3"/>
  <c r="AZ460" i="3"/>
  <c r="BA476" i="3"/>
  <c r="AZ476" i="3" s="1"/>
  <c r="BL485" i="3"/>
  <c r="AZ485" i="3" s="1"/>
  <c r="AZ487" i="3"/>
  <c r="BA493" i="3"/>
  <c r="AZ493" i="3" s="1"/>
  <c r="AZ503" i="3"/>
  <c r="AZ517" i="3"/>
  <c r="AZ553" i="3"/>
  <c r="W33" i="34"/>
  <c r="BA458" i="3"/>
  <c r="AZ458" i="3" s="1"/>
  <c r="BA490" i="3"/>
  <c r="AZ490" i="3" s="1"/>
  <c r="BA494" i="3"/>
  <c r="AZ494" i="3" s="1"/>
  <c r="BA514" i="3"/>
  <c r="AZ514" i="3" s="1"/>
  <c r="BL539" i="3"/>
  <c r="AZ539" i="3" s="1"/>
  <c r="BL552" i="3"/>
  <c r="AZ552" i="3" s="1"/>
  <c r="BL564" i="3"/>
  <c r="BA565" i="3"/>
  <c r="AZ565" i="3" s="1"/>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AZ585" i="3" s="1"/>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AZ532" i="3" s="1"/>
  <c r="BA545" i="3"/>
  <c r="AZ545" i="3" s="1"/>
  <c r="BA551" i="3"/>
  <c r="AZ551" i="3" s="1"/>
  <c r="BL554" i="3"/>
  <c r="BL558" i="3"/>
  <c r="AZ558" i="3" s="1"/>
  <c r="BL566" i="3"/>
  <c r="AZ566" i="3" s="1"/>
  <c r="BL567" i="3"/>
  <c r="BL571" i="3"/>
  <c r="AZ571" i="3" s="1"/>
  <c r="C12" i="12"/>
  <c r="C15" i="12"/>
  <c r="AR13" i="1"/>
  <c r="AQ8" i="1"/>
  <c r="AQ10" i="1"/>
  <c r="T9" i="1"/>
  <c r="AR7" i="1"/>
  <c r="AQ12" i="1"/>
  <c r="AQ11" i="1"/>
  <c r="AR9" i="1"/>
  <c r="AQ7" i="1"/>
  <c r="T13" i="1"/>
  <c r="AQ13" i="1"/>
  <c r="T12" i="1"/>
  <c r="T11" i="1"/>
  <c r="T8"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AZ498" i="3" s="1"/>
  <c r="BA523" i="3"/>
  <c r="AZ523" i="3" s="1"/>
  <c r="BA526" i="3"/>
  <c r="AZ526" i="3" s="1"/>
  <c r="BL530" i="3"/>
  <c r="BL555" i="3"/>
  <c r="BA560" i="3"/>
  <c r="AZ560" i="3" s="1"/>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AZ515" i="3" s="1"/>
  <c r="G526" i="3"/>
  <c r="BA527" i="3"/>
  <c r="AZ527" i="3" s="1"/>
  <c r="G531" i="3"/>
  <c r="BL532" i="3"/>
  <c r="BA533" i="3"/>
  <c r="BL538" i="3"/>
  <c r="BA547" i="3"/>
  <c r="AZ547" i="3" s="1"/>
  <c r="BA561" i="3"/>
  <c r="AZ561" i="3" s="1"/>
  <c r="BA581" i="3"/>
  <c r="AZ581" i="3" s="1"/>
  <c r="BL584" i="3"/>
  <c r="AZ584" i="3" s="1"/>
  <c r="BL587" i="3"/>
  <c r="AZ587" i="3" s="1"/>
  <c r="AQ9" i="1"/>
  <c r="T10"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AZ563" i="3" s="1"/>
  <c r="BA564" i="3"/>
  <c r="AZ564" i="3" s="1"/>
  <c r="AZ577" i="3"/>
  <c r="S10" i="1"/>
  <c r="AR10" i="1" s="1"/>
  <c r="B10" i="1"/>
  <c r="E10" i="1" s="1"/>
  <c r="W14" i="34"/>
  <c r="AC14" i="34"/>
  <c r="AB27" i="34"/>
  <c r="U27"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AZ570" i="3" s="1"/>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AA46" i="21"/>
  <c r="S46"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AB29"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D7" i="77"/>
  <c r="C26" i="77" s="1"/>
  <c r="C32" i="77" s="1"/>
  <c r="C38" i="77" s="1"/>
  <c r="C39" i="77" s="1"/>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S45" i="39"/>
  <c r="AA45" i="39"/>
  <c r="J13" i="39"/>
  <c r="H13" i="39"/>
  <c r="AA44" i="39"/>
  <c r="S44" i="39"/>
  <c r="S21" i="40"/>
  <c r="AA21" i="40"/>
  <c r="S38" i="40"/>
  <c r="AA38" i="40"/>
  <c r="AF10" i="43"/>
  <c r="O63" i="71"/>
  <c r="D63" i="71"/>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C83" i="71"/>
  <c r="D83" i="71" s="1"/>
  <c r="D84" i="71"/>
  <c r="AB32" i="37"/>
  <c r="AB40" i="37"/>
  <c r="U22" i="36"/>
  <c r="W29" i="36"/>
  <c r="AA8" i="39"/>
  <c r="AB27" i="39"/>
  <c r="H37" i="39"/>
  <c r="F37" i="39"/>
  <c r="U17" i="40"/>
  <c r="AB17" i="40"/>
  <c r="AA19" i="40"/>
  <c r="S19" i="40"/>
  <c r="W38" i="40"/>
  <c r="AC38" i="40"/>
  <c r="E42" i="40"/>
  <c r="E47" i="40" s="1"/>
  <c r="F47"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G46" i="40"/>
  <c r="H46" i="40" s="1"/>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E46" i="40"/>
  <c r="F46" i="40"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AB10" i="34" l="1"/>
  <c r="U10" i="34"/>
  <c r="H67" i="34"/>
  <c r="I67" i="34" s="1"/>
  <c r="F10" i="34"/>
  <c r="F86" i="34"/>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E458" i="3"/>
  <c r="E420" i="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36" i="11"/>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C48" i="68"/>
  <c r="F48" i="68"/>
  <c r="C30" i="68"/>
  <c r="AC11" i="34"/>
  <c r="W11" i="34"/>
  <c r="R25" i="77"/>
  <c r="R5" i="77" s="1"/>
  <c r="U5" i="77" s="1"/>
  <c r="E56" i="3"/>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C36" i="68"/>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558" i="3"/>
  <c r="E28" i="6"/>
  <c r="G30" i="6"/>
  <c r="AH13" i="43"/>
  <c r="E526" i="3"/>
  <c r="U26" i="35"/>
  <c r="AB26" i="35"/>
  <c r="S34" i="35"/>
  <c r="AA34" i="35"/>
  <c r="D20" i="71"/>
  <c r="C19" i="71"/>
  <c r="U21" i="40"/>
  <c r="AB21" i="40"/>
  <c r="AB25" i="37"/>
  <c r="U25" i="37"/>
  <c r="D41" i="71"/>
  <c r="T41" i="71"/>
  <c r="AB23" i="36"/>
  <c r="U23" i="36"/>
  <c r="AI13" i="43"/>
  <c r="C44" i="68"/>
  <c r="D41" i="68" s="1"/>
  <c r="S12" i="34"/>
  <c r="AA12" i="34"/>
  <c r="F62" i="81"/>
  <c r="S14" i="33"/>
  <c r="AA14" i="33"/>
  <c r="I47" i="40"/>
  <c r="J47" i="40" s="1"/>
  <c r="AC45" i="34"/>
  <c r="W45" i="34"/>
  <c r="BL5" i="3"/>
  <c r="E196" i="3"/>
  <c r="AZ315" i="3"/>
  <c r="AZ32" i="3"/>
  <c r="M18" i="9"/>
  <c r="B118" i="9" s="1"/>
  <c r="B14" i="74" s="1"/>
  <c r="B1" i="74" s="1"/>
  <c r="K6" i="1"/>
  <c r="G16" i="1" s="1"/>
  <c r="AN6" i="3"/>
  <c r="AZ159" i="3"/>
  <c r="AZ187" i="3"/>
  <c r="AZ65" i="3"/>
  <c r="AZ533" i="3"/>
  <c r="S11" i="34"/>
  <c r="AA11" i="34"/>
  <c r="AZ554" i="3"/>
  <c r="D9" i="68"/>
  <c r="D9" i="11"/>
  <c r="C9" i="11" s="1"/>
  <c r="D9" i="69"/>
  <c r="D19" i="12"/>
  <c r="C19" i="12" s="1"/>
  <c r="E292" i="3"/>
  <c r="AZ266" i="3"/>
  <c r="AZ520" i="3"/>
  <c r="AZ200" i="3"/>
  <c r="AZ432" i="3"/>
  <c r="AZ228" i="3"/>
  <c r="AZ462" i="3"/>
  <c r="AZ416" i="3"/>
  <c r="AZ362" i="3"/>
  <c r="AZ235" i="3"/>
  <c r="F29" i="6"/>
  <c r="E29" i="6" s="1"/>
  <c r="K15" i="1" s="1"/>
  <c r="AZ164" i="3"/>
  <c r="AZ129" i="3"/>
  <c r="E76" i="3"/>
  <c r="E107" i="3"/>
  <c r="AZ531" i="3"/>
  <c r="E38" i="77"/>
  <c r="E39" i="77" s="1"/>
  <c r="C40" i="77" s="1"/>
  <c r="E26" i="77"/>
  <c r="E32" i="77" s="1"/>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S3" i="43"/>
  <c r="S4" i="43"/>
  <c r="AG11" i="43"/>
  <c r="AG13" i="43" s="1"/>
  <c r="Z7" i="43"/>
  <c r="M101" i="43"/>
  <c r="B113" i="43"/>
  <c r="Z11" i="43"/>
  <c r="Z13" i="43" s="1"/>
  <c r="AZ76" i="3"/>
  <c r="AZ52" i="3"/>
  <c r="E13" i="3"/>
  <c r="G5" i="3"/>
  <c r="B3" i="3" s="1"/>
  <c r="E276" i="3"/>
  <c r="AZ470" i="3"/>
  <c r="AZ224" i="3"/>
  <c r="U13" i="34"/>
  <c r="AB13" i="34"/>
  <c r="E139" i="3"/>
  <c r="K6" i="3"/>
  <c r="AZ81" i="3"/>
  <c r="AZ20" i="3"/>
  <c r="AZ60" i="3"/>
  <c r="AB17" i="34"/>
  <c r="U17" i="34"/>
  <c r="AZ567" i="3"/>
  <c r="AZ529" i="3"/>
  <c r="AZ260" i="3"/>
  <c r="AZ330" i="3"/>
  <c r="AZ443" i="3"/>
  <c r="AZ409" i="3"/>
  <c r="AZ240" i="3"/>
  <c r="AZ403" i="3"/>
  <c r="AZ427" i="3"/>
  <c r="AZ184" i="3"/>
  <c r="AA13" i="34"/>
  <c r="S13" i="34"/>
  <c r="E48" i="3"/>
  <c r="J51" i="80"/>
  <c r="M47" i="82"/>
  <c r="C7" i="35"/>
  <c r="G19" i="43"/>
  <c r="M47" i="83"/>
  <c r="C7" i="40"/>
  <c r="C63" i="40" s="1"/>
  <c r="C7" i="21"/>
  <c r="C58" i="21" s="1"/>
  <c r="C7" i="37"/>
  <c r="C52" i="37" s="1"/>
  <c r="C7" i="36"/>
  <c r="C46" i="36" s="1"/>
  <c r="C7" i="34"/>
  <c r="C59" i="34" s="1"/>
  <c r="M47" i="9"/>
  <c r="C7" i="39"/>
  <c r="C68" i="39" s="1"/>
  <c r="J51" i="15"/>
  <c r="C42" i="1"/>
  <c r="C7" i="33"/>
  <c r="C58" i="33" s="1"/>
  <c r="G31" i="6"/>
  <c r="E120" i="3"/>
  <c r="M6" i="3"/>
  <c r="AZ100" i="3"/>
  <c r="AZ174" i="3"/>
  <c r="AZ89" i="3"/>
  <c r="AA17" i="34"/>
  <c r="S17" i="34"/>
  <c r="E396" i="3"/>
  <c r="AZ418" i="3"/>
  <c r="AZ354" i="3"/>
  <c r="AZ290" i="3"/>
  <c r="AZ379" i="3"/>
  <c r="AZ345" i="3"/>
  <c r="AZ499" i="3"/>
  <c r="AZ393" i="3"/>
  <c r="AZ176" i="3"/>
  <c r="AZ236" i="3"/>
  <c r="L1" i="73"/>
  <c r="J1" i="73"/>
  <c r="AZ92" i="3"/>
  <c r="AZ140" i="3"/>
  <c r="BB5" i="3"/>
  <c r="E11" i="6" s="1"/>
  <c r="BA18" i="3"/>
  <c r="AZ18" i="3" s="1"/>
  <c r="AZ219" i="3"/>
  <c r="E183" i="3"/>
  <c r="AZ40" i="3"/>
  <c r="D80" i="71"/>
  <c r="C79" i="71"/>
  <c r="D79" i="71" s="1"/>
  <c r="E511" i="3"/>
  <c r="AZ491" i="3"/>
  <c r="AZ281" i="3"/>
  <c r="AZ292" i="3"/>
  <c r="AZ464" i="3"/>
  <c r="AZ363" i="3"/>
  <c r="AZ329" i="3"/>
  <c r="AZ265" i="3"/>
  <c r="E212" i="3"/>
  <c r="AZ13" i="3"/>
  <c r="C4" i="4"/>
  <c r="D11" i="49"/>
  <c r="AZ73" i="3"/>
  <c r="E18" i="3"/>
  <c r="AZ16" i="3"/>
  <c r="AZ193" i="3"/>
  <c r="M23" i="15"/>
  <c r="F13" i="15"/>
  <c r="F40" i="67"/>
  <c r="F16" i="15"/>
  <c r="F9" i="81"/>
  <c r="F8" i="67"/>
  <c r="M23" i="67"/>
  <c r="F26" i="81"/>
  <c r="M8" i="81"/>
  <c r="M8" i="67"/>
  <c r="M26" i="81"/>
  <c r="L47" i="81"/>
  <c r="C76" i="81"/>
  <c r="M23" i="80"/>
  <c r="J15" i="80"/>
  <c r="M9" i="15"/>
  <c r="M21" i="80"/>
  <c r="M22" i="67"/>
  <c r="F41" i="80"/>
  <c r="M29" i="67"/>
  <c r="F42" i="67"/>
  <c r="M26" i="67"/>
  <c r="M9" i="80"/>
  <c r="F8" i="80"/>
  <c r="F13" i="81"/>
  <c r="L48" i="80"/>
  <c r="C76" i="80"/>
  <c r="M26" i="15"/>
  <c r="M24" i="15"/>
  <c r="C14" i="80"/>
  <c r="F7" i="15"/>
  <c r="M28" i="81"/>
  <c r="F6" i="80"/>
  <c r="M24" i="67"/>
  <c r="F8" i="81"/>
  <c r="F40" i="80"/>
  <c r="F43" i="15"/>
  <c r="F36" i="80"/>
  <c r="F26" i="80"/>
  <c r="F43" i="67"/>
  <c r="F7" i="81"/>
  <c r="F35" i="81"/>
  <c r="M29" i="15"/>
  <c r="F37" i="80"/>
  <c r="F36" i="15"/>
  <c r="M29" i="81"/>
  <c r="M6" i="67"/>
  <c r="M27" i="67"/>
  <c r="F26" i="67"/>
  <c r="F35" i="67"/>
  <c r="M22" i="80"/>
  <c r="M21" i="81"/>
  <c r="J15" i="67"/>
  <c r="M28" i="15"/>
  <c r="L47" i="67"/>
  <c r="M23" i="81"/>
  <c r="F6" i="67"/>
  <c r="F9" i="80"/>
  <c r="M6" i="15"/>
  <c r="M28" i="67"/>
  <c r="F38" i="81"/>
  <c r="M9" i="81"/>
  <c r="L48" i="67"/>
  <c r="F6" i="81"/>
  <c r="F37" i="81"/>
  <c r="F16" i="81"/>
  <c r="F7" i="67"/>
  <c r="F42" i="80"/>
  <c r="L47" i="80"/>
  <c r="M6" i="81"/>
  <c r="J15" i="81"/>
  <c r="F40" i="15"/>
  <c r="F43" i="81"/>
  <c r="C14" i="81"/>
  <c r="C76" i="15"/>
  <c r="M26" i="80"/>
  <c r="F9" i="15"/>
  <c r="M21" i="67"/>
  <c r="F7" i="80"/>
  <c r="M22" i="81"/>
  <c r="M6" i="80"/>
  <c r="F40" i="81"/>
  <c r="J15" i="15"/>
  <c r="M28" i="80"/>
  <c r="L48" i="81"/>
  <c r="C76" i="67"/>
  <c r="F42" i="81"/>
  <c r="F36" i="67"/>
  <c r="F37" i="67"/>
  <c r="M24" i="80"/>
  <c r="F42" i="15"/>
  <c r="F38" i="67"/>
  <c r="F38" i="80"/>
  <c r="M27" i="81"/>
  <c r="F38" i="15"/>
  <c r="F41" i="81"/>
  <c r="M8" i="80"/>
  <c r="M9" i="67"/>
  <c r="M29" i="80"/>
  <c r="M27" i="80"/>
  <c r="F13" i="80"/>
  <c r="M8" i="15"/>
  <c r="M22" i="15"/>
  <c r="F37" i="15"/>
  <c r="F26" i="15"/>
  <c r="M27" i="15"/>
  <c r="F6" i="15"/>
  <c r="F35" i="80"/>
  <c r="L47" i="15"/>
  <c r="F9" i="67"/>
  <c r="F13" i="67"/>
  <c r="F16" i="80"/>
  <c r="F41" i="67"/>
  <c r="F8" i="15"/>
  <c r="F16" i="67"/>
  <c r="L48" i="15"/>
  <c r="F43" i="80"/>
  <c r="M24" i="81"/>
  <c r="F36" i="81"/>
  <c r="S10" i="34" l="1"/>
  <c r="AA10" i="34"/>
  <c r="AC23" i="34"/>
  <c r="W23" i="34"/>
  <c r="C6" i="81"/>
  <c r="L57" i="81"/>
  <c r="L56" i="81"/>
  <c r="L60" i="81"/>
  <c r="L46" i="81"/>
  <c r="J53" i="81"/>
  <c r="J60" i="81"/>
  <c r="Q48" i="81" s="1"/>
  <c r="J59" i="81"/>
  <c r="J57" i="81"/>
  <c r="J55" i="81" s="1"/>
  <c r="J58" i="81" s="1"/>
  <c r="Q50" i="81" s="1"/>
  <c r="I54" i="81"/>
  <c r="F68" i="15"/>
  <c r="J52" i="15"/>
  <c r="Q51" i="15" s="1"/>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C23" i="71"/>
  <c r="D23" i="71" s="1"/>
  <c r="D24" i="71"/>
  <c r="D46" i="36"/>
  <c r="E46" i="36" s="1"/>
  <c r="F46" i="36" s="1"/>
  <c r="G46" i="36" s="1"/>
  <c r="H46" i="36" s="1"/>
  <c r="I46" i="36" s="1"/>
  <c r="J46" i="36" s="1"/>
  <c r="K46" i="36" s="1"/>
  <c r="L46" i="36" s="1"/>
  <c r="M46" i="36" s="1"/>
  <c r="N46" i="36" s="1"/>
  <c r="O46" i="36" s="1"/>
  <c r="H7" i="36"/>
  <c r="F7" i="36"/>
  <c r="J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C8" i="74"/>
  <c r="C7" i="74"/>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K22" i="6"/>
  <c r="M22" i="6" s="1"/>
  <c r="I22" i="6" s="1"/>
  <c r="S22" i="6"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C34" i="69"/>
  <c r="K16" i="1"/>
  <c r="H16" i="1"/>
  <c r="K4" i="4"/>
  <c r="B46" i="48" s="1"/>
  <c r="B4" i="72" s="1"/>
  <c r="B4" i="62"/>
  <c r="B71" i="72" s="1"/>
  <c r="BA5" i="3"/>
  <c r="E27" i="6" s="1"/>
  <c r="E31" i="6" s="1"/>
  <c r="J57" i="15"/>
  <c r="J55" i="15" s="1"/>
  <c r="J58" i="15" s="1"/>
  <c r="Q50" i="15" s="1"/>
  <c r="I54" i="15"/>
  <c r="J53"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D6" i="73"/>
  <c r="C16" i="67"/>
  <c r="F4" i="73"/>
  <c r="C16" i="81"/>
  <c r="F6" i="73"/>
  <c r="D5" i="73"/>
  <c r="F3" i="73"/>
  <c r="C14" i="67"/>
  <c r="F7" i="73"/>
  <c r="C16" i="15"/>
  <c r="D4" i="73"/>
  <c r="C16" i="80"/>
  <c r="C17" i="81"/>
  <c r="F5" i="73"/>
  <c r="C17" i="80"/>
  <c r="D3" i="73"/>
  <c r="C17" i="67"/>
  <c r="D7" i="73"/>
  <c r="C49" i="80" l="1"/>
  <c r="C49" i="67"/>
  <c r="K1" i="73"/>
  <c r="I1" i="73"/>
  <c r="B39" i="1" s="1"/>
  <c r="C18" i="67"/>
  <c r="C15" i="67"/>
  <c r="J18" i="15"/>
  <c r="J18" i="81"/>
  <c r="J18" i="67"/>
  <c r="J18" i="80"/>
  <c r="S9" i="71"/>
  <c r="B8" i="71"/>
  <c r="B7" i="71" s="1"/>
  <c r="B6" i="71" s="1"/>
  <c r="B5" i="71" s="1"/>
  <c r="W10" i="39"/>
  <c r="AC10" i="39"/>
  <c r="C35" i="69"/>
  <c r="C38" i="69"/>
  <c r="J7" i="37"/>
  <c r="K23" i="6"/>
  <c r="M23" i="6" s="1"/>
  <c r="I23" i="6" s="1"/>
  <c r="S23" i="6" s="1"/>
  <c r="H7" i="21"/>
  <c r="E59" i="40"/>
  <c r="E64" i="39"/>
  <c r="AA10" i="40"/>
  <c r="S10" i="40"/>
  <c r="Q52" i="67"/>
  <c r="F1" i="67"/>
  <c r="Q61" i="15"/>
  <c r="Q74" i="15"/>
  <c r="M16" i="1"/>
  <c r="N16" i="1"/>
  <c r="D65" i="40"/>
  <c r="E63" i="40"/>
  <c r="J7" i="21"/>
  <c r="E62" i="39"/>
  <c r="E57" i="40"/>
  <c r="F7" i="34"/>
  <c r="AB10" i="39"/>
  <c r="U10" i="39"/>
  <c r="Q60" i="80"/>
  <c r="Q73" i="80"/>
  <c r="F1" i="81"/>
  <c r="Q52" i="81"/>
  <c r="F27" i="68"/>
  <c r="F27" i="11"/>
  <c r="F28" i="12"/>
  <c r="C29" i="12" s="1"/>
  <c r="D28" i="12" s="1"/>
  <c r="F27" i="69"/>
  <c r="K26" i="6"/>
  <c r="M26" i="6" s="1"/>
  <c r="I26" i="6" s="1"/>
  <c r="S26" i="6" s="1"/>
  <c r="K25" i="6"/>
  <c r="M25" i="6" s="1"/>
  <c r="I25" i="6" s="1"/>
  <c r="S25" i="6" s="1"/>
  <c r="F7" i="21"/>
  <c r="E58" i="40"/>
  <c r="F58" i="40" s="1"/>
  <c r="E63" i="39"/>
  <c r="F59" i="40"/>
  <c r="AC7" i="36"/>
  <c r="V36" i="36" s="1"/>
  <c r="I36" i="36" s="1"/>
  <c r="W7" i="36"/>
  <c r="J7" i="34"/>
  <c r="AC10" i="40"/>
  <c r="W10" i="40"/>
  <c r="H34" i="6"/>
  <c r="T33" i="71"/>
  <c r="D33" i="71"/>
  <c r="T37" i="71"/>
  <c r="D37" i="71"/>
  <c r="K20" i="6"/>
  <c r="M20" i="6" s="1"/>
  <c r="I20" i="6" s="1"/>
  <c r="S20" i="6" s="1"/>
  <c r="K19" i="6"/>
  <c r="C26" i="12"/>
  <c r="D25" i="12" s="1"/>
  <c r="AB7" i="33"/>
  <c r="T48" i="33" s="1"/>
  <c r="G48" i="33" s="1"/>
  <c r="U7" i="33"/>
  <c r="E51" i="40"/>
  <c r="E56" i="39"/>
  <c r="F27" i="6"/>
  <c r="F31" i="6" s="1"/>
  <c r="E16" i="6"/>
  <c r="AA7" i="36"/>
  <c r="R36" i="36" s="1"/>
  <c r="S7" i="36"/>
  <c r="Q60" i="81"/>
  <c r="Q73" i="81"/>
  <c r="C32" i="67"/>
  <c r="Q74" i="80"/>
  <c r="Q61" i="80"/>
  <c r="Q73" i="67"/>
  <c r="Q60" i="67"/>
  <c r="C20" i="81"/>
  <c r="C26" i="81" s="1"/>
  <c r="Q73" i="15"/>
  <c r="Q60" i="15"/>
  <c r="C20" i="80"/>
  <c r="Q66" i="81"/>
  <c r="Q57" i="81"/>
  <c r="F1" i="15"/>
  <c r="Q52" i="15"/>
  <c r="E12" i="71"/>
  <c r="E11" i="71" s="1"/>
  <c r="E10" i="71" s="1"/>
  <c r="E9" i="71" s="1"/>
  <c r="V13" i="71"/>
  <c r="G7" i="35"/>
  <c r="F7" i="35"/>
  <c r="C46" i="34"/>
  <c r="AA7" i="33"/>
  <c r="R48" i="33" s="1"/>
  <c r="S7" i="33"/>
  <c r="F57" i="40"/>
  <c r="U7" i="36"/>
  <c r="AB7" i="36"/>
  <c r="T36" i="36" s="1"/>
  <c r="G36" i="36" s="1"/>
  <c r="H7" i="34"/>
  <c r="Q66" i="80"/>
  <c r="Q57" i="80"/>
  <c r="Q74" i="67"/>
  <c r="Q61" i="67"/>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K21" i="6"/>
  <c r="M21" i="6" s="1"/>
  <c r="I21" i="6" s="1"/>
  <c r="S21" i="6" s="1"/>
  <c r="AC7" i="33"/>
  <c r="V48" i="33" s="1"/>
  <c r="I48" i="33" s="1"/>
  <c r="W7" i="33"/>
  <c r="F51" i="40"/>
  <c r="F61" i="40" s="1"/>
  <c r="B2" i="40" s="1"/>
  <c r="H6" i="3"/>
  <c r="E6" i="3" s="1"/>
  <c r="AC6" i="3"/>
  <c r="AB10" i="40"/>
  <c r="U10" i="40"/>
  <c r="C33" i="80"/>
  <c r="C32" i="80"/>
  <c r="Q74" i="81"/>
  <c r="Q61" i="81"/>
  <c r="C33" i="15"/>
  <c r="C32" i="15"/>
  <c r="Q66" i="15"/>
  <c r="Q57" i="15"/>
  <c r="C49" i="81"/>
  <c r="C115" i="43"/>
  <c r="D113" i="43"/>
  <c r="C38" i="43"/>
  <c r="C34" i="43"/>
  <c r="C35" i="43"/>
  <c r="C33" i="43"/>
  <c r="C37" i="43"/>
  <c r="C39" i="43"/>
  <c r="C36" i="43"/>
  <c r="F7" i="37"/>
  <c r="K24" i="6"/>
  <c r="M24" i="6" s="1"/>
  <c r="I24" i="6" s="1"/>
  <c r="S24" i="6" s="1"/>
  <c r="E3" i="6"/>
  <c r="AY6" i="3"/>
  <c r="F60" i="40"/>
  <c r="C17" i="71"/>
  <c r="D18" i="71"/>
  <c r="F1" i="80"/>
  <c r="Q52" i="80"/>
  <c r="S10" i="39"/>
  <c r="AA10" i="39"/>
  <c r="C49" i="15"/>
  <c r="C33" i="81"/>
  <c r="C32" i="81"/>
  <c r="G1" i="73"/>
  <c r="AE6" i="1"/>
  <c r="C31" i="80" l="1"/>
  <c r="C19" i="67"/>
  <c r="C20" i="67" s="1"/>
  <c r="C23" i="67" s="1"/>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J46" i="34"/>
  <c r="F46" i="34"/>
  <c r="H46" i="34"/>
  <c r="S7" i="21"/>
  <c r="AA7" i="21"/>
  <c r="R48" i="21" s="1"/>
  <c r="E66" i="39"/>
  <c r="AC7" i="34"/>
  <c r="W7" i="34"/>
  <c r="C29" i="68"/>
  <c r="D27" i="68" s="1"/>
  <c r="F45" i="68"/>
  <c r="C47" i="68"/>
  <c r="D45" i="68" s="1"/>
  <c r="C28" i="68"/>
  <c r="C27" i="68" s="1"/>
  <c r="C37" i="34"/>
  <c r="F50" i="69"/>
  <c r="F50" i="68"/>
  <c r="F50" i="11"/>
  <c r="G39" i="43"/>
  <c r="I39" i="43" s="1"/>
  <c r="E39" i="43"/>
  <c r="R37" i="36"/>
  <c r="E36" i="36"/>
  <c r="G33" i="43"/>
  <c r="I33" i="43" s="1"/>
  <c r="E33" i="43"/>
  <c r="G41" i="36"/>
  <c r="H41" i="36" s="1"/>
  <c r="G40" i="36"/>
  <c r="H40" i="36" s="1"/>
  <c r="S6" i="1"/>
  <c r="M19" i="6"/>
  <c r="K27" i="6"/>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C27" i="43" s="1"/>
  <c r="E29" i="43"/>
  <c r="F68" i="39"/>
  <c r="E70" i="39"/>
  <c r="W7" i="21"/>
  <c r="AC7" i="21"/>
  <c r="V48" i="21" s="1"/>
  <c r="I48" i="21" s="1"/>
  <c r="E6" i="76"/>
  <c r="C17" i="15"/>
  <c r="F41" i="15"/>
  <c r="F69" i="15" l="1"/>
  <c r="C29" i="80"/>
  <c r="J14" i="80" s="1"/>
  <c r="C26" i="67"/>
  <c r="C29" i="67" s="1"/>
  <c r="Q49" i="81"/>
  <c r="C13" i="81"/>
  <c r="C75" i="81" s="1"/>
  <c r="C36" i="81"/>
  <c r="J14" i="81"/>
  <c r="J22" i="81" s="1"/>
  <c r="C57" i="81"/>
  <c r="C64" i="81" s="1"/>
  <c r="E2" i="76"/>
  <c r="J19" i="80"/>
  <c r="J17" i="80"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R49" i="21"/>
  <c r="F65" i="40"/>
  <c r="G63" i="40"/>
  <c r="C38" i="11"/>
  <c r="C35" i="11"/>
  <c r="C33" i="11"/>
  <c r="I19" i="6"/>
  <c r="M27" i="6"/>
  <c r="C53" i="80"/>
  <c r="C48" i="80" s="1"/>
  <c r="C10" i="80"/>
  <c r="C5" i="80" s="1"/>
  <c r="E42" i="37"/>
  <c r="I47" i="37" s="1"/>
  <c r="J47" i="37" s="1"/>
  <c r="R43" i="37"/>
  <c r="J34" i="34"/>
  <c r="H34" i="34"/>
  <c r="F34" i="34"/>
  <c r="S16" i="1"/>
  <c r="AQ6" i="1"/>
  <c r="AR6" i="1"/>
  <c r="T6" i="1"/>
  <c r="E6" i="70"/>
  <c r="E2" i="70" s="1"/>
  <c r="AB46" i="34"/>
  <c r="U46"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S46" i="34"/>
  <c r="AA46" i="34"/>
  <c r="C20" i="11"/>
  <c r="C25" i="11" s="1"/>
  <c r="C24" i="11"/>
  <c r="C28" i="11"/>
  <c r="C27" i="11" s="1"/>
  <c r="AC7" i="35"/>
  <c r="V38" i="35" s="1"/>
  <c r="I38" i="35" s="1"/>
  <c r="W7" i="35"/>
  <c r="B2" i="43"/>
  <c r="C34" i="40"/>
  <c r="D6" i="6"/>
  <c r="D28" i="6"/>
  <c r="D30" i="6" s="1"/>
  <c r="D22" i="6"/>
  <c r="R22" i="6" s="1"/>
  <c r="H21" i="6"/>
  <c r="D14" i="6"/>
  <c r="H26" i="6"/>
  <c r="D21" i="6"/>
  <c r="D13" i="6"/>
  <c r="D26" i="6"/>
  <c r="H25" i="6"/>
  <c r="D19" i="6"/>
  <c r="D12" i="6"/>
  <c r="D29" i="6"/>
  <c r="H24" i="6"/>
  <c r="H23" i="6"/>
  <c r="D11" i="6"/>
  <c r="D15" i="6"/>
  <c r="D20" i="6"/>
  <c r="R20" i="6" s="1"/>
  <c r="D24" i="6"/>
  <c r="D25" i="6"/>
  <c r="H22" i="6"/>
  <c r="D10" i="6"/>
  <c r="H19" i="6"/>
  <c r="D8" i="6"/>
  <c r="D23" i="6"/>
  <c r="R23" i="6" s="1"/>
  <c r="D9" i="6"/>
  <c r="C18" i="4"/>
  <c r="D5" i="6"/>
  <c r="H20" i="6"/>
  <c r="C31" i="68"/>
  <c r="W46" i="34"/>
  <c r="AC46" i="34"/>
  <c r="C15" i="71"/>
  <c r="D16" i="71"/>
  <c r="J26" i="81"/>
  <c r="J29" i="81" s="1"/>
  <c r="J24" i="81"/>
  <c r="I53" i="21"/>
  <c r="J53" i="21" s="1"/>
  <c r="I52" i="21"/>
  <c r="J52" i="21" s="1"/>
  <c r="J26" i="67"/>
  <c r="J29" i="67" s="1"/>
  <c r="J24" i="67"/>
  <c r="AB7" i="35"/>
  <c r="T38" i="35" s="1"/>
  <c r="G38" i="35" s="1"/>
  <c r="U7" i="35"/>
  <c r="I41" i="36"/>
  <c r="J41" i="36" s="1"/>
  <c r="I46" i="37"/>
  <c r="J46" i="37" s="1"/>
  <c r="C49" i="33"/>
  <c r="B2" i="33" s="1"/>
  <c r="B3" i="33" s="1"/>
  <c r="C48" i="33"/>
  <c r="C35" i="68"/>
  <c r="C38" i="68"/>
  <c r="B6" i="76"/>
  <c r="C14" i="15"/>
  <c r="Q49" i="80" l="1"/>
  <c r="C13" i="80"/>
  <c r="Q70" i="80" s="1"/>
  <c r="J13" i="81"/>
  <c r="J23" i="81" s="1"/>
  <c r="J16" i="81" s="1"/>
  <c r="J25" i="81" s="1"/>
  <c r="C61" i="81"/>
  <c r="C56" i="81"/>
  <c r="C65" i="81" s="1"/>
  <c r="C37" i="81"/>
  <c r="Q70" i="81"/>
  <c r="C36" i="80"/>
  <c r="C57" i="80"/>
  <c r="C64" i="80" s="1"/>
  <c r="B2" i="76"/>
  <c r="B3" i="76" s="1"/>
  <c r="C18" i="15"/>
  <c r="C15" i="15"/>
  <c r="D16" i="6"/>
  <c r="C66" i="80"/>
  <c r="C60" i="80"/>
  <c r="C39" i="11"/>
  <c r="C43" i="11" s="1"/>
  <c r="C46" i="11"/>
  <c r="C45" i="11" s="1"/>
  <c r="C42" i="11"/>
  <c r="C41" i="11" s="1"/>
  <c r="H27" i="6"/>
  <c r="R21" i="6"/>
  <c r="F34" i="40"/>
  <c r="J34" i="40"/>
  <c r="H34" i="40"/>
  <c r="C66" i="81"/>
  <c r="C60" i="81"/>
  <c r="C10" i="69"/>
  <c r="C8" i="69" s="1"/>
  <c r="C5" i="69" s="1"/>
  <c r="D19" i="69"/>
  <c r="C38" i="15"/>
  <c r="E42" i="35"/>
  <c r="F42" i="35" s="1"/>
  <c r="E43" i="35"/>
  <c r="F43" i="35" s="1"/>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R19" i="6"/>
  <c r="M19" i="9"/>
  <c r="C118" i="9" s="1"/>
  <c r="C14" i="74" s="1"/>
  <c r="B2" i="74" s="1"/>
  <c r="D27" i="6"/>
  <c r="D31" i="6" s="1"/>
  <c r="L19" i="9"/>
  <c r="AC37" i="34"/>
  <c r="W37" i="34"/>
  <c r="C21" i="12"/>
  <c r="C42" i="37"/>
  <c r="C43" i="37"/>
  <c r="B2" i="37" s="1"/>
  <c r="B3" i="37" s="1"/>
  <c r="C49" i="21"/>
  <c r="B2" i="21" s="1"/>
  <c r="B3" i="21" s="1"/>
  <c r="C48" i="21"/>
  <c r="E46" i="37"/>
  <c r="F46" i="37" s="1"/>
  <c r="E47" i="37"/>
  <c r="F47" i="37" s="1"/>
  <c r="AA37" i="34"/>
  <c r="S37" i="34"/>
  <c r="T16" i="1"/>
  <c r="E52" i="21"/>
  <c r="F52" i="21" s="1"/>
  <c r="E53" i="21"/>
  <c r="F53" i="21" s="1"/>
  <c r="R26" i="6"/>
  <c r="C22" i="11"/>
  <c r="C31" i="11" s="1"/>
  <c r="AB37" i="34"/>
  <c r="U37" i="34"/>
  <c r="C60" i="67"/>
  <c r="C66" i="67"/>
  <c r="C38" i="80"/>
  <c r="I27" i="6"/>
  <c r="L18" i="9"/>
  <c r="S19" i="6"/>
  <c r="S27" i="6" s="1"/>
  <c r="C75" i="80" l="1"/>
  <c r="C37" i="80"/>
  <c r="C30" i="80" s="1"/>
  <c r="C39" i="80" s="1"/>
  <c r="Q69" i="80" s="1"/>
  <c r="Q68" i="80" s="1"/>
  <c r="C56" i="80"/>
  <c r="C65" i="80" s="1"/>
  <c r="C59" i="81"/>
  <c r="C58" i="81" s="1"/>
  <c r="C67" i="81" s="1"/>
  <c r="C68" i="81" s="1"/>
  <c r="C71" i="81" s="1"/>
  <c r="C30" i="81"/>
  <c r="C39" i="81" s="1"/>
  <c r="C40" i="81" s="1"/>
  <c r="C61" i="80"/>
  <c r="C59" i="80" s="1"/>
  <c r="C58" i="80" s="1"/>
  <c r="C67" i="80" s="1"/>
  <c r="C68" i="80" s="1"/>
  <c r="J16" i="80"/>
  <c r="J25" i="80" s="1"/>
  <c r="C19" i="15"/>
  <c r="C20" i="15" s="1"/>
  <c r="C23" i="15" s="1"/>
  <c r="D37" i="69"/>
  <c r="C37" i="69" s="1"/>
  <c r="C33" i="69" s="1"/>
  <c r="C19" i="69"/>
  <c r="C24" i="69" s="1"/>
  <c r="C37" i="67"/>
  <c r="C30" i="67" s="1"/>
  <c r="C39" i="67" s="1"/>
  <c r="C56" i="67"/>
  <c r="C65" i="67" s="1"/>
  <c r="C75" i="67"/>
  <c r="Q70" i="67"/>
  <c r="C23" i="69"/>
  <c r="V49" i="34"/>
  <c r="I49" i="34" s="1"/>
  <c r="H70" i="39"/>
  <c r="I68" i="39"/>
  <c r="Q48" i="67"/>
  <c r="L46" i="67"/>
  <c r="I63" i="40"/>
  <c r="H65" i="40"/>
  <c r="C39" i="35"/>
  <c r="B2" i="35" s="1"/>
  <c r="C38" i="35"/>
  <c r="J13" i="67"/>
  <c r="J23" i="67" s="1"/>
  <c r="J22" i="67"/>
  <c r="I5" i="6"/>
  <c r="I6" i="6"/>
  <c r="D14" i="71"/>
  <c r="C13" i="71"/>
  <c r="T49" i="34"/>
  <c r="G49" i="34" s="1"/>
  <c r="U34" i="40"/>
  <c r="AB34" i="40"/>
  <c r="C22" i="12"/>
  <c r="C27" i="12" s="1"/>
  <c r="C25" i="12" s="1"/>
  <c r="D8" i="74"/>
  <c r="D7" i="74"/>
  <c r="R49" i="34"/>
  <c r="AC34" i="40"/>
  <c r="W34" i="40"/>
  <c r="C49" i="11"/>
  <c r="C51" i="11" s="1"/>
  <c r="C39" i="68"/>
  <c r="C43" i="68" s="1"/>
  <c r="C42" i="68"/>
  <c r="R6" i="1"/>
  <c r="R27" i="6"/>
  <c r="C61" i="67"/>
  <c r="C59" i="67" s="1"/>
  <c r="C64" i="67"/>
  <c r="AA34" i="40"/>
  <c r="S34" i="40"/>
  <c r="C19" i="82"/>
  <c r="F35" i="15"/>
  <c r="L51" i="81"/>
  <c r="L51" i="80"/>
  <c r="M21" i="15"/>
  <c r="Q69" i="81" l="1"/>
  <c r="Q68" i="81" s="1"/>
  <c r="C80" i="81"/>
  <c r="C79" i="81" s="1"/>
  <c r="C80" i="80"/>
  <c r="C79" i="80" s="1"/>
  <c r="C58" i="67"/>
  <c r="C67" i="67" s="1"/>
  <c r="C68" i="67" s="1"/>
  <c r="C71" i="67" s="1"/>
  <c r="C46" i="81"/>
  <c r="C40" i="80"/>
  <c r="C83" i="80" s="1"/>
  <c r="C82" i="80" s="1"/>
  <c r="C30" i="12"/>
  <c r="C28" i="12" s="1"/>
  <c r="C32" i="12" s="1"/>
  <c r="B2" i="12" s="1"/>
  <c r="B3" i="12" s="1"/>
  <c r="J16" i="67"/>
  <c r="J25" i="67" s="1"/>
  <c r="C26" i="15"/>
  <c r="C29" i="15" s="1"/>
  <c r="J59" i="15" s="1"/>
  <c r="J60" i="15" s="1"/>
  <c r="C41" i="68"/>
  <c r="C46" i="68"/>
  <c r="C45" i="68" s="1"/>
  <c r="C20" i="69"/>
  <c r="C25" i="69" s="1"/>
  <c r="C22" i="69" s="1"/>
  <c r="C21" i="82"/>
  <c r="C102" i="82"/>
  <c r="Q67" i="80"/>
  <c r="F63" i="15"/>
  <c r="C62" i="15" s="1"/>
  <c r="C34" i="15"/>
  <c r="C31" i="15" s="1"/>
  <c r="J20" i="15"/>
  <c r="Q67" i="81"/>
  <c r="G54" i="34"/>
  <c r="H54" i="34" s="1"/>
  <c r="G53" i="34"/>
  <c r="H53" i="34" s="1"/>
  <c r="C12" i="71"/>
  <c r="T13" i="71"/>
  <c r="D13" i="71"/>
  <c r="U13" i="71" s="1"/>
  <c r="B3" i="35"/>
  <c r="Q69" i="67"/>
  <c r="Q68" i="67" s="1"/>
  <c r="C40" i="67"/>
  <c r="C39" i="69"/>
  <c r="C43" i="69" s="1"/>
  <c r="C42" i="69"/>
  <c r="C11" i="40"/>
  <c r="I7" i="6"/>
  <c r="I65" i="40"/>
  <c r="J63" i="40"/>
  <c r="J68" i="39"/>
  <c r="I70" i="39"/>
  <c r="R16" i="1"/>
  <c r="C52" i="11"/>
  <c r="B2" i="11" s="1"/>
  <c r="B3" i="11" s="1"/>
  <c r="C80" i="67"/>
  <c r="C79" i="67" s="1"/>
  <c r="C71" i="80"/>
  <c r="E49" i="34"/>
  <c r="R50" i="34"/>
  <c r="I53" i="34"/>
  <c r="J53" i="34" s="1"/>
  <c r="C43" i="81"/>
  <c r="Q65" i="81"/>
  <c r="Q75" i="81" s="1"/>
  <c r="Q47" i="81"/>
  <c r="Q53" i="81" s="1"/>
  <c r="Q56" i="81"/>
  <c r="Q62" i="81" s="1"/>
  <c r="B2" i="81"/>
  <c r="C83" i="81"/>
  <c r="C82" i="81" s="1"/>
  <c r="C20" i="82"/>
  <c r="L51" i="67"/>
  <c r="D19" i="82"/>
  <c r="Q48" i="15" l="1"/>
  <c r="L46" i="15"/>
  <c r="C46" i="80"/>
  <c r="Q47" i="80"/>
  <c r="Q53" i="80" s="1"/>
  <c r="Q56" i="80"/>
  <c r="Q62" i="80" s="1"/>
  <c r="Q65" i="80"/>
  <c r="Q75" i="80" s="1"/>
  <c r="C43" i="80"/>
  <c r="B2" i="80"/>
  <c r="B3" i="80" s="1"/>
  <c r="C28" i="69"/>
  <c r="C27" i="69" s="1"/>
  <c r="C31" i="69" s="1"/>
  <c r="C49" i="68"/>
  <c r="C51" i="68" s="1"/>
  <c r="Q67" i="67"/>
  <c r="L57" i="67"/>
  <c r="L60" i="67" s="1"/>
  <c r="D102" i="82"/>
  <c r="D21" i="82"/>
  <c r="D22" i="82"/>
  <c r="G19" i="82"/>
  <c r="C103" i="82"/>
  <c r="C50" i="34"/>
  <c r="C49" i="34"/>
  <c r="R24" i="31" s="1"/>
  <c r="J65" i="40"/>
  <c r="K63" i="40"/>
  <c r="D12" i="71"/>
  <c r="C11" i="71"/>
  <c r="E54" i="34"/>
  <c r="F54" i="34" s="1"/>
  <c r="E53" i="34"/>
  <c r="F53" i="34" s="1"/>
  <c r="H11" i="40"/>
  <c r="F11" i="40"/>
  <c r="J11" i="40"/>
  <c r="Q65" i="67"/>
  <c r="Q47" i="67"/>
  <c r="Q53" i="67" s="1"/>
  <c r="C43" i="67"/>
  <c r="Q56" i="67"/>
  <c r="D2" i="67"/>
  <c r="C83" i="67"/>
  <c r="C82" i="67" s="1"/>
  <c r="C56" i="11"/>
  <c r="C57" i="11" s="1"/>
  <c r="B3" i="81"/>
  <c r="C46" i="69"/>
  <c r="C45" i="69" s="1"/>
  <c r="J19" i="15"/>
  <c r="J17" i="15" s="1"/>
  <c r="J14" i="15"/>
  <c r="C57" i="15"/>
  <c r="Q49" i="15"/>
  <c r="C36" i="15"/>
  <c r="C13" i="15"/>
  <c r="K68" i="39"/>
  <c r="J70" i="39"/>
  <c r="C41" i="69"/>
  <c r="C45" i="67"/>
  <c r="C46" i="67" s="1"/>
  <c r="I54" i="34"/>
  <c r="J54" i="34" s="1"/>
  <c r="D20" i="82"/>
  <c r="D20" i="83"/>
  <c r="D19" i="83"/>
  <c r="D21" i="83" l="1"/>
  <c r="D102" i="83"/>
  <c r="C49" i="69"/>
  <c r="C51" i="69" s="1"/>
  <c r="C52" i="69" s="1"/>
  <c r="B2" i="69" s="1"/>
  <c r="B3" i="69" s="1"/>
  <c r="C52" i="68"/>
  <c r="B2" i="68" s="1"/>
  <c r="D103" i="82"/>
  <c r="G20" i="82"/>
  <c r="D103" i="83"/>
  <c r="K70" i="39"/>
  <c r="L68" i="39"/>
  <c r="D11" i="71"/>
  <c r="C10" i="71"/>
  <c r="C32" i="82"/>
  <c r="G21" i="82"/>
  <c r="Q70" i="15"/>
  <c r="C56" i="15"/>
  <c r="C65" i="15" s="1"/>
  <c r="C37" i="15"/>
  <c r="C30" i="15" s="1"/>
  <c r="C39" i="15" s="1"/>
  <c r="C75" i="15"/>
  <c r="C64" i="15"/>
  <c r="C61" i="15"/>
  <c r="C59" i="15" s="1"/>
  <c r="W11" i="40"/>
  <c r="AC11" i="40"/>
  <c r="K65" i="40"/>
  <c r="L63" i="40"/>
  <c r="S11" i="40"/>
  <c r="AA11" i="40"/>
  <c r="U11" i="40"/>
  <c r="AB11" i="40"/>
  <c r="S24" i="31"/>
  <c r="R26" i="31"/>
  <c r="S26" i="31" s="1"/>
  <c r="R25" i="31"/>
  <c r="S25" i="31" s="1"/>
  <c r="R27" i="31"/>
  <c r="S27" i="31" s="1"/>
  <c r="J22" i="15"/>
  <c r="J13" i="15"/>
  <c r="J23" i="15" s="1"/>
  <c r="B3" i="67"/>
  <c r="B2" i="67"/>
  <c r="B3" i="34"/>
  <c r="B2" i="34"/>
  <c r="Q66" i="67"/>
  <c r="Q75" i="67" s="1"/>
  <c r="Q57" i="67"/>
  <c r="Q62" i="67" s="1"/>
  <c r="C19" i="9"/>
  <c r="J16" i="15" l="1"/>
  <c r="J25" i="15" s="1"/>
  <c r="C58" i="15"/>
  <c r="C67" i="15" s="1"/>
  <c r="C68" i="15" s="1"/>
  <c r="C71" i="15" s="1"/>
  <c r="B3" i="68"/>
  <c r="C57" i="68"/>
  <c r="C56" i="68" s="1"/>
  <c r="C21" i="9"/>
  <c r="C102" i="9"/>
  <c r="C40" i="15"/>
  <c r="Q69" i="15"/>
  <c r="Q68" i="15" s="1"/>
  <c r="L65" i="40"/>
  <c r="M63" i="40"/>
  <c r="L70" i="39"/>
  <c r="M68" i="39"/>
  <c r="S22" i="31"/>
  <c r="C57" i="69"/>
  <c r="C56" i="69" s="1"/>
  <c r="H118" i="82"/>
  <c r="C9" i="71"/>
  <c r="D10" i="71"/>
  <c r="G3" i="34"/>
  <c r="C20" i="9" s="1"/>
  <c r="C80" i="15"/>
  <c r="C79" i="15" s="1"/>
  <c r="D35" i="82"/>
  <c r="D35" i="83"/>
  <c r="D35" i="9"/>
  <c r="D34" i="82"/>
  <c r="D34" i="9"/>
  <c r="L51" i="15"/>
  <c r="D34" i="83"/>
  <c r="C35" i="82" l="1"/>
  <c r="F118" i="82" s="1"/>
  <c r="F119" i="82" s="1"/>
  <c r="Q67" i="15"/>
  <c r="C104" i="82"/>
  <c r="H101" i="82"/>
  <c r="H119" i="82"/>
  <c r="I118" i="82"/>
  <c r="Q65" i="15"/>
  <c r="Q75" i="15" s="1"/>
  <c r="Q47" i="15"/>
  <c r="Q53" i="15" s="1"/>
  <c r="B2" i="15"/>
  <c r="Q56" i="15"/>
  <c r="Q62" i="15" s="1"/>
  <c r="C43" i="15"/>
  <c r="C83" i="15"/>
  <c r="C82" i="15" s="1"/>
  <c r="B20" i="31"/>
  <c r="R22" i="31"/>
  <c r="C8" i="71"/>
  <c r="T9" i="71"/>
  <c r="D9" i="71"/>
  <c r="U9" i="71" s="1"/>
  <c r="N68" i="39"/>
  <c r="M70" i="39"/>
  <c r="C103" i="9"/>
  <c r="C46" i="15"/>
  <c r="N63" i="40"/>
  <c r="M65" i="40"/>
  <c r="D19" i="9"/>
  <c r="AO6" i="1"/>
  <c r="C19" i="83"/>
  <c r="C34" i="82" l="1"/>
  <c r="D118" i="82" s="1"/>
  <c r="D119" i="82" s="1"/>
  <c r="G118" i="82"/>
  <c r="E118" i="82" s="1"/>
  <c r="B6" i="70"/>
  <c r="B2" i="70" s="1"/>
  <c r="B3" i="70" s="1"/>
  <c r="D20" i="9"/>
  <c r="D102" i="9"/>
  <c r="D21" i="9"/>
  <c r="D22" i="9"/>
  <c r="G19" i="9"/>
  <c r="C102" i="83"/>
  <c r="C21" i="83"/>
  <c r="D22" i="83"/>
  <c r="G19" i="83"/>
  <c r="B3" i="15"/>
  <c r="D8" i="71"/>
  <c r="C7" i="71"/>
  <c r="C105" i="82"/>
  <c r="H102" i="82"/>
  <c r="B21" i="31"/>
  <c r="M48" i="82"/>
  <c r="D45" i="82"/>
  <c r="H107" i="82"/>
  <c r="N70" i="39"/>
  <c r="O68" i="39"/>
  <c r="O70" i="39" s="1"/>
  <c r="O63" i="40"/>
  <c r="O65" i="40" s="1"/>
  <c r="N65" i="40"/>
  <c r="C20" i="83"/>
  <c r="C103" i="83" l="1"/>
  <c r="G20" i="83"/>
  <c r="F7" i="40"/>
  <c r="J7" i="40"/>
  <c r="H7" i="40"/>
  <c r="C32" i="9"/>
  <c r="G21" i="9"/>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03" i="9"/>
  <c r="G20" i="9"/>
  <c r="C79" i="82" l="1"/>
  <c r="C81" i="82" s="1"/>
  <c r="C5" i="71"/>
  <c r="D6" i="71"/>
  <c r="H118" i="9"/>
  <c r="C35" i="9"/>
  <c r="F118" i="9" s="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C80" i="82" l="1"/>
  <c r="E80" i="82" s="1"/>
  <c r="E81" i="82" s="1"/>
  <c r="C34" i="83"/>
  <c r="D118" i="83" s="1"/>
  <c r="D119" i="83" s="1"/>
  <c r="R48" i="39"/>
  <c r="E47" i="39"/>
  <c r="I52" i="39"/>
  <c r="J52" i="39" s="1"/>
  <c r="I51" i="39"/>
  <c r="J51" i="39" s="1"/>
  <c r="C34" i="9"/>
  <c r="D118" i="9" s="1"/>
  <c r="F119" i="9"/>
  <c r="F5" i="52" s="1"/>
  <c r="B53" i="72" s="1"/>
  <c r="G118" i="9"/>
  <c r="G4" i="52" s="1"/>
  <c r="B52" i="72" s="1"/>
  <c r="F4" i="52"/>
  <c r="B51" i="72" s="1"/>
  <c r="D14" i="74"/>
  <c r="H101" i="9"/>
  <c r="I118" i="9"/>
  <c r="H119" i="9"/>
  <c r="H5" i="52" s="1"/>
  <c r="C104" i="9"/>
  <c r="H4" i="52"/>
  <c r="G51" i="39"/>
  <c r="H51" i="39" s="1"/>
  <c r="G52" i="39"/>
  <c r="H52" i="39" s="1"/>
  <c r="C96" i="82"/>
  <c r="E96" i="82" s="1"/>
  <c r="E97" i="82" s="1"/>
  <c r="C97" i="82"/>
  <c r="D58" i="82" s="1"/>
  <c r="D56" i="82" s="1"/>
  <c r="M54" i="82" s="1"/>
  <c r="N57" i="82" s="1"/>
  <c r="D5" i="71"/>
  <c r="M20" i="43"/>
  <c r="F119" i="83"/>
  <c r="G118" i="83"/>
  <c r="C104" i="83"/>
  <c r="I118" i="83"/>
  <c r="H101" i="83"/>
  <c r="H119" i="83"/>
  <c r="D119" i="9" l="1"/>
  <c r="D5" i="52" s="1"/>
  <c r="B49" i="72" s="1"/>
  <c r="D4" i="52"/>
  <c r="B47" i="72" s="1"/>
  <c r="E118" i="9"/>
  <c r="E4" i="52" s="1"/>
  <c r="B48" i="72" s="1"/>
  <c r="C105" i="9"/>
  <c r="H102" i="9"/>
  <c r="D7" i="53" s="1"/>
  <c r="B21" i="72" s="1"/>
  <c r="I4" i="52"/>
  <c r="N58" i="82"/>
  <c r="P57" i="82"/>
  <c r="N59" i="82"/>
  <c r="M48" i="9"/>
  <c r="H107" i="9"/>
  <c r="D45" i="9"/>
  <c r="D5" i="53"/>
  <c r="E51" i="39"/>
  <c r="F51" i="39" s="1"/>
  <c r="E52" i="39"/>
  <c r="F52" i="39" s="1"/>
  <c r="C105" i="83"/>
  <c r="E118" i="83"/>
  <c r="H102" i="83"/>
  <c r="M48" i="83"/>
  <c r="D45" i="83"/>
  <c r="H107" i="83"/>
  <c r="F14" i="74"/>
  <c r="B5" i="74"/>
  <c r="E14" i="74"/>
  <c r="C47" i="39"/>
  <c r="C48" i="39"/>
  <c r="M49" i="83" l="1"/>
  <c r="D122" i="83"/>
  <c r="D123" i="83" s="1"/>
  <c r="H108" i="83"/>
  <c r="C78" i="83"/>
  <c r="C73" i="83" s="1"/>
  <c r="C93" i="83"/>
  <c r="C86" i="83" s="1"/>
  <c r="D55" i="83"/>
  <c r="M53" i="83" s="1"/>
  <c r="D53" i="83"/>
  <c r="C85" i="83"/>
  <c r="C72" i="83"/>
  <c r="C64" i="83"/>
  <c r="C63" i="83" s="1"/>
  <c r="C67" i="83" s="1"/>
  <c r="D52" i="83"/>
  <c r="C93" i="9"/>
  <c r="C86" i="9" s="1"/>
  <c r="C85" i="9"/>
  <c r="D55" i="9"/>
  <c r="M53" i="9" s="1"/>
  <c r="D53" i="9"/>
  <c r="C78" i="9"/>
  <c r="C73" i="9" s="1"/>
  <c r="D52" i="9"/>
  <c r="C64" i="9"/>
  <c r="C63" i="9" s="1"/>
  <c r="C67" i="9" s="1"/>
  <c r="C72" i="9"/>
  <c r="N61" i="82"/>
  <c r="N60" i="82"/>
  <c r="C5" i="74"/>
  <c r="D5" i="74"/>
  <c r="B20" i="72"/>
  <c r="D6" i="53"/>
  <c r="B22" i="72" s="1"/>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95" i="9" l="1"/>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C79" i="9"/>
  <c r="G14" i="74"/>
  <c r="B6" i="74" s="1"/>
  <c r="D123" i="9"/>
  <c r="D9" i="52" s="1"/>
  <c r="D8" i="52"/>
  <c r="D59" i="9"/>
  <c r="M55" i="9" s="1"/>
  <c r="C68" i="9"/>
  <c r="D54" i="9" s="1"/>
  <c r="D59" i="83"/>
  <c r="M55" i="83" s="1"/>
  <c r="C68" i="83"/>
  <c r="D54" i="83" s="1"/>
  <c r="C79" i="83"/>
  <c r="L67" i="83"/>
  <c r="M67" i="83" s="1"/>
  <c r="L63" i="83"/>
  <c r="M63" i="83" s="1"/>
  <c r="M69" i="83" s="1"/>
  <c r="N69" i="83" s="1"/>
  <c r="L66" i="83"/>
  <c r="M66" i="83" s="1"/>
  <c r="L65" i="83"/>
  <c r="M65" i="83" s="1"/>
  <c r="L68" i="83"/>
  <c r="M68" i="83" s="1"/>
  <c r="L64" i="83"/>
  <c r="M64" i="83" s="1"/>
  <c r="N57" i="83" l="1"/>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<sst xmlns="http://schemas.openxmlformats.org/spreadsheetml/2006/main" count="9711" uniqueCount="2857">
  <si>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</si>
  <si>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</si>
  <si>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</si>
  <si>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</si>
  <si>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</si>
  <si>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</si>
  <si>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</si>
  <si>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</si>
  <si>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</si>
  <si>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</si>
  <si>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</si>
  <si>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</si>
  <si>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</si>
  <si>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</si>
  <si>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</si>
  <si>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</si>
  <si>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</si>
  <si>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</si>
  <si>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</si>
  <si>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</si>
  <si>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</si>
  <si>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</si>
  <si>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</si>
  <si>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</si>
  <si>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</si>
  <si>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</si>
  <si>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</si>
  <si>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</si>
  <si>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</si>
  <si>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</si>
  <si>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</si>
  <si>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</si>
  <si>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</si>
  <si>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</si>
  <si>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</si>
  <si>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</si>
  <si>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</si>
  <si>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</si>
  <si>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</si>
  <si>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</si>
  <si>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</si>
  <si>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</si>
  <si>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</si>
  <si>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</si>
  <si>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</si>
  <si>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</si>
  <si>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</si>
  <si>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</si>
  <si>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</si>
  <si>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</si>
  <si>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</si>
  <si>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</si>
  <si>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</si>
  <si>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</si>
  <si>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</si>
  <si>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</si>
  <si>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</si>
  <si>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</si>
  <si>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</si>
  <si>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</si>
  <si>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</si>
  <si>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</si>
  <si>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</si>
  <si>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</si>
  <si>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</si>
  <si>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</si>
  <si>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</si>
  <si>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</si>
  <si>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</si>
  <si>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</si>
  <si>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</si>
  <si>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</si>
  <si>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</si>
  <si>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</si>
  <si>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</si>
  <si>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</si>
  <si>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</si>
  <si>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</si>
  <si>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</si>
  <si>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</si>
  <si>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</si>
  <si>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</si>
  <si>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</si>
  <si>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</si>
  <si>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</si>
  <si>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</si>
  <si>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</si>
  <si>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</si>
  <si>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</si>
  <si>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</si>
  <si>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</si>
  <si>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</si>
  <si>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</si>
  <si>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</si>
  <si>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</si>
  <si>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</si>
  <si>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</si>
  <si>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</si>
  <si>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</si>
  <si>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</si>
  <si>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</si>
  <si>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</si>
  <si>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</si>
  <si>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</si>
  <si>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</si>
  <si>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</si>
  <si>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</si>
  <si>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</si>
  <si>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</si>
  <si>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</si>
  <si>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</si>
  <si>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</si>
  <si>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</si>
  <si>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</si>
  <si>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</si>
  <si>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</si>
  <si>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</si>
  <si>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</si>
  <si>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</si>
  <si>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</si>
  <si>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</si>
  <si>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</si>
  <si>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</si>
  <si>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</si>
  <si>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</si>
  <si>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</si>
  <si>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</si>
  <si>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</si>
  <si>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</si>
  <si>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</si>
  <si>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</si>
  <si>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</si>
  <si>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</si>
  <si>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</si>
  <si>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</si>
  <si>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</si>
  <si>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</si>
  <si>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</si>
  <si>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</si>
  <si>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</si>
  <si>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</si>
  <si>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</si>
  <si>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</si>
  <si>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</si>
  <si>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</si>
  <si>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</si>
  <si>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</si>
  <si>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</si>
  <si>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</si>
  <si>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</si>
  <si>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</si>
  <si>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</si>
  <si>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</si>
  <si>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</si>
  <si>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</si>
  <si>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</si>
  <si>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</si>
  <si>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</si>
  <si>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</si>
  <si>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</si>
  <si>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</si>
  <si>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</si>
  <si>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</si>
  <si>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</si>
  <si>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</si>
  <si>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</si>
  <si>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</si>
  <si>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</si>
  <si>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</si>
  <si>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</si>
  <si>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</si>
  <si>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</si>
  <si>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</si>
  <si>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</si>
  <si>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</si>
  <si>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</si>
  <si>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</si>
  <si>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</si>
  <si>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</si>
  <si>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</si>
  <si>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</si>
  <si>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</si>
  <si>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</si>
  <si>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</si>
  <si>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</si>
  <si>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</si>
  <si>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</si>
  <si>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</si>
  <si>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</si>
  <si>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</si>
  <si>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</si>
  <si>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</si>
  <si>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</si>
  <si>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</si>
  <si>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</si>
  <si>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</si>
  <si>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</si>
  <si>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</si>
  <si>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</si>
  <si>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</si>
  <si>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</si>
  <si>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</si>
  <si>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</si>
  <si>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</si>
  <si>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</si>
  <si>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</si>
  <si>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</si>
  <si>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</si>
  <si>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</si>
  <si>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</si>
  <si>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</si>
  <si>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</si>
  <si>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</si>
  <si>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</si>
  <si>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</si>
  <si>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</si>
  <si>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</si>
  <si>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</si>
  <si>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</si>
  <si>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</si>
  <si>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</si>
  <si>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</si>
  <si>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</si>
  <si>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</si>
  <si>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</si>
  <si>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</si>
  <si>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</si>
  <si>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</si>
  <si>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</si>
  <si>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</si>
  <si>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</si>
  <si>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</si>
  <si>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</si>
  <si>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</si>
  <si>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</si>
  <si>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</si>
  <si>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</si>
  <si>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</si>
  <si>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</si>
  <si>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</si>
  <si>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</si>
  <si>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</si>
  <si>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</si>
  <si>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</si>
  <si>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</si>
  <si>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</si>
  <si>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</si>
  <si>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</si>
  <si>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</si>
  <si>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</si>
  <si>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</si>
  <si>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</si>
  <si>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</si>
  <si>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</si>
  <si>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</si>
  <si>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</si>
  <si>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</si>
  <si>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</si>
  <si>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</si>
  <si>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</si>
  <si>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</si>
  <si>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</si>
  <si>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</si>
  <si>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</si>
  <si>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</si>
  <si>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</si>
  <si>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</si>
  <si>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</si>
  <si>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</si>
  <si>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</si>
  <si>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</si>
  <si>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</si>
  <si>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</si>
  <si>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</si>
  <si>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</si>
  <si>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</si>
  <si>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</si>
  <si>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</si>
  <si>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</si>
  <si>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</si>
  <si>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</si>
  <si>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</si>
  <si>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</si>
  <si>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</si>
  <si>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</si>
  <si>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</si>
  <si>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</si>
  <si>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</si>
  <si>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</si>
  <si>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</si>
  <si>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</si>
  <si>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</si>
  <si>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</si>
  <si>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</si>
  <si>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</si>
  <si>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</si>
  <si>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</si>
  <si>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</si>
  <si>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</si>
  <si>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</si>
  <si>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</si>
  <si>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</si>
  <si>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</si>
  <si>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</si>
  <si>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</si>
  <si>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</si>
  <si>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</si>
  <si>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</si>
  <si>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</si>
  <si>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</si>
  <si>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</si>
  <si>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</si>
  <si>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</si>
  <si>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</si>
  <si>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</si>
  <si>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</si>
  <si>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</si>
  <si>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</si>
  <si>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</si>
  <si>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</si>
  <si>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</si>
  <si>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</si>
  <si>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</si>
  <si>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</si>
  <si>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</si>
  <si>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</si>
  <si>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</si>
  <si>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</si>
  <si>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</si>
  <si>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</si>
  <si>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</si>
  <si>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</si>
  <si>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</si>
  <si>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</si>
  <si>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</si>
  <si>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</si>
  <si>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</si>
  <si>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</si>
  <si>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</si>
  <si>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</si>
  <si>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</si>
  <si>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</si>
  <si>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</si>
  <si>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</si>
  <si>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</si>
  <si>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</si>
  <si>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</si>
  <si>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</si>
  <si>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</si>
  <si>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</si>
  <si>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</si>
  <si>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</si>
  <si>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</si>
  <si>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</si>
  <si>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</si>
  <si>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</si>
  <si>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</si>
  <si>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</si>
  <si>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</si>
  <si>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</si>
  <si>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</si>
  <si>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</si>
  <si>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</si>
  <si>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</si>
  <si>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</si>
  <si>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</si>
  <si>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</si>
  <si>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</si>
  <si>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</si>
  <si>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</si>
  <si>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</si>
  <si>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</si>
  <si>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</si>
  <si>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</si>
  <si>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</si>
  <si>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</si>
  <si>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</si>
  <si>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</si>
  <si>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</si>
  <si>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</si>
  <si>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</si>
  <si>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</si>
  <si>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</si>
  <si>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</si>
  <si>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</si>
  <si>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</si>
  <si>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</si>
  <si>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</si>
  <si>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</si>
  <si>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</si>
  <si>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</si>
  <si>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</si>
  <si>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</si>
  <si>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</si>
  <si>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</si>
  <si>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</si>
  <si>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</si>
  <si>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</si>
  <si>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</si>
  <si>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</si>
  <si>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</si>
  <si>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</si>
  <si>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</si>
  <si>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</si>
  <si>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</si>
  <si>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</si>
  <si>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</si>
  <si>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</si>
  <si>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</si>
  <si>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</si>
  <si>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</si>
  <si>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</si>
  <si>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</si>
  <si>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</si>
  <si>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</si>
  <si>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</si>
  <si>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</si>
  <si>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</si>
  <si>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</si>
  <si>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</si>
  <si>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</si>
  <si>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</si>
  <si>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</si>
  <si>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</si>
  <si>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</si>
  <si>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</si>
  <si>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</si>
  <si>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</si>
  <si>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</si>
  <si>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</si>
  <si>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</si>
  <si>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</si>
  <si>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</si>
  <si>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</si>
  <si>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</si>
  <si>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</si>
  <si>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</si>
  <si>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</si>
  <si>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</si>
  <si>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</si>
  <si>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</si>
  <si>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</si>
  <si>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</si>
  <si>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</si>
  <si>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</si>
  <si>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</si>
  <si>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</si>
  <si>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</si>
  <si>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</si>
  <si>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</si>
  <si>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</si>
  <si>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</si>
  <si>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</si>
  <si>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</si>
  <si>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</si>
  <si>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</si>
  <si>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</si>
  <si>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</si>
  <si>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</si>
  <si>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</si>
  <si>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</si>
  <si>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</si>
  <si>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</si>
  <si>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</si>
  <si>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</si>
  <si>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</si>
  <si>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</si>
  <si>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</si>
  <si>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</si>
  <si>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</si>
  <si>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</si>
  <si>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</si>
  <si>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</si>
  <si>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</si>
  <si>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</si>
  <si>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</si>
  <si>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</si>
  <si>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</si>
  <si>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</si>
  <si>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</si>
  <si>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</si>
  <si>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</si>
  <si>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</si>
  <si>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</si>
  <si>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</si>
  <si>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</si>
  <si>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</si>
  <si>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</si>
  <si>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</si>
  <si>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</si>
  <si>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</si>
  <si>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</si>
  <si>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</si>
  <si>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</si>
  <si>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</si>
  <si>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</si>
  <si>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</si>
  <si>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</si>
  <si>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</si>
  <si>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</si>
  <si>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</si>
  <si>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</si>
  <si>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</si>
  <si>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</si>
  <si>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</si>
  <si>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</si>
  <si>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</si>
  <si>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</si>
  <si>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</si>
  <si>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</si>
  <si>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</si>
  <si>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</si>
  <si>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</si>
  <si>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</si>
  <si>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</si>
  <si>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</si>
  <si>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</si>
  <si>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</si>
  <si>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</si>
  <si>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</si>
  <si>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</si>
  <si>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</si>
  <si>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</si>
  <si>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</si>
  <si>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</si>
  <si>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</si>
  <si>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</si>
  <si>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</si>
  <si>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</si>
  <si>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</si>
  <si>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</si>
  <si>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</si>
  <si>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</si>
  <si>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</si>
  <si>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</si>
  <si>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</si>
  <si>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</si>
  <si>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</si>
  <si>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</si>
  <si>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</si>
  <si>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</si>
  <si>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</si>
  <si>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</si>
  <si>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</si>
  <si>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</si>
  <si>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</si>
  <si>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</si>
  <si>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</si>
  <si>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</si>
  <si>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</si>
  <si>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</si>
  <si>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</si>
  <si>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</si>
  <si>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</si>
  <si>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</si>
  <si>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</si>
  <si>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</si>
  <si>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</si>
  <si>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</si>
  <si>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</si>
  <si>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</si>
  <si>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</si>
  <si>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</si>
  <si>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</si>
  <si>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</si>
  <si>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</si>
  <si>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</si>
  <si>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</si>
  <si>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</si>
  <si>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</si>
  <si>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</si>
  <si>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</si>
  <si>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</si>
  <si>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</si>
  <si>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</si>
  <si>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</si>
  <si>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</si>
  <si>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</si>
  <si>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</si>
  <si>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</si>
  <si>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</si>
  <si>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</si>
  <si>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</si>
  <si>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</si>
  <si>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</si>
  <si>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</si>
  <si>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</si>
  <si>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</si>
  <si>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</si>
  <si>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</si>
  <si>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</si>
  <si>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</si>
  <si>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</si>
  <si>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</si>
  <si>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</si>
  <si>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</si>
  <si>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</si>
  <si>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</si>
  <si>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</si>
  <si>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</si>
  <si>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</si>
  <si>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</si>
  <si>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</si>
  <si>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</si>
  <si>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</si>
  <si>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</si>
  <si>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</si>
  <si>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</si>
  <si>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</si>
  <si>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</si>
  <si>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</si>
  <si>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</si>
  <si>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</si>
  <si>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</si>
  <si>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</si>
  <si>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</si>
  <si>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</si>
  <si>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</si>
  <si>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</si>
  <si>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</si>
  <si>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</si>
  <si>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</si>
  <si>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</si>
  <si>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</si>
  <si>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</si>
  <si>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</si>
  <si>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</si>
  <si>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</si>
  <si>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</si>
  <si>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</si>
  <si>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</si>
  <si>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</si>
  <si>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</si>
  <si>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</si>
  <si>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</si>
  <si>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</si>
  <si>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</si>
  <si>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</si>
  <si>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</si>
  <si>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</si>
  <si>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</si>
  <si>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</si>
  <si>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</si>
  <si>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</si>
  <si>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</si>
  <si>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</si>
  <si>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</si>
  <si>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</si>
  <si>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</si>
  <si>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</si>
  <si>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</si>
  <si>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</si>
  <si>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</si>
  <si>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</si>
  <si>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</si>
  <si>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</si>
  <si>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</si>
  <si>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</si>
  <si>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</si>
  <si>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</si>
  <si>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</si>
  <si>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</si>
  <si>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</si>
  <si>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</si>
  <si>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</si>
  <si>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</si>
  <si>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</si>
  <si>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</si>
  <si>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</si>
  <si>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</si>
  <si>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</si>
  <si>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</si>
  <si>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</si>
  <si>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</si>
  <si>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</si>
  <si>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</si>
  <si>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</si>
  <si>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</si>
  <si>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</si>
  <si>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</si>
  <si>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</si>
  <si>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</si>
  <si>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</si>
  <si>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</si>
  <si>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</si>
  <si>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</si>
  <si>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</si>
  <si>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</si>
  <si>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</si>
  <si>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</si>
  <si>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</si>
  <si>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</si>
  <si>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</si>
  <si>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</si>
  <si>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</si>
  <si>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</si>
  <si>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</si>
  <si>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</si>
  <si>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</si>
  <si>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</si>
  <si>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</si>
  <si>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</si>
  <si>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</si>
  <si>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</si>
  <si>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</si>
  <si>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</si>
  <si>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</si>
  <si>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</si>
  <si>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</si>
  <si>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</si>
  <si>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</si>
  <si>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</si>
  <si>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</si>
  <si>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</si>
  <si>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</si>
  <si>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</si>
  <si>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</si>
  <si>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</si>
  <si>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</si>
  <si>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</si>
  <si>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</si>
  <si>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</si>
  <si>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</si>
  <si>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</si>
  <si>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</si>
  <si>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</si>
  <si>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</si>
  <si>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</si>
  <si>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</si>
  <si>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</si>
  <si>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</si>
  <si>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</si>
  <si>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</si>
  <si>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</si>
  <si>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</si>
  <si>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</si>
  <si>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</si>
  <si>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</si>
  <si>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</si>
  <si>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</si>
  <si>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</si>
  <si>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</si>
  <si>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</si>
  <si>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</si>
  <si>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</si>
  <si>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</si>
  <si>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</si>
  <si>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</si>
  <si>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</si>
  <si>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</si>
  <si>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</si>
  <si>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</si>
  <si>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</si>
  <si>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</si>
  <si>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</si>
  <si>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</si>
  <si>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</si>
  <si>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</si>
  <si>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</si>
  <si>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</si>
  <si>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</si>
  <si>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</si>
  <si>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</si>
  <si>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</si>
  <si>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</si>
  <si>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</si>
  <si>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</si>
  <si>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</si>
  <si>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</si>
  <si>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</si>
  <si>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</si>
  <si>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</si>
  <si>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</si>
  <si>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</si>
  <si>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</si>
  <si>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</si>
  <si>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</si>
  <si>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</si>
  <si>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</si>
  <si>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</si>
  <si>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</si>
  <si>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</si>
  <si>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</si>
  <si>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</si>
  <si>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</si>
  <si>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</si>
  <si>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</si>
  <si>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</si>
  <si>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</si>
  <si>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</si>
  <si>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</si>
  <si>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</si>
  <si>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</si>
  <si>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</si>
  <si>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</si>
  <si>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</si>
  <si>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</si>
  <si>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</si>
  <si>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</si>
  <si>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</si>
  <si>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</si>
  <si>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</si>
  <si>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</si>
  <si>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</si>
  <si>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</si>
  <si>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</si>
  <si>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</si>
  <si>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</si>
  <si>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</si>
  <si>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</si>
  <si>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</si>
  <si>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</si>
  <si>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</si>
  <si>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</si>
  <si>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</si>
  <si>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</si>
  <si>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</si>
  <si>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</si>
  <si>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</si>
  <si>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</si>
  <si>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</si>
  <si>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</si>
  <si>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</si>
  <si>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</si>
  <si>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</si>
  <si>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</si>
  <si>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</si>
  <si>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</si>
  <si>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</si>
  <si>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</si>
  <si>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</si>
  <si>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</si>
  <si>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</si>
  <si>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</si>
  <si>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</si>
  <si>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</si>
  <si>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</si>
  <si>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</si>
  <si>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</si>
  <si>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</si>
  <si>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</si>
  <si>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</si>
  <si>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</si>
  <si>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</si>
  <si>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</si>
  <si>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</si>
  <si>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</si>
  <si>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</si>
  <si>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</si>
  <si>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</si>
  <si>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</si>
  <si>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</si>
  <si>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</si>
  <si>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</si>
  <si>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</si>
  <si>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</si>
  <si>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</si>
  <si>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</si>
  <si>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</si>
  <si>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</si>
  <si>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</si>
  <si>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</si>
  <si>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</si>
  <si>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</si>
  <si>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</si>
  <si>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</si>
  <si>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</si>
  <si>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</si>
  <si>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</si>
  <si>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</si>
  <si>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</si>
  <si>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</si>
  <si>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</si>
  <si>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</si>
  <si>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</si>
  <si>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</si>
  <si>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</si>
  <si>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</si>
  <si>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</si>
  <si>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</si>
  <si>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</si>
  <si>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</si>
  <si>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</si>
  <si>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</si>
  <si>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</si>
  <si>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</si>
  <si>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</si>
  <si>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</si>
  <si>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</si>
  <si>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</si>
  <si>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</si>
  <si>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</si>
  <si>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</si>
  <si>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</si>
  <si>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</si>
  <si>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</si>
  <si>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</si>
  <si>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</si>
  <si>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</si>
  <si>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</si>
  <si>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</si>
  <si>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</si>
  <si>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</si>
  <si>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</si>
  <si>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</si>
  <si>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</si>
  <si>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</si>
  <si>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</si>
  <si>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</si>
  <si>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</si>
  <si>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</si>
  <si>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</si>
  <si>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</si>
  <si>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</si>
  <si>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</si>
  <si>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</si>
  <si>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</si>
  <si>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</si>
  <si>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</si>
  <si>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</si>
  <si>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</si>
  <si>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</si>
  <si>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</si>
  <si>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</si>
  <si>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</si>
  <si>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</si>
  <si>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</si>
  <si>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</si>
  <si>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</si>
  <si>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</si>
  <si>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</si>
  <si>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</si>
  <si>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</si>
  <si>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</si>
  <si>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</si>
  <si>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</si>
  <si>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</si>
  <si>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</si>
  <si>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</si>
  <si>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</si>
  <si>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</si>
  <si>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</si>
  <si>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</si>
  <si>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</si>
  <si>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</si>
  <si>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</si>
  <si>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</si>
  <si>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</si>
  <si>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</si>
  <si>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</si>
  <si>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</si>
  <si>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</si>
  <si>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</si>
  <si>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</si>
  <si>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</si>
  <si>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</si>
  <si>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</si>
  <si>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</si>
  <si>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</si>
  <si>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</si>
  <si>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</si>
  <si>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</si>
  <si>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</si>
  <si>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</si>
  <si>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</si>
  <si>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</si>
  <si>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</si>
  <si>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</si>
  <si>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</si>
  <si>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</si>
  <si>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</si>
  <si>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</si>
  <si>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</si>
  <si>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</si>
  <si>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</si>
  <si>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</si>
  <si>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</si>
  <si>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</si>
  <si>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</si>
  <si>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</si>
  <si>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</si>
  <si>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</si>
  <si>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</si>
  <si>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</si>
  <si>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</si>
  <si>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</si>
  <si>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</si>
  <si>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</si>
  <si>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</si>
  <si>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</si>
  <si>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</si>
  <si>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</si>
  <si>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</si>
  <si>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</si>
  <si>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</si>
  <si>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</si>
  <si>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</si>
  <si>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</si>
  <si>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</si>
  <si>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</si>
  <si>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</si>
  <si>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</si>
  <si>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</si>
  <si>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</si>
  <si>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</si>
  <si>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</si>
  <si>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</si>
  <si>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</si>
  <si>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</si>
  <si>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</si>
  <si>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</si>
  <si>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</si>
  <si>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</si>
  <si>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</si>
  <si>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</si>
  <si>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</si>
  <si>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</si>
  <si>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</si>
  <si>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</si>
  <si>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</si>
  <si>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</si>
  <si>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</si>
  <si>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</si>
  <si>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</si>
  <si>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</si>
  <si>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</si>
  <si>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</si>
  <si>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</si>
  <si>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</si>
  <si>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</si>
  <si>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</si>
  <si>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</si>
  <si>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</si>
  <si>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</si>
  <si>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</si>
  <si>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</si>
  <si>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</si>
  <si>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</si>
  <si>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</si>
  <si>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</si>
  <si>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</si>
  <si>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</si>
  <si>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</si>
  <si>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</si>
  <si>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</si>
  <si>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</si>
  <si>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</si>
  <si>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</si>
  <si>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</si>
  <si>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</si>
  <si>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</si>
  <si>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</si>
  <si>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</si>
  <si>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</si>
  <si>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</si>
  <si>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</si>
  <si>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</si>
  <si>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</si>
  <si>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</si>
  <si>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</si>
  <si>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</si>
  <si>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</si>
  <si>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</si>
  <si>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</si>
  <si>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</si>
  <si>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</si>
  <si>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</si>
  <si>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</si>
  <si>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</si>
  <si>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</si>
  <si>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</si>
  <si>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</si>
  <si>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</si>
  <si>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</si>
  <si>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</si>
  <si>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</si>
  <si>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</si>
  <si>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</si>
  <si>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</si>
  <si>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</si>
  <si>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</si>
  <si>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</si>
  <si>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</si>
  <si>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</si>
  <si>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</si>
  <si>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</si>
  <si>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</si>
  <si>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</si>
  <si>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</si>
  <si>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</si>
  <si>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</si>
  <si>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</si>
  <si>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</si>
  <si>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</si>
  <si>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</si>
  <si>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</si>
  <si>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</si>
  <si>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</si>
  <si>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</si>
  <si>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</si>
  <si>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</si>
  <si>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</si>
  <si>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</si>
  <si>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</si>
  <si>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</si>
  <si>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</si>
  <si>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</si>
  <si>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</si>
  <si>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</si>
  <si>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</si>
  <si>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</si>
  <si>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</si>
  <si>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</si>
  <si>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</si>
  <si>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</si>
  <si>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</si>
  <si>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</si>
  <si>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</si>
  <si>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</si>
  <si>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</si>
  <si>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</si>
  <si>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</si>
  <si>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</si>
  <si>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</si>
  <si>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</si>
  <si>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</si>
  <si>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</si>
  <si>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</si>
  <si>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</si>
  <si>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</si>
  <si>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</si>
  <si>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</si>
  <si>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</si>
  <si>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</si>
  <si>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</si>
  <si>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</si>
  <si>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</si>
  <si>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</si>
  <si>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</si>
  <si>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</si>
  <si>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</si>
  <si>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</si>
  <si>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</si>
  <si>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</si>
  <si>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</si>
  <si>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</si>
  <si>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</si>
  <si>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</si>
  <si>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</si>
  <si>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</si>
  <si>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</si>
  <si>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</si>
  <si>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</si>
  <si>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</si>
  <si>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</si>
  <si>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</si>
  <si>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</si>
  <si>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</si>
  <si>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</si>
  <si>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</si>
  <si>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</si>
  <si>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</si>
  <si>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</si>
  <si>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</si>
  <si>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</si>
  <si>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</si>
  <si>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</si>
  <si>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</si>
  <si>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</si>
  <si>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</si>
  <si>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</si>
  <si>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</si>
  <si>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</si>
  <si>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</si>
  <si>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</si>
  <si>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</si>
  <si>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</si>
  <si>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</si>
  <si>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</si>
  <si>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</si>
  <si>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</si>
  <si>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</si>
  <si>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</si>
  <si>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</si>
  <si>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</si>
  <si>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</si>
  <si>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</si>
  <si>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</si>
  <si>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</si>
  <si>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</si>
  <si>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</si>
  <si>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</si>
  <si>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</si>
  <si>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</si>
  <si>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</si>
  <si>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</si>
  <si>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</si>
  <si>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</si>
  <si>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</si>
  <si>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</si>
  <si>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</si>
  <si>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</si>
  <si>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</si>
  <si>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</si>
  <si>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</si>
  <si>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</si>
  <si>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</si>
  <si>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</si>
  <si>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</si>
  <si>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</si>
  <si>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</si>
  <si>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</si>
  <si>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</si>
  <si>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</si>
  <si>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</si>
  <si>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</si>
  <si>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</si>
  <si>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</si>
  <si>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</si>
  <si>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</si>
  <si>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</si>
  <si>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</si>
  <si>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</si>
  <si>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</si>
  <si>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</si>
  <si>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</si>
  <si>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</si>
  <si>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</si>
  <si>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</si>
  <si>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</si>
  <si>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</si>
  <si>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</si>
  <si>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</si>
  <si>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</si>
  <si>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</si>
  <si>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</si>
  <si>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</si>
  <si>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</si>
  <si>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</si>
  <si>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</si>
  <si>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</si>
  <si>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</si>
  <si>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</si>
  <si>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</si>
  <si>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</si>
  <si>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</si>
  <si>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</si>
  <si>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</si>
  <si>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</si>
  <si>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</si>
  <si>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</si>
  <si>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</si>
  <si>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</si>
  <si>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</si>
  <si>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</si>
  <si>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</si>
  <si>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</si>
  <si>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</si>
  <si>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</si>
  <si>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</si>
  <si>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</si>
  <si>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</si>
  <si>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</si>
  <si>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</si>
  <si>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</si>
  <si>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</si>
  <si>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</si>
  <si>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</si>
  <si>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</si>
  <si>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</si>
  <si>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</si>
  <si>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</si>
  <si>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</si>
  <si>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</si>
  <si>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</si>
  <si>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</si>
  <si>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</si>
  <si>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</si>
  <si>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</si>
  <si>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</si>
  <si>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</si>
  <si>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</si>
  <si>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</si>
  <si>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</si>
  <si>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</si>
  <si>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</si>
  <si>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</si>
  <si>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</si>
  <si>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</si>
  <si>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</si>
  <si>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</si>
  <si>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</si>
  <si>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</si>
  <si>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</si>
  <si>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</si>
  <si>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</si>
  <si>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</si>
  <si>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</si>
  <si>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</si>
  <si>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</si>
  <si>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</si>
  <si>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</si>
  <si>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</si>
  <si>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</si>
  <si>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</si>
  <si>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</si>
  <si>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</si>
  <si>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</si>
  <si>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</si>
  <si>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</si>
  <si>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</si>
  <si>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</si>
  <si>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</si>
  <si>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</si>
  <si>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</si>
  <si>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</si>
  <si>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</si>
  <si>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</si>
  <si>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</si>
  <si>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</si>
  <si>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</si>
  <si>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</si>
  <si>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</si>
  <si>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</si>
  <si>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</si>
  <si>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</si>
  <si>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</si>
  <si>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</si>
  <si>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</si>
  <si>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</si>
  <si>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</si>
  <si>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</si>
  <si>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</si>
  <si>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</si>
  <si>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</si>
  <si>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</si>
  <si>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</si>
  <si>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</si>
  <si>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</si>
  <si>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</si>
  <si>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</si>
  <si>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</si>
  <si>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</si>
  <si>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</si>
  <si>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</si>
  <si>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</si>
  <si>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</si>
  <si>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</si>
  <si>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</si>
  <si>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</si>
  <si>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</si>
  <si>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</si>
  <si>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</si>
  <si>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</si>
  <si>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</si>
  <si>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</si>
  <si>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</si>
  <si>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</si>
  <si>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</si>
  <si>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</si>
  <si>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</si>
  <si>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</si>
  <si>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</si>
  <si>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</si>
  <si>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</si>
  <si>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</si>
  <si>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</si>
  <si>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</si>
  <si>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</si>
  <si>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</si>
  <si>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</si>
  <si>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</si>
  <si>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</si>
  <si>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</si>
  <si>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</si>
  <si>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</si>
  <si>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</si>
  <si>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</si>
  <si>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</si>
  <si>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</si>
  <si>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</si>
  <si>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</si>
  <si>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</si>
  <si>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</si>
  <si>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</si>
  <si>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</si>
  <si>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</si>
  <si>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</si>
  <si>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</si>
  <si>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</si>
  <si>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</si>
  <si>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</si>
  <si>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</si>
  <si>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</si>
  <si>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</si>
  <si>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</si>
  <si>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</si>
  <si>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</si>
  <si>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</si>
  <si>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</si>
  <si>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</si>
  <si>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</si>
  <si>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</si>
  <si>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</si>
  <si>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</si>
  <si>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</si>
  <si>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</si>
  <si>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</si>
  <si>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</si>
  <si>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</si>
  <si>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</si>
  <si>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</si>
  <si>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</si>
  <si>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</si>
  <si>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</si>
  <si>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</si>
  <si>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</si>
  <si>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</si>
  <si>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</si>
  <si>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</si>
  <si>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</si>
  <si>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</si>
  <si>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</si>
  <si>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</si>
  <si>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</si>
  <si>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</si>
  <si>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</si>
  <si>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</si>
  <si>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</si>
  <si>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</si>
  <si>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</si>
  <si>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</si>
  <si>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</si>
  <si>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</si>
  <si>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</si>
  <si>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</si>
  <si>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</si>
  <si>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</si>
  <si>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</si>
  <si>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</si>
  <si>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</si>
  <si>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</si>
  <si>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</si>
  <si>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</si>
  <si>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</si>
  <si>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</si>
  <si>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</si>
  <si>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</si>
  <si>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</si>
  <si>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</si>
  <si>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</si>
  <si>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</si>
  <si>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</si>
  <si>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</si>
  <si>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</si>
  <si>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</si>
  <si>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</si>
  <si>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</si>
  <si>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</si>
  <si>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</si>
  <si>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</si>
  <si>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</si>
  <si>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</si>
  <si>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</si>
  <si>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</si>
  <si>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</si>
  <si>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</si>
  <si>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</si>
  <si>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</si>
  <si>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</si>
  <si>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</si>
  <si>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</si>
  <si>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</si>
  <si>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</si>
  <si>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</si>
  <si>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</si>
  <si>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</si>
  <si>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</si>
  <si>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</si>
  <si>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</si>
  <si>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</si>
  <si>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</si>
  <si>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</si>
  <si>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</si>
  <si>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</si>
  <si>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</si>
  <si>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</si>
  <si>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</si>
  <si>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</si>
  <si>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</si>
  <si>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</si>
  <si>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</si>
  <si>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</si>
  <si>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</si>
  <si>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</si>
  <si>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</si>
  <si>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</si>
  <si>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</si>
  <si>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</si>
  <si>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</si>
  <si>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</si>
  <si>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</si>
  <si>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</si>
  <si>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</si>
  <si>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</si>
  <si>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</si>
  <si>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</si>
  <si>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</si>
  <si>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</si>
  <si>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</si>
  <si>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</si>
  <si>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</si>
  <si>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</si>
  <si>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</si>
  <si>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</si>
  <si>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</si>
  <si>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</si>
  <si>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</si>
  <si>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</si>
  <si>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</si>
  <si>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</si>
  <si>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</si>
  <si>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</si>
  <si>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</si>
  <si>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</si>
  <si>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</si>
  <si>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</si>
  <si>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</si>
  <si>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</si>
  <si>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</si>
  <si>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</si>
  <si>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</si>
  <si>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</si>
  <si>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</si>
  <si>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</si>
  <si>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</si>
  <si>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</si>
  <si>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</si>
  <si>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</si>
  <si>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</si>
  <si>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</si>
  <si>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</si>
  <si>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</si>
  <si>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</si>
  <si>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</si>
  <si>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</si>
  <si>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</si>
  <si>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</si>
  <si>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</si>
  <si>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</si>
  <si>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</si>
  <si>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</si>
  <si>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</si>
  <si>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</si>
  <si>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</si>
  <si>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</si>
  <si>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</si>
  <si>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</si>
  <si>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</si>
  <si>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</si>
  <si>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</si>
  <si>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</si>
  <si>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</si>
  <si>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</si>
  <si>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</si>
  <si>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</si>
  <si>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</si>
  <si>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</si>
  <si>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</si>
  <si>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</si>
  <si>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</si>
  <si>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</si>
  <si>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</si>
  <si>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</si>
  <si>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</si>
  <si>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</si>
  <si>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</si>
  <si>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</si>
  <si>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</si>
  <si>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</si>
  <si>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</si>
  <si>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</si>
  <si>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</si>
  <si>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</si>
  <si>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</si>
  <si>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</si>
  <si>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</si>
  <si>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</si>
  <si>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</si>
  <si>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</si>
  <si>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</si>
  <si>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</si>
  <si>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</si>
  <si>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</si>
  <si>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</si>
  <si>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</si>
  <si>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</si>
  <si>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</si>
  <si>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</si>
  <si>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</si>
  <si>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</si>
  <si>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</si>
  <si>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</si>
  <si>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</si>
  <si>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</si>
  <si>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</si>
  <si>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</si>
  <si>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</si>
  <si>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</si>
  <si>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</si>
  <si>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</si>
  <si>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</si>
  <si>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</si>
  <si>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</si>
  <si>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</si>
  <si>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</si>
  <si>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</si>
  <si>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</si>
  <si>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</si>
  <si>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</si>
  <si>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</si>
  <si>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</si>
  <si>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</si>
  <si>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</si>
  <si>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</si>
  <si>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</si>
  <si>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</si>
  <si>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</si>
  <si>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</si>
  <si>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</si>
  <si>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</si>
  <si>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</si>
  <si>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</si>
  <si>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</si>
  <si>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</si>
  <si>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</si>
  <si>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</si>
  <si>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</si>
  <si>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</si>
  <si>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</si>
  <si>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</si>
  <si>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</si>
  <si>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</si>
  <si>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</si>
  <si>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</si>
  <si>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</si>
  <si>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</si>
  <si>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</si>
  <si>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</si>
  <si>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</si>
  <si>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</si>
  <si>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</si>
  <si>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</si>
  <si>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</si>
  <si>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</si>
  <si>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</si>
  <si>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</si>
  <si>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</si>
  <si>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</si>
  <si>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</si>
  <si>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</si>
  <si>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</si>
  <si>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</si>
  <si>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</si>
  <si>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</si>
  <si>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</si>
  <si>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</si>
  <si>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</si>
  <si>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</si>
  <si>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</si>
  <si>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</si>
  <si>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</si>
  <si>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</si>
  <si>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</si>
  <si>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</si>
  <si>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</si>
  <si>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</si>
  <si>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</si>
  <si>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</si>
  <si>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</si>
  <si>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</si>
  <si>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</si>
  <si>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</si>
  <si>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</si>
  <si>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</si>
  <si>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</si>
  <si>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</si>
  <si>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</si>
  <si>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</si>
  <si>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</si>
  <si>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</si>
  <si>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</si>
  <si>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</si>
  <si>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</si>
  <si>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</si>
  <si>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</si>
  <si>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</si>
  <si>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</si>
  <si>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</si>
  <si>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</si>
  <si>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</si>
  <si>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</si>
  <si>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</si>
  <si>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</si>
  <si>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</si>
  <si>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</si>
  <si>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</si>
  <si>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</si>
  <si>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</si>
  <si>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</si>
  <si>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</si>
  <si>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</si>
  <si>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</si>
  <si>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</si>
  <si>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</si>
  <si>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</si>
  <si>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</si>
  <si>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</si>
  <si>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</si>
  <si>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</si>
  <si>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</si>
  <si>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</si>
  <si>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</si>
  <si>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</si>
  <si>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</si>
  <si>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</si>
  <si>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</si>
  <si>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</si>
  <si>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</si>
  <si>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</si>
  <si>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</si>
  <si>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</si>
  <si>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</si>
  <si>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</si>
  <si>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</si>
  <si>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</si>
  <si>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</si>
  <si>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</si>
  <si>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</si>
  <si>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</si>
  <si>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</si>
  <si>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</si>
  <si>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</si>
  <si>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</si>
  <si>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</si>
  <si>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</si>
  <si>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</si>
  <si>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</si>
  <si>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</si>
  <si>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</si>
  <si>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</si>
  <si>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</si>
  <si>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</si>
  <si>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</si>
  <si>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</si>
  <si>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</si>
  <si>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</si>
  <si>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</si>
  <si>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</si>
  <si>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</si>
  <si>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</si>
  <si>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</si>
  <si>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</si>
  <si>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</si>
  <si>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</si>
  <si>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</si>
  <si>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</si>
  <si>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</si>
  <si>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</si>
  <si>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</si>
  <si>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</si>
  <si>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</si>
  <si>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</si>
  <si>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</si>
  <si>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</si>
  <si>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</si>
  <si>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</si>
  <si>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</si>
  <si>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</si>
  <si>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</si>
  <si>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</si>
  <si>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</si>
  <si>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</si>
  <si>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</si>
  <si>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</si>
  <si>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</si>
  <si>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</si>
  <si>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</si>
  <si>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</si>
  <si>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</si>
  <si>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</si>
  <si>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</si>
  <si>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</si>
  <si>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</si>
  <si>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</si>
  <si>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</si>
  <si>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</si>
  <si>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</si>
  <si>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</si>
  <si>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</si>
  <si>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</si>
  <si>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</si>
  <si>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</si>
  <si>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</si>
  <si>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</si>
  <si>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</si>
  <si>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</si>
  <si>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</si>
  <si>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</si>
  <si>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</si>
  <si>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</si>
  <si>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</si>
  <si>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</si>
  <si>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</si>
  <si>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</si>
  <si>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</si>
  <si>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</si>
  <si>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</si>
  <si>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</si>
  <si>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</si>
  <si>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</si>
  <si>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</si>
  <si>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</si>
  <si>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</si>
  <si>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</si>
  <si>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</si>
  <si>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</si>
  <si>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</si>
  <si>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</si>
  <si>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</si>
  <si>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</si>
  <si>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</si>
  <si>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</si>
  <si>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</si>
  <si>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</si>
  <si>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</si>
  <si>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</si>
  <si>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</si>
  <si>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</si>
  <si>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</si>
  <si>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</si>
  <si>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</si>
  <si>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</si>
  <si>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</si>
  <si>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</si>
  <si>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</si>
  <si>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</si>
  <si>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</si>
  <si>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</si>
  <si>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</si>
  <si>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</si>
  <si>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</si>
  <si>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</si>
  <si>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</si>
  <si>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</si>
  <si>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</si>
  <si>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</si>
  <si>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</si>
  <si>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</si>
  <si>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</si>
  <si>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</si>
  <si>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</si>
  <si>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</si>
  <si>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</si>
  <si>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</si>
  <si>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</si>
  <si>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</si>
  <si>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</si>
  <si>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</si>
  <si>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</si>
  <si>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</si>
  <si>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</si>
  <si>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</si>
  <si>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</si>
  <si>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</si>
  <si>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</si>
  <si>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</si>
  <si>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</si>
  <si>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</si>
  <si>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</si>
  <si>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</si>
  <si>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</si>
  <si>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</si>
  <si>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</si>
  <si>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</si>
  <si>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</si>
  <si>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</si>
  <si>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</si>
  <si>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</si>
  <si>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</si>
  <si>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</si>
  <si>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</si>
  <si>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</si>
  <si>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</si>
  <si>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</si>
  <si>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</si>
  <si>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</si>
  <si>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</si>
  <si>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</si>
  <si>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</si>
  <si>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</si>
  <si>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</si>
  <si>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</si>
  <si>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</si>
  <si>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</si>
  <si>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</si>
  <si>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</si>
  <si>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</si>
  <si>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</si>
  <si>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</si>
  <si>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</si>
  <si>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</si>
  <si>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</si>
  <si>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</si>
  <si>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</si>
  <si>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</si>
  <si>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</si>
  <si>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</si>
  <si>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</si>
  <si>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</si>
  <si>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</si>
  <si>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</si>
  <si>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</si>
  <si>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</si>
  <si>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</si>
  <si>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</si>
  <si>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</si>
  <si>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</si>
  <si>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</si>
  <si>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</si>
  <si>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</si>
  <si>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</si>
  <si>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</si>
  <si>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</si>
  <si>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</si>
  <si>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</si>
  <si>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</si>
  <si>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</si>
  <si>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</si>
  <si>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</si>
  <si>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</si>
  <si>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</si>
  <si>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</si>
  <si>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</si>
  <si>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</si>
  <si>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</si>
  <si>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</si>
  <si>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</si>
  <si>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</si>
  <si>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</si>
  <si>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</si>
  <si>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</si>
  <si>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</si>
  <si>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</si>
  <si>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</si>
  <si>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</si>
  <si>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</si>
  <si>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</si>
  <si>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</si>
  <si>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</si>
  <si>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</si>
  <si>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</si>
  <si>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</si>
  <si>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</si>
  <si>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</si>
  <si>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</si>
  <si>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</si>
  <si>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</si>
  <si>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</si>
  <si>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</si>
  <si>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</si>
  <si>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</si>
  <si>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</si>
  <si>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</si>
  <si>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</si>
  <si>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</si>
  <si>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</si>
  <si>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</si>
  <si>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</si>
  <si>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</si>
  <si>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</si>
  <si>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</si>
  <si>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</si>
  <si>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</si>
  <si>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</si>
  <si>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</si>
  <si>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</si>
  <si>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</si>
  <si>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</si>
  <si>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</si>
  <si>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</si>
  <si>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</si>
  <si>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</si>
  <si>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</si>
  <si>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</si>
  <si>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</si>
  <si>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</si>
  <si>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</si>
  <si>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</si>
  <si>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</si>
  <si>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</si>
  <si>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</si>
  <si>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</si>
  <si>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</si>
  <si>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</si>
  <si>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</si>
  <si>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</si>
  <si>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</si>
  <si>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</si>
  <si>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</si>
  <si>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</si>
  <si>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</si>
  <si>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</si>
  <si>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</si>
  <si>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</si>
  <si>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</si>
  <si>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</si>
  <si>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</si>
  <si>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</si>
  <si>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</si>
  <si>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</si>
  <si>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</si>
  <si>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</si>
  <si>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</si>
  <si>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</si>
  <si>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</si>
  <si>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</si>
  <si>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</si>
  <si>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</si>
  <si>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</si>
  <si>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</si>
  <si>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</si>
  <si>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</si>
  <si>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</si>
  <si>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</si>
  <si>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</si>
  <si>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</si>
  <si>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</si>
  <si>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</si>
  <si>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</si>
  <si>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</si>
  <si>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</si>
  <si>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</si>
  <si>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</si>
  <si>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</si>
  <si>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</si>
  <si>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</si>
  <si>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</si>
  <si>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</si>
  <si>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</si>
  <si>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</si>
  <si>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</si>
  <si>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</si>
  <si>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</si>
  <si>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</si>
  <si>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</si>
  <si>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</si>
  <si>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</si>
  <si>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</si>
  <si>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</si>
  <si>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</si>
  <si>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</si>
  <si>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</si>
  <si>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</si>
  <si>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</si>
  <si>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</si>
  <si>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</si>
  <si>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</si>
  <si>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</si>
  <si>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</si>
  <si>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</si>
  <si>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</si>
  <si>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</si>
  <si>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</si>
  <si>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</si>
  <si>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</si>
  <si>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</si>
  <si>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</si>
  <si>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</si>
  <si>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</si>
  <si>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</si>
  <si>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</si>
  <si>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</si>
  <si>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</si>
  <si>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</si>
  <si>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</si>
  <si>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</si>
  <si>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</si>
  <si>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</si>
  <si>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</si>
  <si>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</si>
  <si>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</si>
  <si>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</si>
  <si>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</si>
  <si>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</si>
  <si>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</si>
  <si>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</si>
  <si>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</si>
  <si>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</si>
  <si>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</si>
  <si>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</si>
  <si>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</si>
  <si>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</si>
  <si>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</si>
  <si>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</si>
  <si>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</si>
  <si>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</si>
  <si>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</si>
  <si>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</si>
  <si>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</si>
  <si>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</si>
  <si>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</si>
  <si>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</si>
  <si>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</si>
  <si>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</si>
  <si>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</si>
  <si>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</si>
  <si>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</si>
  <si>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</si>
  <si>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</si>
  <si>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</si>
  <si>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</si>
  <si>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</si>
  <si>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</si>
  <si>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</si>
  <si>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</si>
  <si>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</si>
  <si>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</si>
  <si>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</si>
  <si>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</si>
  <si>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</si>
  <si>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</si>
  <si>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</si>
  <si>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</si>
  <si>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</si>
  <si>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</si>
  <si>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</si>
  <si>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</si>
  <si>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</si>
  <si>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</si>
  <si>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</si>
  <si>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</si>
  <si>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</si>
  <si>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</si>
  <si>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</si>
  <si>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</si>
  <si>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</si>
  <si>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</si>
  <si>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</si>
  <si>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</si>
  <si>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</si>
  <si>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</si>
  <si>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</si>
  <si>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</si>
  <si>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</si>
  <si>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</si>
  <si>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</si>
  <si>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</si>
  <si>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</si>
  <si>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</si>
  <si>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</si>
  <si>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</si>
  <si>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</si>
  <si>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</si>
  <si>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</si>
  <si>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</si>
  <si>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</si>
  <si>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</si>
  <si>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</si>
  <si>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</si>
  <si>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</si>
  <si>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</si>
  <si>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</si>
  <si>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</si>
  <si>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</si>
  <si>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</si>
  <si>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</si>
  <si>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</si>
  <si>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</si>
  <si>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</si>
  <si>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</si>
  <si>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</si>
  <si>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</si>
  <si>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</si>
  <si>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</si>
  <si>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</si>
  <si>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</si>
  <si>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</si>
  <si>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</si>
  <si>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</si>
  <si>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</si>
  <si>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</si>
  <si>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</si>
  <si>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</si>
  <si>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</si>
  <si>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</si>
  <si>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</si>
  <si>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</si>
  <si>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</si>
  <si>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</si>
  <si>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</si>
  <si>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</si>
  <si>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</si>
  <si>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</si>
  <si>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</si>
  <si>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</si>
  <si>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</si>
  <si>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</si>
  <si>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</si>
  <si>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</si>
  <si>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</si>
  <si>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</si>
  <si>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</si>
  <si>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</si>
  <si>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</si>
  <si>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</si>
  <si>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</si>
  <si>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</si>
  <si>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</si>
  <si>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</si>
  <si>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</si>
  <si>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</si>
  <si>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</si>
  <si>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</si>
  <si>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</si>
  <si>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</si>
  <si>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</si>
  <si>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</si>
  <si>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</si>
  <si>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</si>
  <si>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</si>
  <si>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</si>
  <si>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</si>
  <si>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</si>
  <si>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</si>
  <si>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</si>
  <si>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</si>
  <si>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</si>
  <si>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</si>
  <si>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</si>
  <si>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</si>
  <si>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</si>
  <si>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</si>
  <si>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</si>
  <si>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</si>
  <si>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</si>
  <si>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</si>
  <si>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</si>
  <si>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</si>
  <si>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</si>
  <si>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</si>
  <si>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</si>
  <si>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</si>
  <si>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</si>
  <si>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</si>
  <si>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</si>
  <si>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</si>
  <si>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</si>
  <si>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</si>
  <si>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</si>
  <si>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</si>
  <si>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</si>
  <si>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</si>
  <si>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</si>
  <si>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</si>
  <si>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</si>
  <si>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</si>
  <si>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</si>
  <si>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</si>
  <si>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</si>
  <si>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</si>
  <si>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</si>
  <si>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</si>
  <si>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</si>
  <si>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</si>
  <si>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</si>
  <si>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</si>
  <si>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</si>
  <si>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</si>
  <si>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</si>
  <si>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</si>
  <si>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</si>
  <si>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</si>
  <si>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</si>
  <si>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</si>
  <si>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</si>
  <si>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</si>
  <si>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</si>
  <si>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</si>
  <si>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</si>
  <si>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</si>
  <si>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</si>
  <si>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</si>
  <si>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</si>
  <si>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</si>
  <si>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</si>
  <si>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</si>
  <si>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</si>
  <si>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</si>
  <si>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</si>
  <si>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</si>
  <si>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</si>
  <si>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</si>
  <si>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</si>
  <si>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</si>
  <si>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</si>
  <si>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</si>
  <si>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</si>
  <si>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</si>
  <si>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</si>
  <si>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</si>
  <si>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</si>
  <si>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</si>
  <si>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</si>
  <si>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</si>
  <si>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</si>
  <si>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</si>
  <si>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</si>
  <si>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</si>
  <si>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</si>
  <si>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</si>
  <si>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</si>
  <si>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</si>
  <si>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</si>
  <si>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</si>
  <si>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</si>
  <si>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</si>
  <si>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</si>
  <si>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</si>
  <si>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</si>
  <si>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</si>
  <si>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</si>
  <si>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</si>
  <si>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</si>
  <si>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</si>
  <si>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</si>
  <si>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</si>
  <si>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</si>
  <si>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</si>
  <si>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</si>
  <si>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</si>
  <si>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</si>
  <si>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</si>
  <si>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</si>
  <si>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</si>
  <si>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</si>
  <si>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</si>
  <si>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</si>
  <si>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</si>
  <si>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</si>
  <si>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</si>
  <si>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</si>
  <si>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</si>
  <si>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</si>
  <si>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</si>
  <si>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</si>
  <si>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</si>
  <si>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</si>
  <si>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</si>
  <si>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</si>
  <si>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</si>
  <si>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</si>
  <si>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</si>
  <si>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</si>
  <si>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</si>
  <si>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</si>
  <si>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</si>
  <si>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</si>
  <si>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</si>
  <si>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</si>
  <si>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</si>
  <si>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</si>
  <si>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</si>
  <si>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</si>
  <si>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</si>
  <si>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</si>
  <si>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</si>
  <si>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</si>
  <si>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</si>
  <si>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</si>
  <si>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</si>
  <si>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</si>
  <si>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</si>
  <si>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</si>
  <si>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</si>
  <si>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</si>
  <si>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</si>
  <si>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</si>
  <si>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</si>
  <si>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</si>
  <si>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</si>
  <si>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</si>
  <si>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</si>
  <si>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</si>
  <si>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</si>
  <si>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</si>
  <si>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</si>
  <si>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</si>
  <si>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</si>
  <si>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</si>
  <si>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</si>
  <si>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</si>
  <si>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</si>
  <si>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</si>
  <si>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</si>
  <si>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</si>
  <si>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</si>
  <si>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</si>
  <si>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</si>
  <si>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</si>
  <si>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</si>
  <si>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</si>
  <si>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</si>
  <si>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</si>
  <si>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</si>
  <si>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</si>
  <si>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</si>
  <si>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</si>
  <si>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</si>
  <si>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</si>
  <si>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</si>
  <si>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</si>
  <si>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</si>
  <si>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</si>
  <si>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</si>
  <si>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</si>
  <si>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</si>
  <si>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</si>
  <si>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</si>
  <si>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</si>
  <si>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</si>
  <si>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</si>
  <si>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</si>
  <si>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</si>
  <si>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</si>
  <si>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</si>
  <si>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</si>
  <si>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</si>
  <si>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</si>
  <si>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</si>
  <si>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</si>
  <si>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</si>
  <si>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</si>
  <si>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</si>
  <si>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</si>
  <si>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</si>
  <si>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</si>
  <si>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</si>
  <si>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</si>
  <si>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</si>
  <si>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</si>
  <si>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</si>
  <si>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</si>
  <si>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</si>
  <si>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</si>
  <si>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</si>
  <si>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</si>
  <si>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</si>
  <si>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</si>
  <si>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</si>
  <si>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</si>
  <si>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</si>
  <si>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</si>
  <si>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</si>
  <si>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</si>
  <si>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</si>
  <si>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</si>
  <si>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</si>
  <si>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</si>
  <si>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</si>
  <si>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</si>
  <si>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</si>
  <si>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</si>
  <si>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</si>
  <si>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</si>
  <si>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</si>
  <si>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</si>
  <si>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</si>
  <si>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</si>
  <si>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</si>
  <si>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</si>
  <si>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</si>
  <si>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</si>
  <si>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</si>
  <si>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</si>
  <si>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</si>
  <si>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</si>
  <si>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</si>
  <si>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</si>
  <si>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</si>
  <si>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</si>
  <si>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</si>
  <si>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</si>
  <si>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</si>
  <si>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</si>
  <si>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</si>
  <si>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</si>
  <si>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</si>
  <si>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</si>
  <si>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</si>
  <si>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</si>
  <si>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</si>
  <si>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</si>
  <si>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</si>
  <si>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</si>
  <si>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</si>
  <si>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</si>
  <si>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</si>
  <si>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</si>
  <si>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</si>
  <si>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</si>
  <si>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</si>
  <si>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</si>
  <si>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</si>
  <si>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</si>
  <si>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</si>
  <si>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</si>
  <si>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</si>
  <si>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</si>
  <si>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</si>
  <si>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</si>
  <si>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</si>
  <si>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</si>
  <si>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</si>
  <si>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</si>
  <si>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</si>
  <si>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</si>
  <si>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</si>
  <si>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</si>
  <si>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</si>
  <si>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</si>
  <si>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</si>
  <si>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</si>
  <si>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</si>
  <si>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</si>
  <si>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</si>
  <si>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</si>
  <si>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</si>
  <si>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</si>
  <si>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</si>
  <si>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</si>
  <si>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</si>
  <si>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</si>
  <si>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</si>
  <si>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</si>
  <si>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</si>
  <si>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</si>
  <si>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</si>
  <si>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</si>
  <si>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</si>
  <si>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</si>
  <si>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</si>
  <si>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</si>
  <si>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</si>
  <si>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</si>
  <si>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</si>
  <si>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</si>
  <si>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</si>
  <si>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</si>
  <si>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</si>
  <si>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</si>
  <si>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</si>
  <si>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</si>
  <si>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</si>
  <si>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</si>
  <si>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</si>
  <si>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</si>
  <si>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</si>
  <si>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</si>
  <si>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</si>
  <si>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</si>
  <si>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</si>
  <si>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</si>
  <si>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</si>
  <si>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</si>
  <si>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</si>
  <si>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</si>
  <si>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</si>
  <si>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</si>
  <si>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</si>
  <si>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</si>
  <si>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</si>
  <si>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</si>
  <si>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</si>
  <si>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</si>
  <si>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</si>
  <si>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</si>
  <si>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</si>
  <si>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</si>
  <si>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</si>
  <si>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</si>
  <si>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</si>
  <si>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</si>
  <si>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</si>
  <si>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</si>
  <si>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</si>
  <si>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</si>
  <si>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</si>
  <si>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</si>
  <si>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</si>
  <si>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</si>
  <si>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</si>
  <si>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</si>
  <si>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</si>
  <si>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</si>
  <si>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</si>
  <si>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</si>
  <si>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</si>
  <si>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</si>
  <si>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</si>
  <si>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</si>
  <si>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</si>
  <si>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</si>
  <si>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</si>
  <si>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</si>
  <si>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</si>
  <si>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</si>
  <si>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</si>
  <si>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</si>
  <si>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</si>
  <si>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</si>
  <si>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</si>
  <si>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</si>
  <si>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</si>
  <si>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</si>
  <si>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</si>
  <si>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</si>
  <si>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</si>
  <si>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</si>
  <si>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</si>
  <si>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</si>
  <si>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</si>
  <si>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</si>
  <si>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</si>
  <si>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</si>
  <si>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</si>
  <si>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</si>
  <si>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</si>
  <si>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</si>
  <si>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</si>
  <si>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</si>
  <si>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</si>
  <si>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</si>
  <si>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</si>
  <si>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</si>
  <si>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</si>
  <si>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</si>
  <si>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</si>
  <si>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</si>
  <si>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</si>
  <si>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</si>
  <si>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</si>
  <si>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</si>
  <si>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</si>
  <si>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</si>
  <si>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</si>
  <si>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</si>
  <si>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</si>
  <si>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</si>
  <si>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</si>
  <si>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</si>
  <si>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</si>
  <si>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</si>
  <si>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</si>
  <si>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</si>
  <si>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</si>
  <si>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</si>
  <si>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</si>
  <si>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</si>
  <si>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</si>
  <si>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</si>
  <si>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</si>
  <si>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</si>
  <si>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</si>
  <si>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</si>
  <si>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</si>
  <si>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</si>
  <si>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</si>
  <si>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</si>
  <si>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</si>
  <si>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</si>
  <si>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</si>
  <si>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</si>
  <si>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</si>
  <si>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</si>
  <si>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</si>
  <si>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</si>
  <si>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</si>
  <si>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</si>
  <si>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</si>
  <si>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</si>
  <si>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</si>
  <si>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</si>
  <si>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</si>
  <si>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</si>
  <si>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</si>
  <si>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</si>
  <si>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</si>
  <si>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</si>
  <si>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</si>
  <si>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</si>
  <si>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</si>
  <si>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</si>
  <si>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</si>
  <si>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</si>
  <si>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</si>
  <si>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</si>
  <si>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</si>
  <si>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</si>
  <si>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</si>
  <si>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</si>
  <si>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</si>
  <si>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</si>
  <si>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</si>
  <si>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</si>
  <si>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</si>
  <si>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</si>
  <si>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</si>
  <si>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</si>
  <si>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</si>
  <si>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</si>
  <si>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</si>
  <si>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</si>
  <si>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</si>
  <si>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</si>
  <si>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</si>
  <si>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</si>
  <si>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</si>
  <si>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</si>
  <si>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</si>
  <si>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</si>
  <si>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</si>
  <si>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</si>
  <si>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</si>
  <si>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</si>
  <si>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</si>
  <si>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</si>
  <si>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</si>
  <si>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</si>
  <si>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</si>
  <si>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</si>
  <si>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</si>
  <si>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</si>
  <si>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</si>
  <si>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</si>
  <si>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</si>
  <si>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</si>
  <si>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</si>
  <si>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</si>
  <si>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</si>
  <si>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</si>
  <si>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</si>
  <si>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</si>
  <si>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</si>
  <si>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family val="3"/>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</si>
  <si>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</si>
  <si>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</si>
  <si>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</si>
  <si>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</si>
  <si>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</si>
  <si>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</si>
  <si>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</si>
  <si>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</si>
  <si>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</si>
  <si>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</si>
  <si>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</si>
  <si>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</si>
  <si>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</si>
  <si>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</si>
  <si>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</si>
  <si>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</si>
  <si>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</si>
  <si>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</si>
  <si>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</si>
  <si>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</si>
  <si>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</si>
  <si>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</si>
  <si>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</si>
  <si>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</si>
  <si>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</si>
  <si>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</si>
  <si>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</si>
  <si>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</si>
  <si>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</si>
  <si>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</si>
  <si>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</si>
  <si>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</si>
  <si>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</si>
  <si>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</si>
  <si>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</si>
  <si>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</si>
  <si>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</si>
  <si>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</si>
  <si>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</si>
  <si>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</si>
  <si>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</si>
  <si>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</si>
  <si>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</si>
  <si>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</si>
  <si>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</si>
  <si>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</si>
  <si>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</si>
  <si>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</si>
  <si>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</si>
  <si>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</si>
  <si>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</si>
  <si>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</si>
  <si>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</si>
  <si>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</si>
  <si>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</si>
  <si>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</si>
  <si>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</si>
  <si>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</si>
  <si>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</si>
  <si>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</si>
  <si>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</si>
  <si>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</si>
  <si>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</si>
  <si>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</si>
  <si>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</si>
  <si>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</si>
  <si>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</si>
  <si>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</si>
  <si>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</si>
  <si>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</si>
  <si>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</si>
  <si>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</si>
  <si>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</si>
  <si>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</si>
  <si>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</si>
  <si>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</si>
  <si>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</si>
  <si>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</si>
  <si>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</si>
  <si>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</si>
  <si>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</si>
  <si>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</si>
  <si>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</si>
  <si>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</si>
  <si>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</si>
  <si>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</si>
  <si>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</si>
  <si>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</si>
  <si>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</si>
  <si>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</si>
  <si>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</si>
  <si>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</si>
  <si>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</si>
  <si>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</si>
  <si>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</si>
  <si>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</si>
  <si>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</si>
  <si>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</si>
  <si>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</si>
  <si>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正在利用</t>
    <phoneticPr fontId="225" type="noConversion"/>
  </si>
  <si>
    <t>装修改造</t>
    <phoneticPr fontId="225" type="noConversion"/>
  </si>
  <si>
    <t>中信保诚大厦</t>
    <phoneticPr fontId="1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</si>
</sst>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26">
    <font>
      <sz val="11"/>
      <color theme="1"/>
      <name val="宋体"/>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Arial"/>
      <family val="2"/>
    </font>
    <font>
      <sz val="10"/>
      <color rgb="FF000000"/>
      <name val="宋体"/>
      <family val="3"/>
      <charset val="134"/>
    </font>
    <font>
      <b/>
      <sz val="12"/>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41">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10" fontId="31" fillId="10" borderId="0" xfId="0" applyNumberFormat="1" applyFont="1" applyFill="1" applyAlignment="1" applyProtection="1">
      <alignment horizontal="center" vertical="center"/>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48" fillId="0" borderId="0" xfId="0" applyFont="1" applyAlignment="1">
      <alignment horizontal="center" vertical="center"/>
    </xf>
    <xf numFmtId="0" fontId="42" fillId="0" borderId="83" xfId="0" applyFont="1" applyBorder="1" applyAlignment="1">
      <alignment horizontal="center" vertical="center" wrapText="1"/>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55" fillId="0" borderId="0" xfId="0" applyFont="1" applyAlignment="1">
      <alignment horizontal="left" vertical="center" wrapText="1"/>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96" fontId="148" fillId="0" borderId="0" xfId="0" applyNumberFormat="1" applyFont="1" applyAlignment="1" applyProtection="1">
      <alignment horizontal="right" vertical="center"/>
      <protection locked="0"/>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5" fillId="6" borderId="1"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6" borderId="1" xfId="0" applyFont="1" applyFill="1" applyBorder="1" applyAlignment="1">
      <alignment horizontal="left" vertical="center" wrapText="1"/>
    </xf>
    <xf numFmtId="0" fontId="51" fillId="6"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17" fillId="6" borderId="15"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4" fillId="6" borderId="1"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6" xfId="0"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0" fontId="17" fillId="6" borderId="5" xfId="0" applyFont="1" applyFill="1" applyBorder="1" applyAlignment="1">
      <alignment horizontal="left" vertical="center"/>
    </xf>
    <xf numFmtId="0" fontId="17" fillId="6" borderId="1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1" xfId="0" applyFont="1" applyFill="1" applyBorder="1" applyAlignment="1">
      <alignment horizontal="left" vertical="center" wrapText="1"/>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7" fillId="6" borderId="16" xfId="0"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0" fontId="17" fillId="6" borderId="51" xfId="0" applyFont="1" applyFill="1" applyBorder="1" applyAlignment="1">
      <alignment horizontal="left" vertical="center"/>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4" xfId="0" applyFont="1" applyFill="1" applyBorder="1" applyAlignment="1">
      <alignment horizontal="center" vertical="center"/>
    </xf>
    <xf numFmtId="0" fontId="27" fillId="6" borderId="15"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8" fillId="6" borderId="1" xfId="0" applyFont="1" applyFill="1" applyBorder="1" applyAlignment="1">
      <alignment horizontal="center" vertical="center"/>
    </xf>
    <xf numFmtId="0" fontId="87" fillId="0" borderId="0" xfId="4" applyFont="1" applyAlignment="1">
      <alignment horizontal="left" vertical="center"/>
    </xf>
    <xf numFmtId="0" fontId="25" fillId="0" borderId="0" xfId="4" applyFont="1" applyAlignment="1">
      <alignment horizontal="left" vertical="center"/>
    </xf>
    <xf numFmtId="0" fontId="68" fillId="0" borderId="0" xfId="4" applyFont="1" applyAlignment="1">
      <alignment horizontal="left" vertical="center"/>
    </xf>
    <xf numFmtId="0" fontId="90" fillId="15" borderId="111" xfId="4" applyFont="1" applyFill="1" applyBorder="1" applyAlignment="1">
      <alignment horizontal="left" vertical="center" wrapText="1"/>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90" fillId="15" borderId="118"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cellXfs>
  <cellStyles count="21">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 name="常规 9 2" xfId="2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87" customWidth="1"/>
    <col min="2" max="2" width="81" style="2988" customWidth="1"/>
    <col min="3" max="16384" width="9" style="2989"/>
  </cols>
  <sheetData>
    <row r="1" spans="1:2" s="2985" customFormat="1">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估价对象为北京市朝阳区建国门外大街甲6号1幢房地产，为所有。根据《国有土地使用证》[]，估价对象（分摊）出让国有建设用地使用权面积为8176.44平方米，建筑面积为51096.2平方米。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2022年12月9日（评估专业人员实地查勘之日）</v>
      </c>
    </row>
    <row r="13" spans="1:2">
      <c r="A13" s="2994" t="s">
        <v>13</v>
      </c>
      <c r="B13" s="2995"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293239</v>
      </c>
    </row>
    <row r="21" spans="1:2">
      <c r="A21" s="2994" t="s">
        <v>21</v>
      </c>
      <c r="B21" s="2995">
        <f ca="1">'预评函-2'!D7</f>
        <v>58482</v>
      </c>
    </row>
    <row r="22" spans="1:2">
      <c r="A22" s="2994" t="s">
        <v>22</v>
      </c>
      <c r="B22" s="2995" t="str">
        <f ca="1">'预评函-2'!D6</f>
        <v>贰拾玖亿叁仟贰佰叁拾玖万元整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293239</v>
      </c>
    </row>
    <row r="31" spans="1:2">
      <c r="A31" s="2994" t="s">
        <v>31</v>
      </c>
      <c r="B31" s="2995">
        <f ca="1">'预评函-2'!D15</f>
        <v>57390</v>
      </c>
    </row>
    <row r="32" spans="1:2">
      <c r="A32" s="2994" t="s">
        <v>32</v>
      </c>
      <c r="B32" s="2995" t="str">
        <f ca="1">'预评函-2'!D14</f>
        <v>贰拾玖亿叁仟贰佰叁拾玖万元整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ht="31.2">
      <c r="A42" s="2994" t="s">
        <v>42</v>
      </c>
      <c r="B42" s="2995" t="str">
        <f>'预评函-3'!B2</f>
        <v>建筑面积</v>
      </c>
    </row>
    <row r="43" spans="1:2">
      <c r="A43" s="2994" t="s">
        <v>43</v>
      </c>
      <c r="B43" s="2995">
        <f>'预评函-3'!B4</f>
        <v>51096.2</v>
      </c>
    </row>
    <row r="44" spans="1:2" ht="31.2">
      <c r="A44" s="2994" t="s">
        <v>44</v>
      </c>
      <c r="B44" s="2995" t="str">
        <f>'预评函-3'!C2</f>
        <v>(分摊)土地面积</v>
      </c>
    </row>
    <row r="45" spans="1:2">
      <c r="A45" s="2994" t="s">
        <v>45</v>
      </c>
      <c r="B45" s="2995">
        <f>'预评函-3'!C4</f>
        <v>8176.44</v>
      </c>
    </row>
    <row r="46" spans="1:2">
      <c r="A46" s="2994" t="s">
        <v>46</v>
      </c>
      <c r="B46" s="2995" t="str">
        <f>'预评函-3'!D2</f>
        <v>出让国有建设用地使用权价值</v>
      </c>
    </row>
    <row r="47" spans="1:2">
      <c r="A47" s="2994" t="s">
        <v>47</v>
      </c>
      <c r="B47" s="2995">
        <f ca="1">'预评函-3'!D4</f>
        <v>253065</v>
      </c>
    </row>
    <row r="48" spans="1:2">
      <c r="A48" s="2994" t="s">
        <v>48</v>
      </c>
      <c r="B48" s="2995">
        <f ca="1">'预评函-3'!E4</f>
        <v>50470</v>
      </c>
    </row>
    <row r="49" spans="1:2">
      <c r="A49" s="2994" t="s">
        <v>49</v>
      </c>
      <c r="B49" s="2995" t="str">
        <f ca="1">'预评函-3'!D5</f>
        <v>贰拾伍亿叁仟零陆拾伍万元整</v>
      </c>
    </row>
    <row r="50" spans="1:2">
      <c r="A50" s="2994" t="s">
        <v>50</v>
      </c>
      <c r="B50" s="2995" t="str">
        <f>'预评函-3'!F2</f>
        <v>在建建筑物价值</v>
      </c>
    </row>
    <row r="51" spans="1:2">
      <c r="A51" s="2994" t="s">
        <v>51</v>
      </c>
      <c r="B51" s="2995">
        <f ca="1">'预评函-3'!F4</f>
        <v>40174</v>
      </c>
    </row>
    <row r="52" spans="1:2">
      <c r="A52" s="2994" t="s">
        <v>52</v>
      </c>
      <c r="B52" s="2995">
        <f ca="1">'预评函-3'!G4</f>
        <v>8012</v>
      </c>
    </row>
    <row r="53" spans="1:2">
      <c r="A53" s="2994" t="s">
        <v>53</v>
      </c>
      <c r="B53" s="2995" t="str">
        <f ca="1">'预评函-3'!F5</f>
        <v>肆亿零壹佰柒拾肆万元整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B21" sqref="B21"/>
    </sheetView>
  </sheetViews>
  <sheetFormatPr defaultColWidth="9" defaultRowHeight="14.4"/>
  <cols>
    <col min="1" max="1" width="13.44140625" style="2877" customWidth="1"/>
    <col min="2" max="2" width="23.21875" style="1397" customWidth="1"/>
    <col min="3" max="3" width="13" style="2878" customWidth="1"/>
    <col min="4" max="4" width="5.77734375" style="2879" customWidth="1"/>
    <col min="5" max="5" width="7.109375" style="2879" customWidth="1"/>
    <col min="6" max="6" width="10.6640625" style="2879" customWidth="1"/>
    <col min="7" max="7" width="7.44140625" style="2879" customWidth="1"/>
    <col min="8" max="8" width="9" style="2878" customWidth="1"/>
    <col min="9" max="9" width="11.6640625" style="2878" customWidth="1"/>
    <col min="10" max="10" width="9" style="2878" customWidth="1"/>
    <col min="11" max="19" width="9" style="2879" customWidth="1"/>
    <col min="20" max="23" width="9" style="2878" customWidth="1"/>
    <col min="24" max="24" width="21.109375" style="1397" customWidth="1"/>
    <col min="25" max="16384" width="9" style="1397"/>
  </cols>
  <sheetData>
    <row r="1" spans="1:23" s="2876" customFormat="1" ht="28.8">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46"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87" t="s">
        <v>326</v>
      </c>
      <c r="C54" s="2878" t="s">
        <v>327</v>
      </c>
    </row>
    <row r="55" spans="1:4">
      <c r="A55" s="3046"/>
      <c r="B55" s="2887" t="s">
        <v>328</v>
      </c>
      <c r="C55" s="2878" t="s">
        <v>329</v>
      </c>
    </row>
    <row r="56" spans="1:4">
      <c r="A56" s="3046"/>
      <c r="B56" s="2887" t="s">
        <v>330</v>
      </c>
      <c r="C56" s="2878" t="s">
        <v>331</v>
      </c>
    </row>
    <row r="57" spans="1:4">
      <c r="A57" s="3046"/>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6" sqref="E16"/>
    </sheetView>
  </sheetViews>
  <sheetFormatPr defaultColWidth="10" defaultRowHeight="13.2"/>
  <cols>
    <col min="1" max="1" width="16.88671875" style="2431" customWidth="1"/>
    <col min="2" max="2" width="10" style="2431" customWidth="1"/>
    <col min="3" max="3" width="11.44140625" style="2431" customWidth="1"/>
    <col min="4" max="4" width="10" style="2431" customWidth="1"/>
    <col min="5" max="5" width="12.6640625" style="2431" customWidth="1"/>
    <col min="6" max="6" width="10" style="2431" customWidth="1"/>
    <col min="7" max="7" width="10.77734375" style="2431" customWidth="1"/>
    <col min="8" max="8" width="10" style="2431" customWidth="1"/>
    <col min="9" max="9" width="11.10937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c r="A1" s="2762" t="s">
        <v>334</v>
      </c>
      <c r="B1" s="3051" t="str">
        <f>IF(B10="北京市","北京市",C10)&amp;F10&amp;IF(结果表!G1="在建","出让国有建设用地使用权及在建建筑物",IF(结果表!G1="土地","出让国有建设用地使用权",))&amp;B9&amp;"预评估"</f>
        <v>北京市朝阳区建国门外大街甲6号1幢房地产抵押价值预评估</v>
      </c>
      <c r="C1" s="3052"/>
      <c r="D1" s="3052"/>
      <c r="E1" s="3052"/>
      <c r="F1" s="3052"/>
      <c r="G1" s="3052"/>
      <c r="H1" s="3052"/>
      <c r="I1" s="3053"/>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c r="A3" s="165" t="s">
        <v>336</v>
      </c>
      <c r="B3" s="2766">
        <v>44904</v>
      </c>
      <c r="C3" s="2767" t="s">
        <v>337</v>
      </c>
      <c r="D3" s="2766">
        <f>B3</f>
        <v>44904</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c r="A7" s="2774" t="s">
        <v>341</v>
      </c>
      <c r="B7" s="2778"/>
      <c r="C7" s="2776"/>
      <c r="D7" s="2777"/>
      <c r="E7" s="2765"/>
      <c r="F7" s="2530"/>
      <c r="G7" s="2530"/>
      <c r="H7" s="2530"/>
      <c r="I7" s="2530"/>
      <c r="J7" s="2392"/>
      <c r="K7" s="2858"/>
      <c r="L7" s="2857"/>
      <c r="M7" s="2857"/>
      <c r="N7" s="2392"/>
      <c r="O7" s="844"/>
      <c r="P7" s="2392"/>
      <c r="Q7" s="2392"/>
      <c r="R7" s="2392"/>
    </row>
    <row r="8" spans="1:28">
      <c r="A8" s="2779" t="s">
        <v>342</v>
      </c>
      <c r="B8" s="2780" t="s">
        <v>321</v>
      </c>
      <c r="C8" s="2781"/>
      <c r="D8" s="3066" t="s">
        <v>343</v>
      </c>
      <c r="E8" s="2782" t="s">
        <v>326</v>
      </c>
      <c r="F8" s="2783"/>
      <c r="G8" s="2530"/>
      <c r="H8" s="2530"/>
      <c r="I8" s="2530"/>
      <c r="J8" s="2392"/>
      <c r="K8" s="2859"/>
      <c r="L8" s="2857"/>
      <c r="M8" s="2857"/>
      <c r="N8" s="2392"/>
      <c r="O8" s="844"/>
      <c r="P8" s="2392"/>
      <c r="Q8" s="2392"/>
      <c r="R8" s="2392"/>
    </row>
    <row r="9" spans="1:28">
      <c r="A9" s="2784" t="s">
        <v>344</v>
      </c>
      <c r="B9" s="2785" t="s">
        <v>326</v>
      </c>
      <c r="C9" s="2786"/>
      <c r="D9" s="3067"/>
      <c r="E9" s="2785" t="s">
        <v>124</v>
      </c>
      <c r="F9" s="2787"/>
      <c r="G9" s="2788"/>
      <c r="H9" s="2788"/>
      <c r="I9" s="2788"/>
      <c r="J9" s="2392"/>
      <c r="K9" s="2858"/>
      <c r="L9" s="2857"/>
      <c r="M9" s="2857"/>
      <c r="N9" s="2392"/>
      <c r="O9" s="844"/>
      <c r="P9" s="2392"/>
      <c r="Q9" s="2392"/>
      <c r="R9" s="2392"/>
    </row>
    <row r="10" spans="1:28" ht="14.4">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c r="A11" s="2796" t="s">
        <v>349</v>
      </c>
      <c r="B11" s="2797" t="s">
        <v>350</v>
      </c>
      <c r="C11" s="2798"/>
      <c r="D11" s="2799"/>
      <c r="E11" s="2763"/>
      <c r="F11" s="2763"/>
      <c r="G11" s="2763"/>
      <c r="H11" s="2763"/>
      <c r="I11" s="2763"/>
      <c r="J11" s="2392"/>
      <c r="K11" s="2858"/>
      <c r="L11" s="2857"/>
      <c r="M11" s="2857"/>
      <c r="N11" s="2392"/>
      <c r="O11" s="844"/>
      <c r="P11" s="2392"/>
      <c r="Q11" s="2392"/>
      <c r="R11" s="2392"/>
    </row>
    <row r="12" spans="1:28">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c r="A13" s="194"/>
      <c r="B13" s="2802"/>
      <c r="C13" s="2803" t="s">
        <v>360</v>
      </c>
      <c r="D13" s="2804"/>
      <c r="E13" s="2804"/>
      <c r="F13" s="2804">
        <v>55969</v>
      </c>
      <c r="G13" s="2804">
        <v>55969</v>
      </c>
      <c r="H13" s="2804"/>
      <c r="I13" s="2804"/>
      <c r="J13" s="2392"/>
      <c r="K13" s="2858"/>
      <c r="L13" s="2857"/>
      <c r="M13" s="2857"/>
      <c r="N13" s="2392"/>
      <c r="O13" s="844"/>
      <c r="P13" s="2392"/>
      <c r="Q13" s="2392"/>
      <c r="R13" s="2392"/>
    </row>
    <row r="14" spans="1:28">
      <c r="A14" s="194"/>
      <c r="B14" s="2802"/>
      <c r="C14" s="2803" t="s">
        <v>361</v>
      </c>
      <c r="D14" s="2805"/>
      <c r="E14" s="2805"/>
      <c r="F14" s="2805">
        <v>50</v>
      </c>
      <c r="G14" s="2805">
        <v>50</v>
      </c>
      <c r="H14" s="2805"/>
      <c r="I14" s="2805"/>
      <c r="J14" s="2392"/>
      <c r="K14" s="2861"/>
      <c r="L14" s="2857"/>
      <c r="M14" s="2857"/>
      <c r="N14" s="2392"/>
      <c r="O14" s="844"/>
      <c r="P14" s="2392"/>
      <c r="Q14" s="2392"/>
      <c r="R14" s="2392"/>
    </row>
    <row r="15" spans="1:28">
      <c r="A15" s="202"/>
      <c r="B15" s="2806"/>
      <c r="C15" s="2807" t="s">
        <v>362</v>
      </c>
      <c r="D15" s="2808" t="str">
        <f>IF(B12="出让",IF(D13="","",ROUNDDOWN(MIN((D13-$D$3)/365,D14),2)),D14)</f>
        <v/>
      </c>
      <c r="E15" s="2808" t="str">
        <f>IF(B12="出让",IF(E13="","",ROUNDDOWN(MIN((E13-$D$3)/365,E14),2)),E14)</f>
        <v/>
      </c>
      <c r="F15" s="2808">
        <f>IF(B12="出让",IF(F13="","",ROUNDDOWN(MIN((F13-$D$3)/365,F14),2)),F14)</f>
        <v>30.31</v>
      </c>
      <c r="G15" s="2808">
        <f>IF(B12="出让",IF(G13="","",ROUNDDOWN(MIN((G13-$D$3)/365,G14),2)),G14)</f>
        <v>30.31</v>
      </c>
      <c r="H15" s="2808" t="str">
        <f>IF(B12="出让",IF(H13="","",ROUNDDOWN(MIN((H13-$D$3)/365,H14),2)),H14)</f>
        <v/>
      </c>
      <c r="I15" s="2808" t="str">
        <f>IF(B12="出让",IF(I13="","",ROUNDDOWN(MIN((I13-$D$3)/365,I14),2)),I14)</f>
        <v/>
      </c>
      <c r="J15" s="2392"/>
      <c r="K15" s="2862"/>
      <c r="L15" s="844"/>
      <c r="M15" s="844"/>
      <c r="N15" s="2392"/>
      <c r="O15" s="844"/>
      <c r="P15" s="2392"/>
      <c r="Q15" s="2392"/>
      <c r="R15" s="2392"/>
    </row>
    <row r="16" spans="1:28">
      <c r="A16" s="2792" t="s">
        <v>363</v>
      </c>
      <c r="B16" s="3054"/>
      <c r="C16" s="3055"/>
      <c r="D16" s="3056"/>
      <c r="E16" s="2809" t="s">
        <v>364</v>
      </c>
      <c r="F16" s="3057"/>
      <c r="G16" s="3058"/>
      <c r="H16" s="3058"/>
      <c r="I16" s="3059"/>
      <c r="J16" s="2392"/>
      <c r="K16" s="2862"/>
      <c r="L16" s="844"/>
      <c r="M16" s="844"/>
      <c r="N16" s="2392"/>
      <c r="O16" s="844"/>
      <c r="P16" s="2392"/>
      <c r="Q16" s="2392"/>
      <c r="R16" s="2392"/>
    </row>
    <row r="17" spans="1:28">
      <c r="A17" s="177" t="s">
        <v>365</v>
      </c>
      <c r="B17" s="165" t="s">
        <v>366</v>
      </c>
      <c r="C17" s="1057">
        <f>'数据-汇总表'!E3</f>
        <v>51096.2</v>
      </c>
      <c r="D17" s="223" t="s">
        <v>367</v>
      </c>
      <c r="E17" s="3060" t="s">
        <v>368</v>
      </c>
      <c r="F17" s="3061"/>
      <c r="G17" s="3061"/>
      <c r="H17" s="3061"/>
      <c r="I17" s="3062"/>
      <c r="J17" s="2392"/>
      <c r="K17" s="2863"/>
      <c r="L17" s="844"/>
      <c r="M17" s="844"/>
      <c r="N17" s="2392"/>
      <c r="O17" s="844"/>
      <c r="P17" s="2392"/>
      <c r="Q17" s="2392"/>
      <c r="R17" s="2392"/>
      <c r="S17" s="2392"/>
      <c r="T17" s="2392"/>
      <c r="U17" s="2392"/>
      <c r="V17" s="2392"/>
    </row>
    <row r="18" spans="1:28" ht="24">
      <c r="A18" s="2810" t="s">
        <v>369</v>
      </c>
      <c r="B18" s="189" t="s">
        <v>370</v>
      </c>
      <c r="C18" s="2811">
        <f>'数据-汇总表'!D3</f>
        <v>8176.44</v>
      </c>
      <c r="D18" s="216" t="s">
        <v>367</v>
      </c>
      <c r="E18" s="3063" t="s">
        <v>371</v>
      </c>
      <c r="F18" s="3064"/>
      <c r="G18" s="3064"/>
      <c r="H18" s="3064"/>
      <c r="I18" s="3065"/>
      <c r="J18" s="2392"/>
      <c r="K18" s="2863"/>
      <c r="L18" s="844"/>
      <c r="M18" s="844"/>
      <c r="N18" s="2392"/>
      <c r="O18" s="844"/>
      <c r="P18" s="2392"/>
      <c r="Q18" s="2392"/>
      <c r="R18" s="2392"/>
      <c r="S18" s="2392"/>
      <c r="T18" s="2392"/>
      <c r="U18" s="2392"/>
      <c r="V18" s="2392"/>
    </row>
    <row r="19" spans="1:28" ht="36">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c r="A20" s="2817" t="s">
        <v>376</v>
      </c>
      <c r="B20" s="3070" t="s">
        <v>377</v>
      </c>
      <c r="C20" s="3071"/>
      <c r="D20" s="3072" t="s">
        <v>378</v>
      </c>
      <c r="E20" s="3073"/>
      <c r="F20" s="2818" t="s">
        <v>379</v>
      </c>
      <c r="G20" s="2530"/>
      <c r="H20" s="2530"/>
      <c r="I20" s="2530"/>
      <c r="J20" s="2392"/>
      <c r="K20" s="3068"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36">
      <c r="A21" s="2817"/>
      <c r="B21" s="2819" t="s">
        <v>381</v>
      </c>
      <c r="C21" s="2418" t="s">
        <v>382</v>
      </c>
      <c r="D21" s="2820" t="s">
        <v>383</v>
      </c>
      <c r="E21" s="2821" t="s">
        <v>382</v>
      </c>
      <c r="F21" s="2822"/>
      <c r="G21" s="2530"/>
      <c r="H21" s="2530"/>
      <c r="I21" s="2530"/>
      <c r="J21" s="2392"/>
      <c r="K21" s="3068"/>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36">
      <c r="A22" s="2817"/>
      <c r="B22" s="2823" t="s">
        <v>384</v>
      </c>
      <c r="C22" s="2418" t="s">
        <v>385</v>
      </c>
      <c r="D22" s="2530"/>
      <c r="E22" s="2530"/>
      <c r="F22" s="2530"/>
      <c r="G22" s="2530"/>
      <c r="H22" s="2530"/>
      <c r="I22" s="2530"/>
      <c r="J22" s="2392"/>
      <c r="K22" s="3068"/>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c r="A27" s="3047"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c r="A28" s="3047"/>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c r="A29" s="3047"/>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c r="A30" s="3048"/>
      <c r="B30" s="165" t="s">
        <v>395</v>
      </c>
      <c r="C30" s="3074"/>
      <c r="D30" s="3075"/>
      <c r="E30" s="2530"/>
      <c r="F30" s="2530"/>
      <c r="G30" s="2530"/>
      <c r="H30" s="2530"/>
      <c r="I30" s="2530"/>
      <c r="J30" s="2392"/>
      <c r="K30" s="2858"/>
      <c r="L30" s="2857"/>
      <c r="M30" s="2857"/>
      <c r="N30" s="2392"/>
      <c r="O30" s="844"/>
      <c r="P30" s="2392"/>
      <c r="Q30" s="2392"/>
      <c r="R30" s="2392"/>
      <c r="S30" s="2392"/>
      <c r="T30" s="2392"/>
      <c r="U30" s="2392"/>
      <c r="V30" s="2392"/>
    </row>
    <row r="31" spans="1:28">
      <c r="A31" s="3049"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50"/>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50"/>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69" t="s">
        <v>412</v>
      </c>
      <c r="T34" s="2873" t="str">
        <f>NUMBERSTRING(7-K34,1)&amp;"通"</f>
        <v>七通</v>
      </c>
      <c r="U34" s="2392"/>
      <c r="V34" s="2392"/>
    </row>
    <row r="35" spans="1:30">
      <c r="A35" s="2843"/>
      <c r="B35" s="3069" t="s">
        <v>413</v>
      </c>
      <c r="C35" s="3069"/>
      <c r="D35" s="3069"/>
      <c r="E35" s="3069"/>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69"/>
      <c r="T35" s="212" t="str">
        <f>IF(T34="一通",L35,IF(T34="二通",M35,IF(T34="三通",N35,IF(T34="四通",O35,IF(T34="五通",P35,IF(T34="六通",Q35,R35))))))</f>
        <v>通路、通电、通讯、通上水、通下水、燃气、</v>
      </c>
      <c r="U35" s="2392"/>
      <c r="V35" s="2392"/>
    </row>
    <row r="36" spans="1:30">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5.2">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selection activeCell="N12" sqref="N12"/>
    </sheetView>
  </sheetViews>
  <sheetFormatPr defaultColWidth="8.77734375" defaultRowHeight="14.4"/>
  <cols>
    <col min="1" max="1" width="8.77734375" style="2756"/>
    <col min="2" max="3" width="12.77734375" style="2756" customWidth="1"/>
    <col min="4" max="4" width="8.77734375" style="2757"/>
    <col min="5" max="11" width="8.77734375" style="2756"/>
    <col min="12" max="12" width="8.21875" style="2756" customWidth="1"/>
    <col min="13" max="16384" width="8.77734375" style="2756"/>
  </cols>
  <sheetData>
    <row r="1" spans="1:15">
      <c r="A1" s="2756" t="s">
        <v>437</v>
      </c>
      <c r="B1" s="2756" t="s">
        <v>438</v>
      </c>
      <c r="C1" s="2756" t="s">
        <v>439</v>
      </c>
      <c r="D1" s="2757" t="s">
        <v>440</v>
      </c>
      <c r="E1" s="2756" t="s">
        <v>441</v>
      </c>
      <c r="F1" s="2756" t="s">
        <v>442</v>
      </c>
    </row>
    <row r="2" spans="1:15">
      <c r="A2" s="2756">
        <v>1</v>
      </c>
      <c r="B2" s="2756" t="s">
        <v>443</v>
      </c>
      <c r="C2" s="2756" t="s">
        <v>444</v>
      </c>
      <c r="D2" s="2757" t="s">
        <v>445</v>
      </c>
      <c r="E2" s="2756">
        <v>298.54000000000002</v>
      </c>
      <c r="F2" s="2756" t="s">
        <v>443</v>
      </c>
      <c r="I2" s="2756" t="s">
        <v>443</v>
      </c>
      <c r="J2" s="2756">
        <f>SUM(E2,E3,E4,E6,E7,E11,E12)</f>
        <v>2208.2499999999995</v>
      </c>
      <c r="K2" s="2756">
        <f>J2/50</f>
        <v>44.164999999999992</v>
      </c>
    </row>
    <row r="3" spans="1:15">
      <c r="B3" s="2756" t="s">
        <v>443</v>
      </c>
      <c r="C3" s="2756" t="s">
        <v>444</v>
      </c>
      <c r="D3" s="2757" t="s">
        <v>445</v>
      </c>
      <c r="E3" s="2756">
        <v>502.78</v>
      </c>
      <c r="F3" s="2756" t="s">
        <v>443</v>
      </c>
      <c r="I3" s="2756" t="s">
        <v>446</v>
      </c>
      <c r="J3" s="2756">
        <f>E14</f>
        <v>954.3</v>
      </c>
    </row>
    <row r="4" spans="1:15">
      <c r="B4" s="2756" t="s">
        <v>443</v>
      </c>
      <c r="C4" s="2756" t="s">
        <v>444</v>
      </c>
      <c r="D4" s="2757" t="s">
        <v>445</v>
      </c>
      <c r="E4" s="2756">
        <v>482.54</v>
      </c>
      <c r="F4" s="2756" t="s">
        <v>443</v>
      </c>
      <c r="I4" s="2756" t="s">
        <v>447</v>
      </c>
      <c r="J4" s="2756">
        <f>SUM(E15:E49)</f>
        <v>38613.699999999997</v>
      </c>
    </row>
    <row r="5" spans="1:15">
      <c r="B5" s="2756" t="s">
        <v>448</v>
      </c>
      <c r="C5" s="2756" t="s">
        <v>444</v>
      </c>
      <c r="D5" s="2757" t="s">
        <v>445</v>
      </c>
      <c r="E5" s="2756">
        <v>133.63</v>
      </c>
      <c r="F5" s="2756" t="s">
        <v>449</v>
      </c>
      <c r="I5" s="2756" t="s">
        <v>450</v>
      </c>
      <c r="J5" s="2756">
        <f>SUM(E5,E8,E9,E10,E13)</f>
        <v>9319.9500000000007</v>
      </c>
    </row>
    <row r="6" spans="1:15">
      <c r="B6" s="2756" t="s">
        <v>443</v>
      </c>
      <c r="C6" s="2756" t="s">
        <v>444</v>
      </c>
      <c r="D6" s="2757" t="s">
        <v>451</v>
      </c>
      <c r="E6" s="2756">
        <f>625.18-E5</f>
        <v>491.54999999999995</v>
      </c>
      <c r="F6" s="2756" t="s">
        <v>443</v>
      </c>
      <c r="J6" s="2756">
        <f>SUM(J2:J5)</f>
        <v>51096.2</v>
      </c>
      <c r="K6" s="2756">
        <f>2900000000/J6</f>
        <v>56755.688289931546</v>
      </c>
    </row>
    <row r="7" spans="1:15">
      <c r="B7" s="2756" t="s">
        <v>443</v>
      </c>
      <c r="C7" s="2756" t="s">
        <v>444</v>
      </c>
      <c r="D7" s="2757" t="s">
        <v>452</v>
      </c>
      <c r="E7" s="2756">
        <f>41.42*3+52.83</f>
        <v>177.09</v>
      </c>
      <c r="F7" s="2756" t="s">
        <v>443</v>
      </c>
      <c r="J7" s="2756">
        <f>J6-E50</f>
        <v>0</v>
      </c>
    </row>
    <row r="8" spans="1:15">
      <c r="B8" s="2756" t="s">
        <v>448</v>
      </c>
      <c r="C8" s="2756" t="s">
        <v>444</v>
      </c>
      <c r="D8" s="2757" t="s">
        <v>452</v>
      </c>
      <c r="E8" s="2756">
        <v>288.42</v>
      </c>
      <c r="F8" s="2756" t="s">
        <v>449</v>
      </c>
    </row>
    <row r="9" spans="1:15">
      <c r="B9" s="2756" t="s">
        <v>453</v>
      </c>
      <c r="C9" s="2756" t="s">
        <v>444</v>
      </c>
      <c r="D9" s="2757" t="s">
        <v>454</v>
      </c>
      <c r="E9" s="2756">
        <v>2454.33</v>
      </c>
      <c r="F9" s="2756" t="s">
        <v>449</v>
      </c>
    </row>
    <row r="10" spans="1:15">
      <c r="B10" s="2756" t="s">
        <v>448</v>
      </c>
      <c r="C10" s="2756" t="s">
        <v>444</v>
      </c>
      <c r="D10" s="2757" t="s">
        <v>454</v>
      </c>
      <c r="E10" s="2756">
        <v>252.1</v>
      </c>
      <c r="F10" s="2756" t="s">
        <v>449</v>
      </c>
      <c r="I10" s="2756" t="s">
        <v>455</v>
      </c>
      <c r="J10" s="2756">
        <f>J4</f>
        <v>38613.699999999997</v>
      </c>
      <c r="K10" s="2756">
        <v>1</v>
      </c>
      <c r="L10" s="2756">
        <v>10</v>
      </c>
    </row>
    <row r="11" spans="1:15">
      <c r="B11" s="2756" t="s">
        <v>443</v>
      </c>
      <c r="C11" s="2756" t="s">
        <v>444</v>
      </c>
      <c r="D11" s="2757" t="s">
        <v>456</v>
      </c>
      <c r="E11" s="2756">
        <f>49.47*2+52.27</f>
        <v>151.21</v>
      </c>
      <c r="F11" s="2756" t="s">
        <v>443</v>
      </c>
      <c r="I11" s="2756" t="s">
        <v>457</v>
      </c>
      <c r="J11" s="2756">
        <f>E13</f>
        <v>6191.47</v>
      </c>
      <c r="K11" s="2756">
        <v>0.6</v>
      </c>
      <c r="L11" s="2756">
        <f>$L$10*K11</f>
        <v>6</v>
      </c>
    </row>
    <row r="12" spans="1:15">
      <c r="B12" s="2756" t="s">
        <v>443</v>
      </c>
      <c r="C12" s="2756" t="s">
        <v>444</v>
      </c>
      <c r="D12" s="2757" t="s">
        <v>456</v>
      </c>
      <c r="E12" s="2756">
        <f>52.27*2</f>
        <v>104.54</v>
      </c>
      <c r="F12" s="2756" t="s">
        <v>443</v>
      </c>
      <c r="I12" s="2756" t="s">
        <v>458</v>
      </c>
      <c r="J12" s="2756">
        <f>E10+E9</f>
        <v>2706.43</v>
      </c>
      <c r="K12" s="2756">
        <v>0.55000000000000004</v>
      </c>
      <c r="L12" s="2756">
        <f t="shared" ref="L12:L13" si="0">$L$10*K12</f>
        <v>5.5</v>
      </c>
    </row>
    <row r="13" spans="1:15">
      <c r="B13" s="2756" t="s">
        <v>459</v>
      </c>
      <c r="C13" s="2756" t="s">
        <v>444</v>
      </c>
      <c r="D13" s="2757" t="s">
        <v>456</v>
      </c>
      <c r="E13" s="2756">
        <v>6191.47</v>
      </c>
      <c r="F13" s="2756" t="s">
        <v>449</v>
      </c>
      <c r="I13" s="2756" t="s">
        <v>460</v>
      </c>
      <c r="J13" s="2756">
        <f>E8+E5</f>
        <v>422.05</v>
      </c>
      <c r="K13" s="2756">
        <v>0.4</v>
      </c>
      <c r="L13" s="2756">
        <f t="shared" si="0"/>
        <v>4</v>
      </c>
    </row>
    <row r="14" spans="1:15">
      <c r="B14" s="2756" t="s">
        <v>446</v>
      </c>
      <c r="C14" s="2756" t="s">
        <v>444</v>
      </c>
      <c r="D14" s="2757" t="s">
        <v>456</v>
      </c>
      <c r="E14" s="2756">
        <v>954.3</v>
      </c>
      <c r="F14" s="2756" t="s">
        <v>443</v>
      </c>
      <c r="I14" s="2756" t="s">
        <v>461</v>
      </c>
      <c r="J14" s="2756">
        <f>J2</f>
        <v>2208.2499999999995</v>
      </c>
      <c r="L14" s="2758">
        <f>N14*O14/J14/30</f>
        <v>1.3283520132835205</v>
      </c>
      <c r="N14" s="2756">
        <v>44</v>
      </c>
      <c r="O14" s="2756">
        <v>2000</v>
      </c>
    </row>
    <row r="15" spans="1:15">
      <c r="B15" s="2756" t="s">
        <v>462</v>
      </c>
      <c r="C15" s="2756" t="s">
        <v>444</v>
      </c>
      <c r="D15" s="2757" t="s">
        <v>463</v>
      </c>
      <c r="E15" s="2756">
        <v>768.77</v>
      </c>
      <c r="F15" s="2756" t="s">
        <v>449</v>
      </c>
      <c r="J15" s="2756">
        <f>SUM(J10:J14)</f>
        <v>50141.9</v>
      </c>
      <c r="L15" s="2758">
        <f>SUMPRODUCT(L10:L14,J10:J14)/J15</f>
        <v>8.8307925773321969</v>
      </c>
    </row>
    <row r="16" spans="1:15">
      <c r="B16" s="2756" t="s">
        <v>464</v>
      </c>
      <c r="C16" s="2756" t="s">
        <v>444</v>
      </c>
      <c r="D16" s="2757" t="s">
        <v>463</v>
      </c>
      <c r="E16" s="2756">
        <v>765.34</v>
      </c>
      <c r="F16" s="2756" t="s">
        <v>449</v>
      </c>
      <c r="G16" s="2756" t="s">
        <v>465</v>
      </c>
    </row>
    <row r="17" spans="2:6">
      <c r="B17" s="2756" t="s">
        <v>466</v>
      </c>
      <c r="C17" s="2756" t="s">
        <v>444</v>
      </c>
      <c r="D17" s="2757" t="s">
        <v>467</v>
      </c>
      <c r="E17" s="2756">
        <v>1277.56</v>
      </c>
      <c r="F17" s="2756" t="s">
        <v>449</v>
      </c>
    </row>
    <row r="18" spans="2:6">
      <c r="B18" s="2756" t="s">
        <v>468</v>
      </c>
      <c r="C18" s="2756" t="s">
        <v>444</v>
      </c>
      <c r="D18" s="2757" t="s">
        <v>467</v>
      </c>
      <c r="E18" s="2756">
        <v>1271.8499999999999</v>
      </c>
      <c r="F18" s="2756" t="s">
        <v>449</v>
      </c>
    </row>
    <row r="19" spans="2:6">
      <c r="B19" s="2756" t="s">
        <v>469</v>
      </c>
      <c r="C19" s="2756" t="s">
        <v>444</v>
      </c>
      <c r="D19" s="2757" t="s">
        <v>470</v>
      </c>
      <c r="E19" s="2756">
        <v>1339.77</v>
      </c>
      <c r="F19" s="2756" t="s">
        <v>449</v>
      </c>
    </row>
    <row r="20" spans="2:6">
      <c r="B20" s="2756" t="s">
        <v>471</v>
      </c>
      <c r="C20" s="2756" t="s">
        <v>444</v>
      </c>
      <c r="D20" s="2757" t="s">
        <v>470</v>
      </c>
      <c r="E20" s="2756">
        <v>752.45</v>
      </c>
      <c r="F20" s="2756" t="s">
        <v>449</v>
      </c>
    </row>
    <row r="21" spans="2:6">
      <c r="B21" s="2756" t="s">
        <v>472</v>
      </c>
      <c r="C21" s="2756" t="s">
        <v>444</v>
      </c>
      <c r="D21" s="2757" t="s">
        <v>470</v>
      </c>
      <c r="E21" s="2756">
        <v>209.35</v>
      </c>
      <c r="F21" s="2756" t="s">
        <v>449</v>
      </c>
    </row>
    <row r="22" spans="2:6">
      <c r="B22" s="2756" t="s">
        <v>473</v>
      </c>
      <c r="C22" s="2756" t="s">
        <v>444</v>
      </c>
      <c r="D22" s="2757" t="s">
        <v>470</v>
      </c>
      <c r="E22" s="2756">
        <v>159.63</v>
      </c>
      <c r="F22" s="2756" t="s">
        <v>449</v>
      </c>
    </row>
    <row r="23" spans="2:6">
      <c r="B23" s="2756" t="s">
        <v>474</v>
      </c>
      <c r="C23" s="2756" t="s">
        <v>444</v>
      </c>
      <c r="D23" s="2757" t="s">
        <v>470</v>
      </c>
      <c r="E23" s="2756">
        <v>212.36</v>
      </c>
      <c r="F23" s="2756" t="s">
        <v>449</v>
      </c>
    </row>
    <row r="24" spans="2:6">
      <c r="B24" s="2756" t="s">
        <v>475</v>
      </c>
      <c r="C24" s="2756" t="s">
        <v>444</v>
      </c>
      <c r="D24" s="2757" t="s">
        <v>476</v>
      </c>
      <c r="E24" s="2756">
        <v>1337.53</v>
      </c>
      <c r="F24" s="2756" t="s">
        <v>449</v>
      </c>
    </row>
    <row r="25" spans="2:6">
      <c r="B25" s="2756" t="s">
        <v>477</v>
      </c>
      <c r="C25" s="2756" t="s">
        <v>444</v>
      </c>
      <c r="D25" s="2757" t="s">
        <v>478</v>
      </c>
      <c r="E25" s="2756">
        <v>1337.53</v>
      </c>
      <c r="F25" s="2756" t="s">
        <v>449</v>
      </c>
    </row>
    <row r="26" spans="2:6">
      <c r="B26" s="2756" t="s">
        <v>479</v>
      </c>
      <c r="C26" s="2756" t="s">
        <v>444</v>
      </c>
      <c r="D26" s="2757" t="s">
        <v>480</v>
      </c>
      <c r="E26" s="2756">
        <v>1339.66</v>
      </c>
      <c r="F26" s="2756" t="s">
        <v>449</v>
      </c>
    </row>
    <row r="27" spans="2:6">
      <c r="B27" s="2756" t="s">
        <v>481</v>
      </c>
      <c r="C27" s="2756" t="s">
        <v>444</v>
      </c>
      <c r="D27" s="2757" t="s">
        <v>482</v>
      </c>
      <c r="E27" s="2756">
        <v>1339.66</v>
      </c>
      <c r="F27" s="2756" t="s">
        <v>449</v>
      </c>
    </row>
    <row r="28" spans="2:6">
      <c r="B28" s="2756" t="s">
        <v>483</v>
      </c>
      <c r="C28" s="2756" t="s">
        <v>444</v>
      </c>
      <c r="D28" s="2757" t="s">
        <v>484</v>
      </c>
      <c r="E28" s="2756">
        <v>1339.66</v>
      </c>
      <c r="F28" s="2756" t="s">
        <v>449</v>
      </c>
    </row>
    <row r="29" spans="2:6">
      <c r="B29" s="2756" t="s">
        <v>485</v>
      </c>
      <c r="C29" s="2756" t="s">
        <v>444</v>
      </c>
      <c r="D29" s="2757" t="s">
        <v>486</v>
      </c>
      <c r="E29" s="2756">
        <v>1339.66</v>
      </c>
      <c r="F29" s="2756" t="s">
        <v>449</v>
      </c>
    </row>
    <row r="30" spans="2:6">
      <c r="B30" s="2756" t="s">
        <v>487</v>
      </c>
      <c r="C30" s="2756" t="s">
        <v>444</v>
      </c>
      <c r="D30" s="2757" t="s">
        <v>488</v>
      </c>
      <c r="E30" s="2756">
        <v>1339.66</v>
      </c>
      <c r="F30" s="2756" t="s">
        <v>449</v>
      </c>
    </row>
    <row r="31" spans="2:6">
      <c r="B31" s="2756" t="s">
        <v>489</v>
      </c>
      <c r="C31" s="2756" t="s">
        <v>444</v>
      </c>
      <c r="D31" s="2757" t="s">
        <v>490</v>
      </c>
      <c r="E31" s="2756">
        <v>962.57</v>
      </c>
      <c r="F31" s="2756" t="s">
        <v>449</v>
      </c>
    </row>
    <row r="32" spans="2:6">
      <c r="B32" s="2756" t="s">
        <v>491</v>
      </c>
      <c r="C32" s="2756" t="s">
        <v>444</v>
      </c>
      <c r="D32" s="2757" t="s">
        <v>490</v>
      </c>
      <c r="E32" s="2756">
        <v>958.26</v>
      </c>
      <c r="F32" s="2756" t="s">
        <v>449</v>
      </c>
    </row>
    <row r="33" spans="2:6">
      <c r="B33" s="2756" t="s">
        <v>492</v>
      </c>
      <c r="C33" s="2756" t="s">
        <v>444</v>
      </c>
      <c r="D33" s="2757" t="s">
        <v>493</v>
      </c>
      <c r="E33" s="2756">
        <v>1341.35</v>
      </c>
      <c r="F33" s="2756" t="s">
        <v>449</v>
      </c>
    </row>
    <row r="34" spans="2:6">
      <c r="B34" s="2756" t="s">
        <v>494</v>
      </c>
      <c r="C34" s="2756" t="s">
        <v>444</v>
      </c>
      <c r="D34" s="2757" t="s">
        <v>495</v>
      </c>
      <c r="E34" s="2756">
        <v>1350.91</v>
      </c>
      <c r="F34" s="2756" t="s">
        <v>449</v>
      </c>
    </row>
    <row r="35" spans="2:6">
      <c r="B35" s="2756" t="s">
        <v>496</v>
      </c>
      <c r="C35" s="2756" t="s">
        <v>444</v>
      </c>
      <c r="D35" s="2757" t="s">
        <v>497</v>
      </c>
      <c r="E35" s="2756">
        <v>1371.11</v>
      </c>
      <c r="F35" s="2756" t="s">
        <v>449</v>
      </c>
    </row>
    <row r="36" spans="2:6">
      <c r="B36" s="2756" t="s">
        <v>498</v>
      </c>
      <c r="C36" s="2756" t="s">
        <v>444</v>
      </c>
      <c r="D36" s="2757" t="s">
        <v>499</v>
      </c>
      <c r="E36" s="2756">
        <v>1371.11</v>
      </c>
      <c r="F36" s="2756" t="s">
        <v>449</v>
      </c>
    </row>
    <row r="37" spans="2:6">
      <c r="B37" s="2756" t="s">
        <v>500</v>
      </c>
      <c r="C37" s="2756" t="s">
        <v>444</v>
      </c>
      <c r="D37" s="2757" t="s">
        <v>501</v>
      </c>
      <c r="E37" s="2756">
        <v>1373.43</v>
      </c>
      <c r="F37" s="2756" t="s">
        <v>449</v>
      </c>
    </row>
    <row r="38" spans="2:6">
      <c r="B38" s="2756" t="s">
        <v>502</v>
      </c>
      <c r="C38" s="2756" t="s">
        <v>444</v>
      </c>
      <c r="D38" s="2757" t="s">
        <v>503</v>
      </c>
      <c r="E38" s="2756">
        <v>1373.43</v>
      </c>
      <c r="F38" s="2756" t="s">
        <v>449</v>
      </c>
    </row>
    <row r="39" spans="2:6">
      <c r="B39" s="2756" t="s">
        <v>504</v>
      </c>
      <c r="C39" s="2756" t="s">
        <v>444</v>
      </c>
      <c r="D39" s="2757" t="s">
        <v>505</v>
      </c>
      <c r="E39" s="2756">
        <v>1373.43</v>
      </c>
      <c r="F39" s="2756" t="s">
        <v>449</v>
      </c>
    </row>
    <row r="40" spans="2:6">
      <c r="B40" s="2756" t="s">
        <v>506</v>
      </c>
      <c r="C40" s="2756" t="s">
        <v>444</v>
      </c>
      <c r="D40" s="2757" t="s">
        <v>507</v>
      </c>
      <c r="E40" s="2756">
        <v>1373.43</v>
      </c>
      <c r="F40" s="2756" t="s">
        <v>449</v>
      </c>
    </row>
    <row r="41" spans="2:6">
      <c r="B41" s="2756" t="s">
        <v>508</v>
      </c>
      <c r="C41" s="2756" t="s">
        <v>444</v>
      </c>
      <c r="D41" s="2757">
        <v>27</v>
      </c>
      <c r="E41" s="2756">
        <v>1373.43</v>
      </c>
      <c r="F41" s="2756" t="s">
        <v>449</v>
      </c>
    </row>
    <row r="42" spans="2:6">
      <c r="B42" s="2756" t="s">
        <v>509</v>
      </c>
      <c r="C42" s="2756" t="s">
        <v>444</v>
      </c>
      <c r="D42" s="2757">
        <v>28</v>
      </c>
      <c r="E42" s="2756">
        <v>1329.84</v>
      </c>
      <c r="F42" s="2756" t="s">
        <v>449</v>
      </c>
    </row>
    <row r="43" spans="2:6">
      <c r="B43" s="2756" t="s">
        <v>510</v>
      </c>
      <c r="C43" s="2756" t="s">
        <v>444</v>
      </c>
      <c r="D43" s="2757">
        <v>29</v>
      </c>
      <c r="E43" s="2756">
        <v>1329.84</v>
      </c>
      <c r="F43" s="2756" t="s">
        <v>449</v>
      </c>
    </row>
    <row r="44" spans="2:6">
      <c r="B44" s="2756" t="s">
        <v>511</v>
      </c>
      <c r="C44" s="2756" t="s">
        <v>444</v>
      </c>
      <c r="D44" s="2757">
        <v>30</v>
      </c>
      <c r="E44" s="2756">
        <v>1340.78</v>
      </c>
      <c r="F44" s="2756" t="s">
        <v>449</v>
      </c>
    </row>
    <row r="45" spans="2:6">
      <c r="B45" s="2756" t="s">
        <v>511</v>
      </c>
      <c r="C45" s="2756" t="s">
        <v>444</v>
      </c>
      <c r="D45" s="2757">
        <v>30</v>
      </c>
      <c r="E45" s="2756">
        <v>1329.84</v>
      </c>
      <c r="F45" s="2756" t="s">
        <v>449</v>
      </c>
    </row>
    <row r="46" spans="2:6">
      <c r="B46" s="2756" t="s">
        <v>512</v>
      </c>
      <c r="C46" s="2756" t="s">
        <v>444</v>
      </c>
      <c r="D46" s="2757">
        <v>31</v>
      </c>
      <c r="E46" s="2756">
        <v>673.62</v>
      </c>
      <c r="F46" s="2756" t="s">
        <v>449</v>
      </c>
    </row>
    <row r="47" spans="2:6">
      <c r="B47" s="2756" t="s">
        <v>512</v>
      </c>
      <c r="C47" s="2756" t="s">
        <v>444</v>
      </c>
      <c r="D47" s="2757">
        <v>31</v>
      </c>
      <c r="E47" s="2756">
        <v>1324.65</v>
      </c>
      <c r="F47" s="2756" t="s">
        <v>449</v>
      </c>
    </row>
    <row r="48" spans="2:6">
      <c r="B48" s="2756" t="s">
        <v>513</v>
      </c>
      <c r="C48" s="2756" t="s">
        <v>444</v>
      </c>
      <c r="D48" s="2757">
        <v>32</v>
      </c>
      <c r="E48" s="2756">
        <v>449.36</v>
      </c>
      <c r="F48" s="2756" t="s">
        <v>449</v>
      </c>
    </row>
    <row r="49" spans="2:6">
      <c r="B49" s="2756" t="s">
        <v>513</v>
      </c>
      <c r="C49" s="2756" t="s">
        <v>444</v>
      </c>
      <c r="D49" s="2757">
        <v>32</v>
      </c>
      <c r="E49" s="2756">
        <v>482.87</v>
      </c>
      <c r="F49" s="2756" t="s">
        <v>449</v>
      </c>
    </row>
    <row r="50" spans="2:6">
      <c r="E50" s="2756">
        <f>SUM(E2:E49)</f>
        <v>51096.2</v>
      </c>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88"/>
  <sheetViews>
    <sheetView workbookViewId="0">
      <selection activeCell="F29" sqref="F29"/>
    </sheetView>
  </sheetViews>
  <sheetFormatPr defaultColWidth="9" defaultRowHeight="14.4"/>
  <cols>
    <col min="1" max="1" width="8.77734375" style="2752"/>
    <col min="2" max="2" width="12.77734375" style="2752" customWidth="1"/>
    <col min="3" max="3" width="8.77734375" style="2752"/>
    <col min="4" max="5" width="10.44140625" style="2752" customWidth="1"/>
    <col min="6" max="7" width="8.77734375" style="2752"/>
  </cols>
  <sheetData>
    <row r="1" spans="1:7" ht="16.2">
      <c r="A1" s="2753" t="s">
        <v>437</v>
      </c>
      <c r="B1" s="2753" t="s">
        <v>438</v>
      </c>
      <c r="C1" s="2753" t="s">
        <v>439</v>
      </c>
      <c r="D1" s="2754" t="s">
        <v>514</v>
      </c>
      <c r="E1" s="2753" t="s">
        <v>441</v>
      </c>
      <c r="F1" s="2753" t="s">
        <v>442</v>
      </c>
      <c r="G1" s="2755"/>
    </row>
    <row r="2" spans="1:7" ht="16.2">
      <c r="A2" s="2753">
        <v>1</v>
      </c>
      <c r="B2" s="2753" t="s">
        <v>515</v>
      </c>
      <c r="C2" s="2755" t="s">
        <v>444</v>
      </c>
      <c r="D2" s="2755">
        <v>-4</v>
      </c>
      <c r="E2" s="2753">
        <v>50.63</v>
      </c>
      <c r="F2" s="2755" t="s">
        <v>443</v>
      </c>
      <c r="G2" s="2755"/>
    </row>
    <row r="3" spans="1:7" ht="16.2">
      <c r="A3" s="2753">
        <v>2</v>
      </c>
      <c r="B3" s="2753" t="s">
        <v>516</v>
      </c>
      <c r="C3" s="2755" t="s">
        <v>444</v>
      </c>
      <c r="D3" s="2755">
        <v>-4</v>
      </c>
      <c r="E3" s="2753">
        <v>46.03</v>
      </c>
      <c r="F3" s="2755" t="s">
        <v>443</v>
      </c>
      <c r="G3" s="2755"/>
    </row>
    <row r="4" spans="1:7" ht="16.2">
      <c r="A4" s="2753">
        <v>3</v>
      </c>
      <c r="B4" s="2753" t="s">
        <v>517</v>
      </c>
      <c r="C4" s="2755" t="s">
        <v>444</v>
      </c>
      <c r="D4" s="2755">
        <v>-4</v>
      </c>
      <c r="E4" s="2753">
        <v>46.03</v>
      </c>
      <c r="F4" s="2755" t="s">
        <v>443</v>
      </c>
      <c r="G4" s="2755"/>
    </row>
    <row r="5" spans="1:7" ht="16.2">
      <c r="A5" s="2753">
        <v>4</v>
      </c>
      <c r="B5" s="2753" t="s">
        <v>518</v>
      </c>
      <c r="C5" s="2755" t="s">
        <v>444</v>
      </c>
      <c r="D5" s="2755">
        <v>-4</v>
      </c>
      <c r="E5" s="2753">
        <v>49.83</v>
      </c>
      <c r="F5" s="2755" t="s">
        <v>443</v>
      </c>
      <c r="G5" s="2755"/>
    </row>
    <row r="6" spans="1:7" ht="16.2">
      <c r="A6" s="2753">
        <v>5</v>
      </c>
      <c r="B6" s="2753" t="s">
        <v>519</v>
      </c>
      <c r="C6" s="2755" t="s">
        <v>444</v>
      </c>
      <c r="D6" s="2755">
        <v>-4</v>
      </c>
      <c r="E6" s="2753">
        <v>49.83</v>
      </c>
      <c r="F6" s="2755" t="s">
        <v>443</v>
      </c>
      <c r="G6" s="2755"/>
    </row>
    <row r="7" spans="1:7" ht="16.2">
      <c r="A7" s="2753">
        <v>6</v>
      </c>
      <c r="B7" s="2753" t="s">
        <v>520</v>
      </c>
      <c r="C7" s="2755" t="s">
        <v>444</v>
      </c>
      <c r="D7" s="2755">
        <v>-4</v>
      </c>
      <c r="E7" s="2755">
        <v>56.19</v>
      </c>
      <c r="F7" s="2755" t="s">
        <v>443</v>
      </c>
      <c r="G7" s="2755"/>
    </row>
    <row r="8" spans="1:7" ht="16.2">
      <c r="A8" s="2753">
        <v>7</v>
      </c>
      <c r="B8" s="2753" t="s">
        <v>521</v>
      </c>
      <c r="C8" s="2755" t="s">
        <v>444</v>
      </c>
      <c r="D8" s="2755">
        <v>-4</v>
      </c>
      <c r="E8" s="2755">
        <v>56.19</v>
      </c>
      <c r="F8" s="2755" t="s">
        <v>443</v>
      </c>
      <c r="G8" s="2755"/>
    </row>
    <row r="9" spans="1:7" ht="16.2">
      <c r="A9" s="2753">
        <v>8</v>
      </c>
      <c r="B9" s="2753" t="s">
        <v>522</v>
      </c>
      <c r="C9" s="2755" t="s">
        <v>444</v>
      </c>
      <c r="D9" s="2755">
        <v>-4</v>
      </c>
      <c r="E9" s="2755">
        <v>56.19</v>
      </c>
      <c r="F9" s="2755" t="s">
        <v>443</v>
      </c>
      <c r="G9" s="2755"/>
    </row>
    <row r="10" spans="1:7" ht="16.2">
      <c r="A10" s="2753">
        <v>9</v>
      </c>
      <c r="B10" s="2753" t="s">
        <v>523</v>
      </c>
      <c r="C10" s="2755" t="s">
        <v>444</v>
      </c>
      <c r="D10" s="2755">
        <v>-4</v>
      </c>
      <c r="E10" s="2753">
        <v>48.03</v>
      </c>
      <c r="F10" s="2755" t="s">
        <v>443</v>
      </c>
      <c r="G10" s="2755"/>
    </row>
    <row r="11" spans="1:7" ht="16.2">
      <c r="A11" s="2753">
        <v>10</v>
      </c>
      <c r="B11" s="2753" t="s">
        <v>524</v>
      </c>
      <c r="C11" s="2755" t="s">
        <v>444</v>
      </c>
      <c r="D11" s="2755">
        <v>-4</v>
      </c>
      <c r="E11" s="2753">
        <v>48.03</v>
      </c>
      <c r="F11" s="2755" t="s">
        <v>443</v>
      </c>
      <c r="G11" s="2755"/>
    </row>
    <row r="12" spans="1:7" ht="16.2">
      <c r="A12" s="2753">
        <v>11</v>
      </c>
      <c r="B12" s="2753" t="s">
        <v>525</v>
      </c>
      <c r="C12" s="2755" t="s">
        <v>444</v>
      </c>
      <c r="D12" s="2755">
        <v>-4</v>
      </c>
      <c r="E12" s="2753">
        <v>48.03</v>
      </c>
      <c r="F12" s="2755" t="s">
        <v>443</v>
      </c>
      <c r="G12" s="2755"/>
    </row>
    <row r="13" spans="1:7" ht="16.2">
      <c r="A13" s="2753">
        <v>12</v>
      </c>
      <c r="B13" s="2753" t="s">
        <v>526</v>
      </c>
      <c r="C13" s="2755" t="s">
        <v>444</v>
      </c>
      <c r="D13" s="2755">
        <v>-4</v>
      </c>
      <c r="E13" s="2753">
        <v>48.03</v>
      </c>
      <c r="F13" s="2755" t="s">
        <v>443</v>
      </c>
      <c r="G13" s="2755"/>
    </row>
    <row r="14" spans="1:7" ht="16.2">
      <c r="A14" s="2753">
        <v>13</v>
      </c>
      <c r="B14" s="2753" t="s">
        <v>527</v>
      </c>
      <c r="C14" s="2755" t="s">
        <v>444</v>
      </c>
      <c r="D14" s="2755">
        <v>-4</v>
      </c>
      <c r="E14" s="2753">
        <v>48.03</v>
      </c>
      <c r="F14" s="2755" t="s">
        <v>443</v>
      </c>
      <c r="G14" s="2755"/>
    </row>
    <row r="15" spans="1:7" ht="16.2">
      <c r="A15" s="2753">
        <v>14</v>
      </c>
      <c r="B15" s="2753" t="s">
        <v>528</v>
      </c>
      <c r="C15" s="2755" t="s">
        <v>444</v>
      </c>
      <c r="D15" s="2755">
        <v>-4</v>
      </c>
      <c r="E15" s="2753">
        <v>48.03</v>
      </c>
      <c r="F15" s="2755" t="s">
        <v>443</v>
      </c>
      <c r="G15" s="2755"/>
    </row>
    <row r="16" spans="1:7" ht="16.2">
      <c r="A16" s="2753">
        <v>15</v>
      </c>
      <c r="B16" s="2753" t="s">
        <v>529</v>
      </c>
      <c r="C16" s="2755" t="s">
        <v>444</v>
      </c>
      <c r="D16" s="2755">
        <v>-4</v>
      </c>
      <c r="E16" s="2753">
        <v>51.11</v>
      </c>
      <c r="F16" s="2755" t="s">
        <v>443</v>
      </c>
      <c r="G16" s="2755"/>
    </row>
    <row r="17" spans="1:7" ht="16.2">
      <c r="A17" s="2753">
        <v>16</v>
      </c>
      <c r="B17" s="2753" t="s">
        <v>530</v>
      </c>
      <c r="C17" s="2755" t="s">
        <v>444</v>
      </c>
      <c r="D17" s="2755">
        <v>-4</v>
      </c>
      <c r="E17" s="2753">
        <v>51.11</v>
      </c>
      <c r="F17" s="2755" t="s">
        <v>443</v>
      </c>
      <c r="G17" s="2755"/>
    </row>
    <row r="18" spans="1:7" ht="16.2">
      <c r="A18" s="2753">
        <v>17</v>
      </c>
      <c r="B18" s="2753" t="s">
        <v>531</v>
      </c>
      <c r="C18" s="2755" t="s">
        <v>444</v>
      </c>
      <c r="D18" s="2755">
        <v>-4</v>
      </c>
      <c r="E18" s="2753">
        <v>48.03</v>
      </c>
      <c r="F18" s="2755" t="s">
        <v>443</v>
      </c>
      <c r="G18" s="2755"/>
    </row>
    <row r="19" spans="1:7" ht="16.2">
      <c r="A19" s="2753">
        <v>18</v>
      </c>
      <c r="B19" s="2753" t="s">
        <v>532</v>
      </c>
      <c r="C19" s="2755" t="s">
        <v>444</v>
      </c>
      <c r="D19" s="2755">
        <v>-4</v>
      </c>
      <c r="E19" s="2753">
        <v>48.03</v>
      </c>
      <c r="F19" s="2755" t="s">
        <v>443</v>
      </c>
      <c r="G19" s="2755"/>
    </row>
    <row r="20" spans="1:7" ht="16.2">
      <c r="A20" s="2753">
        <v>19</v>
      </c>
      <c r="B20" s="2753" t="s">
        <v>533</v>
      </c>
      <c r="C20" s="2755" t="s">
        <v>444</v>
      </c>
      <c r="D20" s="2755">
        <v>-4</v>
      </c>
      <c r="E20" s="2753">
        <v>48.03</v>
      </c>
      <c r="F20" s="2755" t="s">
        <v>443</v>
      </c>
      <c r="G20" s="2755"/>
    </row>
    <row r="21" spans="1:7" ht="16.2">
      <c r="A21" s="2753">
        <v>20</v>
      </c>
      <c r="B21" s="2753" t="s">
        <v>534</v>
      </c>
      <c r="C21" s="2755" t="s">
        <v>444</v>
      </c>
      <c r="D21" s="2755">
        <v>-4</v>
      </c>
      <c r="E21" s="2753">
        <v>48.03</v>
      </c>
      <c r="F21" s="2755" t="s">
        <v>443</v>
      </c>
      <c r="G21" s="2755"/>
    </row>
    <row r="22" spans="1:7" ht="16.2">
      <c r="A22" s="2753">
        <v>21</v>
      </c>
      <c r="B22" s="2753" t="s">
        <v>535</v>
      </c>
      <c r="C22" s="2755" t="s">
        <v>444</v>
      </c>
      <c r="D22" s="2755">
        <v>-4</v>
      </c>
      <c r="E22" s="2753">
        <v>48.03</v>
      </c>
      <c r="F22" s="2755" t="s">
        <v>443</v>
      </c>
      <c r="G22" s="2755"/>
    </row>
    <row r="23" spans="1:7" ht="16.2">
      <c r="A23" s="2753">
        <v>22</v>
      </c>
      <c r="B23" s="2753" t="s">
        <v>536</v>
      </c>
      <c r="C23" s="2755" t="s">
        <v>444</v>
      </c>
      <c r="D23" s="2755">
        <v>-4</v>
      </c>
      <c r="E23" s="2753">
        <v>48.03</v>
      </c>
      <c r="F23" s="2755" t="s">
        <v>443</v>
      </c>
      <c r="G23" s="2755"/>
    </row>
    <row r="24" spans="1:7" ht="16.2">
      <c r="A24" s="2753">
        <v>23</v>
      </c>
      <c r="B24" s="2753" t="s">
        <v>537</v>
      </c>
      <c r="C24" s="2755" t="s">
        <v>444</v>
      </c>
      <c r="D24" s="2755">
        <v>-4</v>
      </c>
      <c r="E24" s="2753">
        <v>49.31</v>
      </c>
      <c r="F24" s="2755" t="s">
        <v>443</v>
      </c>
      <c r="G24" s="2755"/>
    </row>
    <row r="25" spans="1:7" ht="16.2">
      <c r="A25" s="2753">
        <v>24</v>
      </c>
      <c r="B25" s="2753" t="s">
        <v>538</v>
      </c>
      <c r="C25" s="2755" t="s">
        <v>444</v>
      </c>
      <c r="D25" s="2755">
        <v>-4</v>
      </c>
      <c r="E25" s="2753">
        <v>49.31</v>
      </c>
      <c r="F25" s="2755" t="s">
        <v>443</v>
      </c>
      <c r="G25" s="2755"/>
    </row>
    <row r="26" spans="1:7" ht="16.2">
      <c r="A26" s="2753">
        <v>25</v>
      </c>
      <c r="B26" s="2753" t="s">
        <v>539</v>
      </c>
      <c r="C26" s="2755" t="s">
        <v>444</v>
      </c>
      <c r="D26" s="2755">
        <v>-4</v>
      </c>
      <c r="E26" s="2753">
        <v>49.31</v>
      </c>
      <c r="F26" s="2755" t="s">
        <v>443</v>
      </c>
      <c r="G26" s="2755"/>
    </row>
    <row r="27" spans="1:7" ht="16.2">
      <c r="A27" s="2753">
        <v>26</v>
      </c>
      <c r="B27" s="2755" t="s">
        <v>540</v>
      </c>
      <c r="C27" s="2755" t="s">
        <v>444</v>
      </c>
      <c r="D27" s="2755">
        <v>-4</v>
      </c>
      <c r="E27" s="2755">
        <v>46.43</v>
      </c>
      <c r="F27" s="2755" t="s">
        <v>443</v>
      </c>
      <c r="G27" s="2755"/>
    </row>
    <row r="28" spans="1:7" ht="16.2">
      <c r="A28" s="2753">
        <v>27</v>
      </c>
      <c r="B28" s="2755" t="s">
        <v>541</v>
      </c>
      <c r="C28" s="2755" t="s">
        <v>444</v>
      </c>
      <c r="D28" s="2755">
        <v>-4</v>
      </c>
      <c r="E28" s="2755">
        <v>46.43</v>
      </c>
      <c r="F28" s="2755" t="s">
        <v>443</v>
      </c>
      <c r="G28" s="2755"/>
    </row>
    <row r="29" spans="1:7" ht="16.2">
      <c r="A29" s="2753">
        <v>28</v>
      </c>
      <c r="B29" s="2755" t="s">
        <v>542</v>
      </c>
      <c r="C29" s="2755" t="s">
        <v>444</v>
      </c>
      <c r="D29" s="2755">
        <v>-4</v>
      </c>
      <c r="E29" s="2755">
        <v>56.19</v>
      </c>
      <c r="F29" s="2755" t="s">
        <v>443</v>
      </c>
      <c r="G29" s="2755"/>
    </row>
    <row r="30" spans="1:7" ht="16.2">
      <c r="A30" s="2753">
        <v>29</v>
      </c>
      <c r="B30" s="2755" t="s">
        <v>543</v>
      </c>
      <c r="C30" s="2755" t="s">
        <v>444</v>
      </c>
      <c r="D30" s="2755">
        <v>-4</v>
      </c>
      <c r="E30" s="2755">
        <v>56.19</v>
      </c>
      <c r="F30" s="2755" t="s">
        <v>443</v>
      </c>
      <c r="G30" s="2755"/>
    </row>
    <row r="31" spans="1:7" ht="16.2">
      <c r="A31" s="2753">
        <v>30</v>
      </c>
      <c r="B31" s="2755" t="s">
        <v>544</v>
      </c>
      <c r="C31" s="2755" t="s">
        <v>444</v>
      </c>
      <c r="D31" s="2755">
        <v>-4</v>
      </c>
      <c r="E31" s="2755">
        <v>56.19</v>
      </c>
      <c r="F31" s="2755" t="s">
        <v>443</v>
      </c>
      <c r="G31" s="2755"/>
    </row>
    <row r="32" spans="1:7" ht="16.2" hidden="1">
      <c r="A32" s="2753">
        <v>31</v>
      </c>
      <c r="B32" s="2755" t="s">
        <v>448</v>
      </c>
      <c r="C32" s="2755" t="s">
        <v>444</v>
      </c>
      <c r="D32" s="2755">
        <v>-4</v>
      </c>
      <c r="E32" s="2755">
        <v>133.63</v>
      </c>
      <c r="F32" s="2755" t="s">
        <v>447</v>
      </c>
      <c r="G32" s="2755"/>
    </row>
    <row r="33" spans="1:7" ht="16.2">
      <c r="A33" s="2753">
        <v>32</v>
      </c>
      <c r="B33" s="2755" t="s">
        <v>545</v>
      </c>
      <c r="C33" s="2755" t="s">
        <v>444</v>
      </c>
      <c r="D33" s="2755">
        <v>-3</v>
      </c>
      <c r="E33" s="2755">
        <v>56.19</v>
      </c>
      <c r="F33" s="2755" t="s">
        <v>443</v>
      </c>
      <c r="G33" s="2755"/>
    </row>
    <row r="34" spans="1:7" ht="16.2">
      <c r="A34" s="2753">
        <v>33</v>
      </c>
      <c r="B34" s="2755" t="s">
        <v>546</v>
      </c>
      <c r="C34" s="2755" t="s">
        <v>444</v>
      </c>
      <c r="D34" s="2755">
        <v>-3</v>
      </c>
      <c r="E34" s="2755">
        <v>56.19</v>
      </c>
      <c r="F34" s="2755" t="s">
        <v>443</v>
      </c>
      <c r="G34" s="2755"/>
    </row>
    <row r="35" spans="1:7" ht="16.2">
      <c r="A35" s="2753">
        <v>34</v>
      </c>
      <c r="B35" s="2755" t="s">
        <v>547</v>
      </c>
      <c r="C35" s="2755" t="s">
        <v>444</v>
      </c>
      <c r="D35" s="2755">
        <v>-3</v>
      </c>
      <c r="E35" s="2755">
        <v>56.19</v>
      </c>
      <c r="F35" s="2755" t="s">
        <v>443</v>
      </c>
      <c r="G35" s="2755"/>
    </row>
    <row r="36" spans="1:7" ht="16.2">
      <c r="A36" s="2753">
        <v>35</v>
      </c>
      <c r="B36" s="2755" t="s">
        <v>548</v>
      </c>
      <c r="C36" s="2755" t="s">
        <v>444</v>
      </c>
      <c r="D36" s="2755">
        <v>-3</v>
      </c>
      <c r="E36" s="2755">
        <v>55.23</v>
      </c>
      <c r="F36" s="2755" t="s">
        <v>443</v>
      </c>
      <c r="G36" s="2755"/>
    </row>
    <row r="37" spans="1:7" ht="16.2">
      <c r="A37" s="2753">
        <v>36</v>
      </c>
      <c r="B37" s="2755" t="s">
        <v>549</v>
      </c>
      <c r="C37" s="2755" t="s">
        <v>444</v>
      </c>
      <c r="D37" s="2755">
        <v>-3</v>
      </c>
      <c r="E37" s="2755">
        <v>52.75</v>
      </c>
      <c r="F37" s="2755" t="s">
        <v>443</v>
      </c>
      <c r="G37" s="2755"/>
    </row>
    <row r="38" spans="1:7" ht="16.2">
      <c r="A38" s="2753">
        <v>37</v>
      </c>
      <c r="B38" s="2755" t="s">
        <v>550</v>
      </c>
      <c r="C38" s="2755" t="s">
        <v>444</v>
      </c>
      <c r="D38" s="2755">
        <v>-3</v>
      </c>
      <c r="E38" s="2755">
        <v>41.42</v>
      </c>
      <c r="F38" s="2755" t="s">
        <v>443</v>
      </c>
      <c r="G38" s="2755"/>
    </row>
    <row r="39" spans="1:7" ht="16.2">
      <c r="A39" s="2753">
        <v>38</v>
      </c>
      <c r="B39" s="2755" t="s">
        <v>551</v>
      </c>
      <c r="C39" s="2755" t="s">
        <v>444</v>
      </c>
      <c r="D39" s="2755">
        <v>-3</v>
      </c>
      <c r="E39" s="2755">
        <v>41.42</v>
      </c>
      <c r="F39" s="2755" t="s">
        <v>443</v>
      </c>
      <c r="G39" s="2755"/>
    </row>
    <row r="40" spans="1:7" ht="16.2">
      <c r="A40" s="2753">
        <v>39</v>
      </c>
      <c r="B40" s="2755" t="s">
        <v>552</v>
      </c>
      <c r="C40" s="2755" t="s">
        <v>444</v>
      </c>
      <c r="D40" s="2755">
        <v>-3</v>
      </c>
      <c r="E40" s="2755">
        <v>41.42</v>
      </c>
      <c r="F40" s="2755" t="s">
        <v>443</v>
      </c>
      <c r="G40" s="2755"/>
    </row>
    <row r="41" spans="1:7" ht="16.2">
      <c r="A41" s="2753">
        <v>40</v>
      </c>
      <c r="B41" s="2755" t="s">
        <v>553</v>
      </c>
      <c r="C41" s="2755" t="s">
        <v>444</v>
      </c>
      <c r="D41" s="2755">
        <v>-3</v>
      </c>
      <c r="E41" s="2755">
        <v>52.83</v>
      </c>
      <c r="F41" s="2755" t="s">
        <v>443</v>
      </c>
      <c r="G41" s="2755"/>
    </row>
    <row r="42" spans="1:7" ht="16.2" hidden="1">
      <c r="A42" s="2753">
        <v>41</v>
      </c>
      <c r="B42" s="2755" t="s">
        <v>448</v>
      </c>
      <c r="C42" s="2755" t="s">
        <v>444</v>
      </c>
      <c r="D42" s="2755">
        <v>-3</v>
      </c>
      <c r="E42" s="2755">
        <v>288.42</v>
      </c>
      <c r="F42" s="2755" t="s">
        <v>447</v>
      </c>
      <c r="G42" s="2755"/>
    </row>
    <row r="43" spans="1:7" ht="16.2" hidden="1">
      <c r="A43" s="2753">
        <v>42</v>
      </c>
      <c r="B43" s="2755" t="s">
        <v>453</v>
      </c>
      <c r="C43" s="2755" t="s">
        <v>444</v>
      </c>
      <c r="D43" s="2755">
        <v>-2</v>
      </c>
      <c r="E43" s="2755">
        <v>2454.33</v>
      </c>
      <c r="F43" s="2755" t="s">
        <v>447</v>
      </c>
      <c r="G43" s="2755"/>
    </row>
    <row r="44" spans="1:7" ht="16.2" hidden="1">
      <c r="A44" s="2753">
        <v>43</v>
      </c>
      <c r="B44" s="2755" t="s">
        <v>448</v>
      </c>
      <c r="C44" s="2755" t="s">
        <v>444</v>
      </c>
      <c r="D44" s="2755">
        <v>-2</v>
      </c>
      <c r="E44" s="2755">
        <v>252.1</v>
      </c>
      <c r="F44" s="2755" t="s">
        <v>447</v>
      </c>
      <c r="G44" s="2755"/>
    </row>
    <row r="45" spans="1:7" ht="16.2">
      <c r="A45" s="2753">
        <v>44</v>
      </c>
      <c r="B45" s="2755" t="s">
        <v>554</v>
      </c>
      <c r="C45" s="2755" t="s">
        <v>444</v>
      </c>
      <c r="D45" s="2755">
        <v>-1</v>
      </c>
      <c r="E45" s="2755">
        <v>49.47</v>
      </c>
      <c r="F45" s="2755" t="s">
        <v>443</v>
      </c>
      <c r="G45" s="2755"/>
    </row>
    <row r="46" spans="1:7" ht="16.2">
      <c r="A46" s="2753">
        <v>45</v>
      </c>
      <c r="B46" s="2755" t="s">
        <v>555</v>
      </c>
      <c r="C46" s="2755" t="s">
        <v>444</v>
      </c>
      <c r="D46" s="2755">
        <v>-1</v>
      </c>
      <c r="E46" s="2755">
        <v>49.47</v>
      </c>
      <c r="F46" s="2755" t="s">
        <v>443</v>
      </c>
      <c r="G46" s="2755"/>
    </row>
    <row r="47" spans="1:7" ht="16.2">
      <c r="A47" s="2753">
        <v>46</v>
      </c>
      <c r="B47" s="2755" t="s">
        <v>556</v>
      </c>
      <c r="C47" s="2755" t="s">
        <v>444</v>
      </c>
      <c r="D47" s="2755">
        <v>-1</v>
      </c>
      <c r="E47" s="2755">
        <v>52.27</v>
      </c>
      <c r="F47" s="2755" t="s">
        <v>443</v>
      </c>
      <c r="G47" s="2755"/>
    </row>
    <row r="48" spans="1:7" ht="16.2">
      <c r="A48" s="2753">
        <v>47</v>
      </c>
      <c r="B48" s="2755" t="s">
        <v>557</v>
      </c>
      <c r="C48" s="2755" t="s">
        <v>444</v>
      </c>
      <c r="D48" s="2755">
        <v>-1</v>
      </c>
      <c r="E48" s="2755">
        <v>52.27</v>
      </c>
      <c r="F48" s="2755" t="s">
        <v>443</v>
      </c>
      <c r="G48" s="2755"/>
    </row>
    <row r="49" spans="1:7" ht="16.2">
      <c r="A49" s="2753">
        <v>48</v>
      </c>
      <c r="B49" s="2755" t="s">
        <v>558</v>
      </c>
      <c r="C49" s="2755" t="s">
        <v>444</v>
      </c>
      <c r="D49" s="2755">
        <v>-1</v>
      </c>
      <c r="E49" s="2755">
        <v>52.27</v>
      </c>
      <c r="F49" s="2755" t="s">
        <v>443</v>
      </c>
      <c r="G49" s="2755"/>
    </row>
    <row r="50" spans="1:7" ht="16.2" hidden="1">
      <c r="A50" s="2753">
        <v>49</v>
      </c>
      <c r="B50" s="2755" t="s">
        <v>459</v>
      </c>
      <c r="C50" s="2755" t="s">
        <v>444</v>
      </c>
      <c r="D50" s="2755" t="s">
        <v>456</v>
      </c>
      <c r="E50" s="2755">
        <v>6191.47</v>
      </c>
      <c r="F50" s="2755" t="s">
        <v>449</v>
      </c>
      <c r="G50" s="2755"/>
    </row>
    <row r="51" spans="1:7" ht="16.2">
      <c r="A51" s="2753">
        <v>50</v>
      </c>
      <c r="B51" s="2755" t="s">
        <v>446</v>
      </c>
      <c r="C51" s="2755" t="s">
        <v>444</v>
      </c>
      <c r="D51" s="2755" t="s">
        <v>456</v>
      </c>
      <c r="E51" s="2755">
        <v>954.3</v>
      </c>
      <c r="F51" s="2755" t="s">
        <v>443</v>
      </c>
      <c r="G51" s="2755"/>
    </row>
    <row r="52" spans="1:7" ht="16.2" hidden="1">
      <c r="A52" s="2753">
        <v>51</v>
      </c>
      <c r="B52" s="2755" t="s">
        <v>462</v>
      </c>
      <c r="C52" s="2755" t="s">
        <v>444</v>
      </c>
      <c r="D52" s="2755" t="s">
        <v>463</v>
      </c>
      <c r="E52" s="2755">
        <v>768.77</v>
      </c>
      <c r="F52" s="2755" t="s">
        <v>449</v>
      </c>
      <c r="G52" s="2755"/>
    </row>
    <row r="53" spans="1:7" ht="16.2" hidden="1">
      <c r="A53" s="2753">
        <v>52</v>
      </c>
      <c r="B53" s="2755" t="s">
        <v>464</v>
      </c>
      <c r="C53" s="2755" t="s">
        <v>444</v>
      </c>
      <c r="D53" s="2755" t="s">
        <v>463</v>
      </c>
      <c r="E53" s="2755">
        <v>765.34</v>
      </c>
      <c r="F53" s="2755" t="s">
        <v>449</v>
      </c>
      <c r="G53" s="2755"/>
    </row>
    <row r="54" spans="1:7" ht="16.2" hidden="1">
      <c r="A54" s="2753">
        <v>53</v>
      </c>
      <c r="B54" s="2755" t="s">
        <v>466</v>
      </c>
      <c r="C54" s="2755" t="s">
        <v>444</v>
      </c>
      <c r="D54" s="2755" t="s">
        <v>467</v>
      </c>
      <c r="E54" s="2755">
        <v>1277.56</v>
      </c>
      <c r="F54" s="2755" t="s">
        <v>449</v>
      </c>
      <c r="G54" s="2755"/>
    </row>
    <row r="55" spans="1:7" ht="16.2" hidden="1">
      <c r="A55" s="2753">
        <v>54</v>
      </c>
      <c r="B55" s="2755" t="s">
        <v>468</v>
      </c>
      <c r="C55" s="2755" t="s">
        <v>444</v>
      </c>
      <c r="D55" s="2755" t="s">
        <v>467</v>
      </c>
      <c r="E55" s="2755">
        <v>1271.8499999999999</v>
      </c>
      <c r="F55" s="2755" t="s">
        <v>449</v>
      </c>
      <c r="G55" s="2755"/>
    </row>
    <row r="56" spans="1:7" ht="16.2" hidden="1">
      <c r="A56" s="2753">
        <v>55</v>
      </c>
      <c r="B56" s="2755" t="s">
        <v>469</v>
      </c>
      <c r="C56" s="2755" t="s">
        <v>444</v>
      </c>
      <c r="D56" s="2755" t="s">
        <v>470</v>
      </c>
      <c r="E56" s="2755">
        <v>1339.77</v>
      </c>
      <c r="F56" s="2755" t="s">
        <v>449</v>
      </c>
      <c r="G56" s="2755"/>
    </row>
    <row r="57" spans="1:7" ht="16.2" hidden="1">
      <c r="A57" s="2753">
        <v>56</v>
      </c>
      <c r="B57" s="2755" t="s">
        <v>471</v>
      </c>
      <c r="C57" s="2755" t="s">
        <v>444</v>
      </c>
      <c r="D57" s="2755" t="s">
        <v>470</v>
      </c>
      <c r="E57" s="2755">
        <v>752.45</v>
      </c>
      <c r="F57" s="2755" t="s">
        <v>449</v>
      </c>
      <c r="G57" s="2755"/>
    </row>
    <row r="58" spans="1:7" ht="16.2" hidden="1">
      <c r="A58" s="2753">
        <v>57</v>
      </c>
      <c r="B58" s="2755" t="s">
        <v>472</v>
      </c>
      <c r="C58" s="2755" t="s">
        <v>444</v>
      </c>
      <c r="D58" s="2755" t="s">
        <v>470</v>
      </c>
      <c r="E58" s="2755">
        <v>209.35</v>
      </c>
      <c r="F58" s="2755" t="s">
        <v>449</v>
      </c>
      <c r="G58" s="2755"/>
    </row>
    <row r="59" spans="1:7" ht="16.2" hidden="1">
      <c r="A59" s="2753">
        <v>58</v>
      </c>
      <c r="B59" s="2755" t="s">
        <v>473</v>
      </c>
      <c r="C59" s="2755" t="s">
        <v>444</v>
      </c>
      <c r="D59" s="2755" t="s">
        <v>470</v>
      </c>
      <c r="E59" s="2755">
        <v>159.63</v>
      </c>
      <c r="F59" s="2755" t="s">
        <v>449</v>
      </c>
      <c r="G59" s="2755"/>
    </row>
    <row r="60" spans="1:7" ht="16.2" hidden="1">
      <c r="A60" s="2753">
        <v>59</v>
      </c>
      <c r="B60" s="2755" t="s">
        <v>474</v>
      </c>
      <c r="C60" s="2755" t="s">
        <v>444</v>
      </c>
      <c r="D60" s="2755" t="s">
        <v>470</v>
      </c>
      <c r="E60" s="2755">
        <v>212.36</v>
      </c>
      <c r="F60" s="2755" t="s">
        <v>449</v>
      </c>
      <c r="G60" s="2755"/>
    </row>
    <row r="61" spans="1:7" ht="16.2" hidden="1">
      <c r="A61" s="2753">
        <v>60</v>
      </c>
      <c r="B61" s="2755" t="s">
        <v>475</v>
      </c>
      <c r="C61" s="2755" t="s">
        <v>444</v>
      </c>
      <c r="D61" s="2755" t="s">
        <v>476</v>
      </c>
      <c r="E61" s="2755">
        <v>1337.53</v>
      </c>
      <c r="F61" s="2755" t="s">
        <v>449</v>
      </c>
      <c r="G61" s="2755"/>
    </row>
    <row r="62" spans="1:7" ht="16.2" hidden="1">
      <c r="A62" s="2753">
        <v>61</v>
      </c>
      <c r="B62" s="2755" t="s">
        <v>477</v>
      </c>
      <c r="C62" s="2755" t="s">
        <v>444</v>
      </c>
      <c r="D62" s="2755" t="s">
        <v>478</v>
      </c>
      <c r="E62" s="2755">
        <v>1337.53</v>
      </c>
      <c r="F62" s="2755" t="s">
        <v>449</v>
      </c>
      <c r="G62" s="2755"/>
    </row>
    <row r="63" spans="1:7" ht="16.2" hidden="1">
      <c r="A63" s="2753">
        <v>62</v>
      </c>
      <c r="B63" s="2755" t="s">
        <v>479</v>
      </c>
      <c r="C63" s="2755" t="s">
        <v>444</v>
      </c>
      <c r="D63" s="2755" t="s">
        <v>480</v>
      </c>
      <c r="E63" s="2755">
        <v>1339.66</v>
      </c>
      <c r="F63" s="2755" t="s">
        <v>449</v>
      </c>
      <c r="G63" s="2755"/>
    </row>
    <row r="64" spans="1:7" ht="16.2" hidden="1">
      <c r="A64" s="2753">
        <v>63</v>
      </c>
      <c r="B64" s="2755" t="s">
        <v>481</v>
      </c>
      <c r="C64" s="2755" t="s">
        <v>444</v>
      </c>
      <c r="D64" s="2755" t="s">
        <v>482</v>
      </c>
      <c r="E64" s="2755">
        <v>1339.66</v>
      </c>
      <c r="F64" s="2755" t="s">
        <v>449</v>
      </c>
      <c r="G64" s="2755"/>
    </row>
    <row r="65" spans="1:7" ht="16.2" hidden="1">
      <c r="A65" s="2753">
        <v>64</v>
      </c>
      <c r="B65" s="2755" t="s">
        <v>483</v>
      </c>
      <c r="C65" s="2755" t="s">
        <v>444</v>
      </c>
      <c r="D65" s="2755" t="s">
        <v>484</v>
      </c>
      <c r="E65" s="2755">
        <v>1339.66</v>
      </c>
      <c r="F65" s="2755" t="s">
        <v>449</v>
      </c>
      <c r="G65" s="2755"/>
    </row>
    <row r="66" spans="1:7" ht="16.2" hidden="1">
      <c r="A66" s="2753">
        <v>65</v>
      </c>
      <c r="B66" s="2755" t="s">
        <v>485</v>
      </c>
      <c r="C66" s="2755" t="s">
        <v>444</v>
      </c>
      <c r="D66" s="2755" t="s">
        <v>486</v>
      </c>
      <c r="E66" s="2755">
        <v>1339.66</v>
      </c>
      <c r="F66" s="2755" t="s">
        <v>449</v>
      </c>
      <c r="G66" s="2755"/>
    </row>
    <row r="67" spans="1:7" ht="16.2" hidden="1">
      <c r="A67" s="2753">
        <v>66</v>
      </c>
      <c r="B67" s="2755" t="s">
        <v>487</v>
      </c>
      <c r="C67" s="2755" t="s">
        <v>444</v>
      </c>
      <c r="D67" s="2755" t="s">
        <v>488</v>
      </c>
      <c r="E67" s="2755">
        <v>1339.66</v>
      </c>
      <c r="F67" s="2755" t="s">
        <v>449</v>
      </c>
      <c r="G67" s="2755"/>
    </row>
    <row r="68" spans="1:7" ht="16.2" hidden="1">
      <c r="A68" s="2753">
        <v>67</v>
      </c>
      <c r="B68" s="2755" t="s">
        <v>489</v>
      </c>
      <c r="C68" s="2755" t="s">
        <v>444</v>
      </c>
      <c r="D68" s="2755" t="s">
        <v>490</v>
      </c>
      <c r="E68" s="2755">
        <v>962.57</v>
      </c>
      <c r="F68" s="2755" t="s">
        <v>449</v>
      </c>
      <c r="G68" s="2755"/>
    </row>
    <row r="69" spans="1:7" ht="16.2" hidden="1">
      <c r="A69" s="2753">
        <v>68</v>
      </c>
      <c r="B69" s="2755" t="s">
        <v>491</v>
      </c>
      <c r="C69" s="2755" t="s">
        <v>444</v>
      </c>
      <c r="D69" s="2755" t="s">
        <v>490</v>
      </c>
      <c r="E69" s="2755">
        <v>958.26</v>
      </c>
      <c r="F69" s="2755" t="s">
        <v>449</v>
      </c>
      <c r="G69" s="2755"/>
    </row>
    <row r="70" spans="1:7" ht="16.2" hidden="1">
      <c r="A70" s="2753">
        <v>69</v>
      </c>
      <c r="B70" s="2755" t="s">
        <v>492</v>
      </c>
      <c r="C70" s="2755" t="s">
        <v>444</v>
      </c>
      <c r="D70" s="2755" t="s">
        <v>493</v>
      </c>
      <c r="E70" s="2755">
        <v>1341.35</v>
      </c>
      <c r="F70" s="2755" t="s">
        <v>449</v>
      </c>
      <c r="G70" s="2755"/>
    </row>
    <row r="71" spans="1:7" ht="16.2" hidden="1">
      <c r="A71" s="2753">
        <v>70</v>
      </c>
      <c r="B71" s="2755" t="s">
        <v>494</v>
      </c>
      <c r="C71" s="2755" t="s">
        <v>444</v>
      </c>
      <c r="D71" s="2755" t="s">
        <v>495</v>
      </c>
      <c r="E71" s="2755">
        <v>1350.91</v>
      </c>
      <c r="F71" s="2755" t="s">
        <v>449</v>
      </c>
      <c r="G71" s="2755"/>
    </row>
    <row r="72" spans="1:7" ht="16.2" hidden="1">
      <c r="A72" s="2753">
        <v>71</v>
      </c>
      <c r="B72" s="2755" t="s">
        <v>496</v>
      </c>
      <c r="C72" s="2755" t="s">
        <v>444</v>
      </c>
      <c r="D72" s="2755" t="s">
        <v>497</v>
      </c>
      <c r="E72" s="2755">
        <v>1371.11</v>
      </c>
      <c r="F72" s="2755" t="s">
        <v>449</v>
      </c>
      <c r="G72" s="2755"/>
    </row>
    <row r="73" spans="1:7" ht="16.2" hidden="1">
      <c r="A73" s="2753">
        <v>72</v>
      </c>
      <c r="B73" s="2755" t="s">
        <v>498</v>
      </c>
      <c r="C73" s="2755" t="s">
        <v>444</v>
      </c>
      <c r="D73" s="2755" t="s">
        <v>499</v>
      </c>
      <c r="E73" s="2755">
        <v>1371.11</v>
      </c>
      <c r="F73" s="2755" t="s">
        <v>449</v>
      </c>
      <c r="G73" s="2755"/>
    </row>
    <row r="74" spans="1:7" ht="16.2" hidden="1">
      <c r="A74" s="2753">
        <v>73</v>
      </c>
      <c r="B74" s="2755" t="s">
        <v>500</v>
      </c>
      <c r="C74" s="2755" t="s">
        <v>444</v>
      </c>
      <c r="D74" s="2755" t="s">
        <v>501</v>
      </c>
      <c r="E74" s="2755">
        <v>1373.43</v>
      </c>
      <c r="F74" s="2755" t="s">
        <v>449</v>
      </c>
      <c r="G74" s="2755"/>
    </row>
    <row r="75" spans="1:7" ht="16.2" hidden="1">
      <c r="A75" s="2753">
        <v>74</v>
      </c>
      <c r="B75" s="2755" t="s">
        <v>502</v>
      </c>
      <c r="C75" s="2755" t="s">
        <v>444</v>
      </c>
      <c r="D75" s="2755" t="s">
        <v>503</v>
      </c>
      <c r="E75" s="2755">
        <v>1373.43</v>
      </c>
      <c r="F75" s="2755" t="s">
        <v>449</v>
      </c>
      <c r="G75" s="2755"/>
    </row>
    <row r="76" spans="1:7" ht="16.2" hidden="1">
      <c r="A76" s="2753">
        <v>75</v>
      </c>
      <c r="B76" s="2755" t="s">
        <v>504</v>
      </c>
      <c r="C76" s="2755" t="s">
        <v>444</v>
      </c>
      <c r="D76" s="2755" t="s">
        <v>505</v>
      </c>
      <c r="E76" s="2755">
        <v>1373.43</v>
      </c>
      <c r="F76" s="2755" t="s">
        <v>449</v>
      </c>
      <c r="G76" s="2755"/>
    </row>
    <row r="77" spans="1:7" ht="16.2" hidden="1">
      <c r="A77" s="2753">
        <v>76</v>
      </c>
      <c r="B77" s="2755" t="s">
        <v>506</v>
      </c>
      <c r="C77" s="2755" t="s">
        <v>444</v>
      </c>
      <c r="D77" s="2755" t="s">
        <v>507</v>
      </c>
      <c r="E77" s="2755">
        <v>1373.43</v>
      </c>
      <c r="F77" s="2755" t="s">
        <v>449</v>
      </c>
      <c r="G77" s="2755"/>
    </row>
    <row r="78" spans="1:7" ht="16.2" hidden="1">
      <c r="A78" s="2753">
        <v>77</v>
      </c>
      <c r="B78" s="2755" t="s">
        <v>508</v>
      </c>
      <c r="C78" s="2755" t="s">
        <v>444</v>
      </c>
      <c r="D78" s="2755">
        <v>27</v>
      </c>
      <c r="E78" s="2755">
        <v>1373.43</v>
      </c>
      <c r="F78" s="2755" t="s">
        <v>449</v>
      </c>
      <c r="G78" s="2755"/>
    </row>
    <row r="79" spans="1:7" ht="16.2" hidden="1">
      <c r="A79" s="2753">
        <v>78</v>
      </c>
      <c r="B79" s="2755" t="s">
        <v>509</v>
      </c>
      <c r="C79" s="2755" t="s">
        <v>444</v>
      </c>
      <c r="D79" s="2755">
        <v>28</v>
      </c>
      <c r="E79" s="2755">
        <v>1329.84</v>
      </c>
      <c r="F79" s="2755" t="s">
        <v>449</v>
      </c>
      <c r="G79" s="2755"/>
    </row>
    <row r="80" spans="1:7" ht="16.2" hidden="1">
      <c r="A80" s="2753">
        <v>79</v>
      </c>
      <c r="B80" s="2755" t="s">
        <v>510</v>
      </c>
      <c r="C80" s="2755" t="s">
        <v>444</v>
      </c>
      <c r="D80" s="2755">
        <v>29</v>
      </c>
      <c r="E80" s="2755">
        <v>1329.84</v>
      </c>
      <c r="F80" s="2755" t="s">
        <v>449</v>
      </c>
      <c r="G80" s="2755"/>
    </row>
    <row r="81" spans="1:7" ht="16.2" hidden="1">
      <c r="A81" s="2753">
        <v>80</v>
      </c>
      <c r="B81" s="2755" t="s">
        <v>511</v>
      </c>
      <c r="C81" s="2755" t="s">
        <v>444</v>
      </c>
      <c r="D81" s="2755">
        <v>30</v>
      </c>
      <c r="E81" s="2755">
        <v>1340.78</v>
      </c>
      <c r="F81" s="2755" t="s">
        <v>449</v>
      </c>
      <c r="G81" s="2755"/>
    </row>
    <row r="82" spans="1:7" ht="16.2" hidden="1">
      <c r="A82" s="2753">
        <v>81</v>
      </c>
      <c r="B82" s="2755" t="s">
        <v>511</v>
      </c>
      <c r="C82" s="2755" t="s">
        <v>444</v>
      </c>
      <c r="D82" s="2755">
        <v>30</v>
      </c>
      <c r="E82" s="2755">
        <v>1329.84</v>
      </c>
      <c r="F82" s="2755" t="s">
        <v>449</v>
      </c>
      <c r="G82" s="2755"/>
    </row>
    <row r="83" spans="1:7" ht="16.2" hidden="1">
      <c r="A83" s="2753">
        <v>82</v>
      </c>
      <c r="B83" s="2755" t="s">
        <v>512</v>
      </c>
      <c r="C83" s="2755" t="s">
        <v>444</v>
      </c>
      <c r="D83" s="2755">
        <v>31</v>
      </c>
      <c r="E83" s="2755">
        <v>673.62</v>
      </c>
      <c r="F83" s="2755" t="s">
        <v>449</v>
      </c>
      <c r="G83" s="2755"/>
    </row>
    <row r="84" spans="1:7" ht="16.2" hidden="1">
      <c r="A84" s="2753">
        <v>83</v>
      </c>
      <c r="B84" s="2755" t="s">
        <v>512</v>
      </c>
      <c r="C84" s="2755" t="s">
        <v>444</v>
      </c>
      <c r="D84" s="2755">
        <v>31</v>
      </c>
      <c r="E84" s="2755">
        <v>1324.65</v>
      </c>
      <c r="F84" s="2755" t="s">
        <v>449</v>
      </c>
      <c r="G84" s="2755"/>
    </row>
    <row r="85" spans="1:7" ht="16.2" hidden="1">
      <c r="A85" s="2753">
        <v>84</v>
      </c>
      <c r="B85" s="2755" t="s">
        <v>513</v>
      </c>
      <c r="C85" s="2755" t="s">
        <v>444</v>
      </c>
      <c r="D85" s="2755">
        <v>32</v>
      </c>
      <c r="E85" s="2755">
        <v>449.36</v>
      </c>
      <c r="F85" s="2755" t="s">
        <v>449</v>
      </c>
      <c r="G85" s="2755"/>
    </row>
    <row r="86" spans="1:7" ht="16.2" hidden="1">
      <c r="A86" s="2753">
        <v>85</v>
      </c>
      <c r="B86" s="2755" t="s">
        <v>513</v>
      </c>
      <c r="C86" s="2755" t="s">
        <v>444</v>
      </c>
      <c r="D86" s="2755">
        <v>32</v>
      </c>
      <c r="E86" s="2755">
        <v>482.87</v>
      </c>
      <c r="F86" s="2755" t="s">
        <v>449</v>
      </c>
      <c r="G86" s="2755"/>
    </row>
    <row r="87" spans="1:7" ht="16.2" hidden="1">
      <c r="A87" s="2755"/>
      <c r="B87" s="2755" t="s">
        <v>559</v>
      </c>
      <c r="C87" s="2755"/>
      <c r="D87" s="2755"/>
      <c r="E87" s="2755">
        <f>SUM(E2:E86)</f>
        <v>51096.2</v>
      </c>
      <c r="F87" s="2755"/>
      <c r="G87" s="2755"/>
    </row>
    <row r="88" spans="1:7" hidden="1">
      <c r="E88" s="2752">
        <f>E87-面积!E50</f>
        <v>0</v>
      </c>
    </row>
  </sheetData>
  <autoFilter ref="A1:G88">
    <filterColumn colId="5">
      <filters>
        <filter val="车位"/>
      </filters>
    </filterColumn>
  </autoFilter>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88671875" defaultRowHeight="13.8"/>
  <cols>
    <col min="1" max="1" width="10.6640625" style="2675" customWidth="1"/>
    <col min="2" max="2" width="11" style="2675" customWidth="1"/>
    <col min="3" max="3" width="10.33203125" style="2675" customWidth="1"/>
    <col min="4" max="4" width="9.109375" style="2675" customWidth="1"/>
    <col min="5" max="8" width="10" style="2675" customWidth="1"/>
    <col min="9" max="9" width="10.6640625" style="2675" customWidth="1"/>
    <col min="10" max="10" width="9.44140625" style="2675" customWidth="1"/>
    <col min="11" max="11" width="11" style="2675" customWidth="1"/>
    <col min="12" max="14" width="9.44140625" style="2675" customWidth="1"/>
    <col min="15" max="15" width="9.88671875" style="2675" hidden="1" customWidth="1"/>
    <col min="16" max="16" width="9.77734375" style="2675" hidden="1" customWidth="1"/>
    <col min="17" max="17" width="9.33203125" style="2675" hidden="1" customWidth="1"/>
    <col min="18" max="18" width="9.21875" style="2675" hidden="1" customWidth="1"/>
    <col min="19" max="19" width="10.88671875" style="2675" hidden="1" customWidth="1"/>
    <col min="20" max="21" width="10.77734375" style="2675" hidden="1" customWidth="1"/>
    <col min="22" max="22" width="10.88671875" style="2675" hidden="1" customWidth="1"/>
    <col min="23" max="27" width="10.77734375" style="2675" hidden="1" customWidth="1"/>
    <col min="28" max="28" width="10.88671875" style="2675" hidden="1" customWidth="1"/>
    <col min="29" max="29" width="11" style="2675" customWidth="1"/>
    <col min="30" max="30" width="10" style="2675" customWidth="1"/>
    <col min="31" max="31" width="9.77734375" style="2675" customWidth="1"/>
    <col min="32" max="46" width="9.44140625" style="2675" customWidth="1"/>
    <col min="47" max="47" width="18.109375" style="2675" customWidth="1"/>
    <col min="48" max="50" width="9.77734375" style="2675" customWidth="1"/>
    <col min="51" max="55" width="10.44140625" style="2675" customWidth="1"/>
    <col min="56" max="56" width="9.44140625" style="2675" customWidth="1"/>
    <col min="57" max="63" width="9.109375" style="2675" customWidth="1"/>
    <col min="64" max="64" width="9.44140625" style="2675" customWidth="1"/>
    <col min="65" max="65" width="9.109375" style="2675" customWidth="1"/>
    <col min="66" max="66" width="9.44140625" style="2675" customWidth="1"/>
    <col min="67" max="69" width="9.109375" style="2675" customWidth="1"/>
    <col min="70" max="70" width="9.44140625" style="2675" customWidth="1"/>
    <col min="71" max="71" width="9" style="2675" customWidth="1"/>
    <col min="72" max="72" width="9.109375" style="2675" customWidth="1"/>
    <col min="73" max="16384" width="8.88671875" style="2675"/>
  </cols>
  <sheetData>
    <row r="1" spans="1:72" ht="21">
      <c r="A1" s="806" t="s">
        <v>560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561</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4">
      <c r="A2" s="1057" t="s">
        <v>370</v>
      </c>
      <c r="B2" s="1057" t="s">
        <v>366</v>
      </c>
      <c r="C2" s="1057" t="s">
        <v>562</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563</v>
      </c>
      <c r="AZ2" s="2732" t="s">
        <v>564</v>
      </c>
      <c r="BA2" s="1057" t="s">
        <v>565</v>
      </c>
      <c r="BB2" s="843"/>
      <c r="BC2" s="843"/>
      <c r="BD2" s="843"/>
      <c r="BE2" s="843"/>
      <c r="BF2" s="843"/>
      <c r="BG2" s="843"/>
      <c r="BH2" s="843"/>
      <c r="BI2" s="843"/>
      <c r="BJ2" s="843"/>
      <c r="BK2" s="843"/>
      <c r="BL2" s="843"/>
      <c r="BM2" s="843"/>
      <c r="BN2" s="843"/>
      <c r="BO2" s="843"/>
      <c r="BP2" s="843"/>
      <c r="BQ2" s="843"/>
      <c r="BR2" s="843"/>
      <c r="BS2" s="843"/>
      <c r="BT2" s="843"/>
    </row>
    <row r="3" spans="1:72" s="2672" customFormat="1" ht="13.2">
      <c r="A3" s="2677">
        <v>8176.44</v>
      </c>
      <c r="B3" s="2678">
        <f>IF(C3="否",G5-AT5,G5)</f>
        <v>51096.2</v>
      </c>
      <c r="C3" s="2679" t="s">
        <v>566</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3.2">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3.2">
      <c r="A5" s="322" t="s">
        <v>567</v>
      </c>
      <c r="B5" s="723"/>
      <c r="C5" s="723"/>
      <c r="D5" s="857"/>
      <c r="E5" s="2683" t="s">
        <v>124</v>
      </c>
      <c r="F5" s="2683">
        <f>SUM(F13:F587)</f>
        <v>0</v>
      </c>
      <c r="G5" s="2683">
        <f>SUM(G13:G587)</f>
        <v>51096.2</v>
      </c>
      <c r="H5" s="2683">
        <f t="shared" ref="H5:AT5" si="0">SUM(H13:H656)</f>
        <v>50141.899999999994</v>
      </c>
      <c r="I5" s="2683">
        <f t="shared" si="0"/>
        <v>38613.699999999997</v>
      </c>
      <c r="J5" s="2683">
        <f t="shared" si="0"/>
        <v>0</v>
      </c>
      <c r="K5" s="2683">
        <f t="shared" si="0"/>
        <v>9319.9500000000007</v>
      </c>
      <c r="L5" s="2683">
        <f t="shared" si="0"/>
        <v>0</v>
      </c>
      <c r="M5" s="2683">
        <f t="shared" si="0"/>
        <v>2208.2499999999995</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0</v>
      </c>
      <c r="AP5" s="2683">
        <f t="shared" si="0"/>
        <v>0</v>
      </c>
      <c r="AQ5" s="2683">
        <f t="shared" si="0"/>
        <v>0</v>
      </c>
      <c r="AR5" s="2683">
        <f t="shared" si="0"/>
        <v>0</v>
      </c>
      <c r="AS5" s="2683">
        <f t="shared" si="0"/>
        <v>0</v>
      </c>
      <c r="AT5" s="2683">
        <f t="shared" si="0"/>
        <v>0</v>
      </c>
      <c r="AU5" s="722"/>
      <c r="AV5" s="322" t="s">
        <v>567</v>
      </c>
      <c r="AW5" s="723"/>
      <c r="AX5" s="723"/>
      <c r="AY5" s="1012" t="s">
        <v>124</v>
      </c>
      <c r="AZ5" s="2735">
        <f t="shared" ref="AZ5:BT5" si="1">SUM(AZ13:AZ656)</f>
        <v>51096.2</v>
      </c>
      <c r="BA5" s="2735">
        <f t="shared" si="1"/>
        <v>50141.899999999994</v>
      </c>
      <c r="BB5" s="2735">
        <f t="shared" si="1"/>
        <v>38613.699999999997</v>
      </c>
      <c r="BC5" s="2735">
        <f t="shared" si="1"/>
        <v>9319.9500000000007</v>
      </c>
      <c r="BD5" s="2735">
        <f t="shared" si="1"/>
        <v>2208.2499999999995</v>
      </c>
      <c r="BE5" s="2735">
        <f t="shared" si="1"/>
        <v>0</v>
      </c>
      <c r="BF5" s="2735">
        <f t="shared" si="1"/>
        <v>0</v>
      </c>
      <c r="BG5" s="2735">
        <f t="shared" si="1"/>
        <v>0</v>
      </c>
      <c r="BH5" s="2735">
        <f t="shared" si="1"/>
        <v>0</v>
      </c>
      <c r="BI5" s="2735">
        <f t="shared" si="1"/>
        <v>0</v>
      </c>
      <c r="BJ5" s="2735">
        <f t="shared" si="1"/>
        <v>0</v>
      </c>
      <c r="BK5" s="2735">
        <f t="shared" si="1"/>
        <v>0</v>
      </c>
      <c r="BL5" s="2735">
        <f t="shared" si="1"/>
        <v>954.3</v>
      </c>
      <c r="BM5" s="2735">
        <f t="shared" si="1"/>
        <v>0</v>
      </c>
      <c r="BN5" s="2735">
        <f t="shared" si="1"/>
        <v>0</v>
      </c>
      <c r="BO5" s="2735">
        <f t="shared" si="1"/>
        <v>0</v>
      </c>
      <c r="BP5" s="2735">
        <f t="shared" si="1"/>
        <v>0</v>
      </c>
      <c r="BQ5" s="2735">
        <f t="shared" si="1"/>
        <v>0</v>
      </c>
      <c r="BR5" s="2735">
        <f t="shared" si="1"/>
        <v>954.3</v>
      </c>
      <c r="BS5" s="2735">
        <f t="shared" si="1"/>
        <v>0</v>
      </c>
      <c r="BT5" s="2743">
        <f t="shared" si="1"/>
        <v>0</v>
      </c>
    </row>
    <row r="6" spans="1:72" s="2673" customFormat="1" ht="13.2">
      <c r="A6" s="322" t="s">
        <v>568</v>
      </c>
      <c r="B6" s="2684"/>
      <c r="C6" s="2684"/>
      <c r="D6" s="2685"/>
      <c r="E6" s="2683">
        <f>H6+AC6+AT6</f>
        <v>8176.44</v>
      </c>
      <c r="F6" s="2683" t="s">
        <v>124</v>
      </c>
      <c r="G6" s="2683" t="s">
        <v>124</v>
      </c>
      <c r="H6" s="2686">
        <f>SUMIF(I$12:AB$12,"总值",I6:AB6)</f>
        <v>8023.73</v>
      </c>
      <c r="I6" s="2683">
        <f t="shared" ref="I6:AB6" si="2">ROUND($A$3*I5/$B$3,2)</f>
        <v>6178.98</v>
      </c>
      <c r="J6" s="2683">
        <f t="shared" si="2"/>
        <v>0</v>
      </c>
      <c r="K6" s="2683">
        <f t="shared" si="2"/>
        <v>1491.38</v>
      </c>
      <c r="L6" s="2683">
        <f t="shared" si="2"/>
        <v>0</v>
      </c>
      <c r="M6" s="2683">
        <f t="shared" si="2"/>
        <v>353.37</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0</v>
      </c>
      <c r="AP6" s="2683">
        <f t="shared" si="3"/>
        <v>0</v>
      </c>
      <c r="AQ6" s="2683">
        <f t="shared" si="3"/>
        <v>0</v>
      </c>
      <c r="AR6" s="2683">
        <f t="shared" si="3"/>
        <v>0</v>
      </c>
      <c r="AS6" s="2683">
        <f t="shared" si="3"/>
        <v>0</v>
      </c>
      <c r="AT6" s="2686">
        <f>IF(C3="是",ROUND($A$3*AT5/$B$3,2),0)</f>
        <v>0</v>
      </c>
      <c r="AU6" s="2724"/>
      <c r="AV6" s="322" t="s">
        <v>568</v>
      </c>
      <c r="AW6" s="2684"/>
      <c r="AX6" s="2684"/>
      <c r="AY6" s="2736">
        <f>IF(AY3&gt;0,AY3,ROUND($A$3*AZ5/$B$3,2))</f>
        <v>8176.44</v>
      </c>
      <c r="AZ6" s="2683" t="s">
        <v>124</v>
      </c>
      <c r="BA6" s="2683">
        <f>ROUND($AY$6*BA5/$AZ$5,2)</f>
        <v>8023.73</v>
      </c>
      <c r="BB6" s="2683">
        <f>ROUND($AY$6*BB5/$AZ$5,2)</f>
        <v>6178.98</v>
      </c>
      <c r="BC6" s="2683">
        <f t="shared" ref="BC6:BH6" si="4">ROUND($AY$6*BC5/$AZ$5,2)</f>
        <v>1491.38</v>
      </c>
      <c r="BD6" s="2683">
        <f t="shared" si="4"/>
        <v>353.37</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152.71</v>
      </c>
      <c r="BM6" s="2683">
        <f t="shared" si="5"/>
        <v>0</v>
      </c>
      <c r="BN6" s="2683">
        <f t="shared" si="5"/>
        <v>0</v>
      </c>
      <c r="BO6" s="2683">
        <f t="shared" si="5"/>
        <v>0</v>
      </c>
      <c r="BP6" s="2683">
        <f t="shared" si="5"/>
        <v>0</v>
      </c>
      <c r="BQ6" s="2683">
        <f t="shared" si="5"/>
        <v>0</v>
      </c>
      <c r="BR6" s="2683">
        <f t="shared" si="5"/>
        <v>152.71</v>
      </c>
      <c r="BS6" s="2683">
        <f t="shared" si="5"/>
        <v>0</v>
      </c>
      <c r="BT6" s="2744">
        <f t="shared" si="5"/>
        <v>0</v>
      </c>
    </row>
    <row r="7" spans="1:72" s="2672" customFormat="1" ht="25.2">
      <c r="A7" s="2687" t="s">
        <v>569</v>
      </c>
      <c r="B7" s="2687" t="s">
        <v>570</v>
      </c>
      <c r="C7" s="2687" t="s">
        <v>420</v>
      </c>
      <c r="D7" s="2687" t="s">
        <v>571</v>
      </c>
      <c r="E7" s="2687" t="s">
        <v>568</v>
      </c>
      <c r="F7" s="2687" t="s">
        <v>572</v>
      </c>
      <c r="G7" s="823" t="s">
        <v>573</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574</v>
      </c>
      <c r="AV7" s="2725" t="s">
        <v>569</v>
      </c>
      <c r="AW7" s="843" t="s">
        <v>570</v>
      </c>
      <c r="AX7" s="2725" t="s">
        <v>420</v>
      </c>
      <c r="AY7" s="723" t="s">
        <v>575</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4">
      <c r="A8" s="2689"/>
      <c r="B8" s="2689"/>
      <c r="C8" s="2689"/>
      <c r="D8" s="2689"/>
      <c r="E8" s="2689"/>
      <c r="F8" s="2689"/>
      <c r="G8" s="2690" t="s">
        <v>576</v>
      </c>
      <c r="H8" s="2691" t="s">
        <v>577</v>
      </c>
      <c r="I8" s="2705"/>
      <c r="J8" s="209"/>
      <c r="K8" s="209"/>
      <c r="L8" s="209"/>
      <c r="M8" s="209"/>
      <c r="N8" s="209"/>
      <c r="O8" s="209"/>
      <c r="P8" s="209"/>
      <c r="Q8" s="209"/>
      <c r="R8" s="209"/>
      <c r="S8" s="209"/>
      <c r="T8" s="209"/>
      <c r="U8" s="209"/>
      <c r="V8" s="2712"/>
      <c r="W8" s="209"/>
      <c r="X8" s="209"/>
      <c r="Y8" s="209"/>
      <c r="Z8" s="209"/>
      <c r="AA8" s="2712"/>
      <c r="AB8" s="2714"/>
      <c r="AC8" s="875" t="s">
        <v>578</v>
      </c>
      <c r="AD8" s="2715"/>
      <c r="AE8" s="2716"/>
      <c r="AF8" s="209"/>
      <c r="AG8" s="209"/>
      <c r="AH8" s="209"/>
      <c r="AI8" s="209"/>
      <c r="AJ8" s="209"/>
      <c r="AK8" s="209"/>
      <c r="AL8" s="209"/>
      <c r="AM8" s="209"/>
      <c r="AN8" s="209"/>
      <c r="AO8" s="209"/>
      <c r="AP8" s="209"/>
      <c r="AQ8" s="209"/>
      <c r="AR8" s="209"/>
      <c r="AS8" s="209"/>
      <c r="AT8" s="158" t="s">
        <v>579</v>
      </c>
      <c r="AU8" s="2689" t="s">
        <v>580</v>
      </c>
      <c r="AV8" s="158"/>
      <c r="AW8" s="804"/>
      <c r="AX8" s="158"/>
      <c r="AY8" s="843" t="s">
        <v>568</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3.2">
      <c r="A9" s="2689"/>
      <c r="B9" s="2689"/>
      <c r="C9" s="2689"/>
      <c r="D9" s="2689"/>
      <c r="E9" s="2689"/>
      <c r="F9" s="2689"/>
      <c r="G9" s="158"/>
      <c r="H9" s="2692" t="s">
        <v>581</v>
      </c>
      <c r="I9" s="2706" t="s">
        <v>582</v>
      </c>
      <c r="J9" s="875"/>
      <c r="K9" s="2706" t="s">
        <v>583</v>
      </c>
      <c r="L9" s="875"/>
      <c r="M9" s="2706" t="s">
        <v>583</v>
      </c>
      <c r="N9" s="875"/>
      <c r="O9" s="2706"/>
      <c r="P9" s="875"/>
      <c r="Q9" s="2706"/>
      <c r="R9" s="875"/>
      <c r="S9" s="2706"/>
      <c r="T9" s="875"/>
      <c r="U9" s="2706"/>
      <c r="V9" s="875"/>
      <c r="W9" s="2706"/>
      <c r="X9" s="2713"/>
      <c r="Y9" s="2706"/>
      <c r="Z9" s="875"/>
      <c r="AA9" s="2706"/>
      <c r="AB9" s="875"/>
      <c r="AC9" s="2690" t="s">
        <v>581</v>
      </c>
      <c r="AD9" s="322" t="s">
        <v>584</v>
      </c>
      <c r="AE9" s="170"/>
      <c r="AF9" s="322" t="s">
        <v>585</v>
      </c>
      <c r="AG9" s="170"/>
      <c r="AH9" s="322" t="s">
        <v>584</v>
      </c>
      <c r="AI9" s="170"/>
      <c r="AJ9" s="322" t="s">
        <v>585</v>
      </c>
      <c r="AK9" s="170"/>
      <c r="AL9" s="322" t="s">
        <v>584</v>
      </c>
      <c r="AM9" s="170"/>
      <c r="AN9" s="322" t="s">
        <v>585</v>
      </c>
      <c r="AO9" s="170"/>
      <c r="AP9" s="322" t="s">
        <v>584</v>
      </c>
      <c r="AQ9" s="170"/>
      <c r="AR9" s="322" t="s">
        <v>585</v>
      </c>
      <c r="AS9" s="2726"/>
      <c r="AT9" s="2689"/>
      <c r="AU9" s="2689" t="s">
        <v>586</v>
      </c>
      <c r="AV9" s="158"/>
      <c r="AW9" s="804"/>
      <c r="AX9" s="158"/>
      <c r="AY9" s="2693"/>
      <c r="AZ9" s="2693" t="s">
        <v>576</v>
      </c>
      <c r="BA9" s="2737" t="s">
        <v>587</v>
      </c>
      <c r="BB9" s="2738"/>
      <c r="BC9" s="220"/>
      <c r="BD9" s="220"/>
      <c r="BE9" s="220"/>
      <c r="BF9" s="220"/>
      <c r="BG9" s="220"/>
      <c r="BH9" s="220"/>
      <c r="BI9" s="220"/>
      <c r="BJ9" s="220"/>
      <c r="BK9" s="2742"/>
      <c r="BL9" s="322" t="s">
        <v>588</v>
      </c>
      <c r="BM9" s="209"/>
      <c r="BN9" s="2705"/>
      <c r="BO9" s="209"/>
      <c r="BP9" s="209"/>
      <c r="BQ9" s="209"/>
      <c r="BR9" s="209"/>
      <c r="BS9" s="209"/>
      <c r="BT9" s="207"/>
    </row>
    <row r="10" spans="1:72" s="2433" customFormat="1" ht="13.2">
      <c r="A10" s="2689"/>
      <c r="B10" s="2689"/>
      <c r="C10" s="2689"/>
      <c r="D10" s="2689"/>
      <c r="E10" s="2689"/>
      <c r="F10" s="2689"/>
      <c r="G10" s="158"/>
      <c r="H10" s="2693"/>
      <c r="I10" s="2706" t="s">
        <v>447</v>
      </c>
      <c r="J10" s="875"/>
      <c r="K10" s="2707" t="s">
        <v>447</v>
      </c>
      <c r="L10" s="875"/>
      <c r="M10" s="2707" t="s">
        <v>589</v>
      </c>
      <c r="N10" s="875"/>
      <c r="O10" s="2707"/>
      <c r="P10" s="875"/>
      <c r="Q10" s="2707"/>
      <c r="R10" s="875"/>
      <c r="S10" s="2707"/>
      <c r="T10" s="875"/>
      <c r="U10" s="2707"/>
      <c r="V10" s="875"/>
      <c r="W10" s="2707"/>
      <c r="X10" s="875"/>
      <c r="Y10" s="2707"/>
      <c r="Z10" s="875"/>
      <c r="AA10" s="2707"/>
      <c r="AB10" s="875"/>
      <c r="AC10" s="158"/>
      <c r="AD10" s="322" t="s">
        <v>590</v>
      </c>
      <c r="AE10" s="2717"/>
      <c r="AF10" s="322" t="s">
        <v>590</v>
      </c>
      <c r="AG10" s="2717"/>
      <c r="AH10" s="322" t="s">
        <v>591</v>
      </c>
      <c r="AI10" s="2717"/>
      <c r="AJ10" s="322" t="s">
        <v>591</v>
      </c>
      <c r="AK10" s="2717"/>
      <c r="AL10" s="322" t="s">
        <v>592</v>
      </c>
      <c r="AM10" s="170"/>
      <c r="AN10" s="322" t="s">
        <v>592</v>
      </c>
      <c r="AO10" s="170"/>
      <c r="AP10" s="322" t="s">
        <v>593</v>
      </c>
      <c r="AQ10" s="170"/>
      <c r="AR10" s="322" t="s">
        <v>593</v>
      </c>
      <c r="AS10" s="170"/>
      <c r="AT10" s="2689"/>
      <c r="AU10" s="2689"/>
      <c r="AV10" s="158"/>
      <c r="AW10" s="804"/>
      <c r="AX10" s="158"/>
      <c r="AY10" s="2693"/>
      <c r="AZ10" s="2693"/>
      <c r="BA10" s="2694" t="s">
        <v>581</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581</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3.2">
      <c r="A11" s="2689"/>
      <c r="B11" s="2689"/>
      <c r="C11" s="2689"/>
      <c r="D11" s="2689"/>
      <c r="E11" s="2689"/>
      <c r="F11" s="2689"/>
      <c r="G11" s="158"/>
      <c r="H11" s="2694"/>
      <c r="I11" s="2708" t="s">
        <v>594</v>
      </c>
      <c r="J11" s="2709"/>
      <c r="K11" s="2708" t="s">
        <v>594</v>
      </c>
      <c r="L11" s="2709"/>
      <c r="M11" s="2708" t="s">
        <v>589</v>
      </c>
      <c r="N11" s="2709"/>
      <c r="O11" s="2708"/>
      <c r="P11" s="2709"/>
      <c r="Q11" s="2708"/>
      <c r="R11" s="2709"/>
      <c r="S11" s="2708"/>
      <c r="T11" s="2709"/>
      <c r="U11" s="2708"/>
      <c r="V11" s="2709"/>
      <c r="W11" s="2708"/>
      <c r="X11" s="2709"/>
      <c r="Y11" s="2708"/>
      <c r="Z11" s="2709"/>
      <c r="AA11" s="2708"/>
      <c r="AB11" s="2709"/>
      <c r="AC11" s="158"/>
      <c r="AD11" s="2718" t="s">
        <v>595</v>
      </c>
      <c r="AE11" s="1106"/>
      <c r="AF11" s="2718" t="s">
        <v>595</v>
      </c>
      <c r="AG11" s="1106"/>
      <c r="AH11" s="2718" t="s">
        <v>596</v>
      </c>
      <c r="AI11" s="2722"/>
      <c r="AJ11" s="2718" t="s">
        <v>596</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3.2">
      <c r="A12" s="2695"/>
      <c r="B12" s="2695"/>
      <c r="C12" s="2695"/>
      <c r="D12" s="2695"/>
      <c r="E12" s="2695"/>
      <c r="F12" s="2695"/>
      <c r="G12" s="1486"/>
      <c r="H12" s="2696"/>
      <c r="I12" s="857" t="s">
        <v>597</v>
      </c>
      <c r="J12" s="1057" t="s">
        <v>598</v>
      </c>
      <c r="K12" s="1057" t="s">
        <v>597</v>
      </c>
      <c r="L12" s="1057" t="s">
        <v>598</v>
      </c>
      <c r="M12" s="1057" t="s">
        <v>597</v>
      </c>
      <c r="N12" s="1057" t="s">
        <v>598</v>
      </c>
      <c r="O12" s="1057" t="s">
        <v>597</v>
      </c>
      <c r="P12" s="1057" t="s">
        <v>598</v>
      </c>
      <c r="Q12" s="1057" t="s">
        <v>597</v>
      </c>
      <c r="R12" s="1057" t="s">
        <v>598</v>
      </c>
      <c r="S12" s="1057" t="s">
        <v>597</v>
      </c>
      <c r="T12" s="1057" t="s">
        <v>598</v>
      </c>
      <c r="U12" s="1057" t="s">
        <v>597</v>
      </c>
      <c r="V12" s="722" t="s">
        <v>598</v>
      </c>
      <c r="W12" s="1057" t="s">
        <v>597</v>
      </c>
      <c r="X12" s="1057" t="s">
        <v>598</v>
      </c>
      <c r="Y12" s="1057" t="s">
        <v>597</v>
      </c>
      <c r="Z12" s="1057" t="s">
        <v>598</v>
      </c>
      <c r="AA12" s="1057" t="s">
        <v>597</v>
      </c>
      <c r="AB12" s="1057" t="s">
        <v>598</v>
      </c>
      <c r="AC12" s="2719"/>
      <c r="AD12" s="857" t="s">
        <v>597</v>
      </c>
      <c r="AE12" s="1057" t="s">
        <v>598</v>
      </c>
      <c r="AF12" s="1057" t="s">
        <v>597</v>
      </c>
      <c r="AG12" s="1057" t="s">
        <v>598</v>
      </c>
      <c r="AH12" s="1057" t="s">
        <v>597</v>
      </c>
      <c r="AI12" s="1057" t="s">
        <v>598</v>
      </c>
      <c r="AJ12" s="1057" t="s">
        <v>597</v>
      </c>
      <c r="AK12" s="1057" t="s">
        <v>598</v>
      </c>
      <c r="AL12" s="1057" t="s">
        <v>597</v>
      </c>
      <c r="AM12" s="1057" t="s">
        <v>598</v>
      </c>
      <c r="AN12" s="1057" t="s">
        <v>597</v>
      </c>
      <c r="AO12" s="1057" t="s">
        <v>598</v>
      </c>
      <c r="AP12" s="1057" t="s">
        <v>597</v>
      </c>
      <c r="AQ12" s="1057" t="s">
        <v>598</v>
      </c>
      <c r="AR12" s="1486" t="s">
        <v>597</v>
      </c>
      <c r="AS12" s="2695" t="s">
        <v>598</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3.2">
      <c r="A13" s="1017"/>
      <c r="B13" s="1017"/>
      <c r="C13" s="1017"/>
      <c r="D13" s="2697" t="s">
        <v>599</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3.2">
      <c r="A14" s="1017"/>
      <c r="B14" s="1017"/>
      <c r="C14" s="1017"/>
      <c r="D14" s="2697" t="s">
        <v>599</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3.2">
      <c r="A15" s="1017"/>
      <c r="B15" s="1017"/>
      <c r="C15" s="1017"/>
      <c r="D15" s="2697" t="s">
        <v>599</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3.2">
      <c r="A16" s="1017"/>
      <c r="B16" s="1017"/>
      <c r="C16" s="1017"/>
      <c r="D16" s="2697" t="s">
        <v>599</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3.2">
      <c r="A17" s="1017"/>
      <c r="B17" s="1017"/>
      <c r="C17" s="1017"/>
      <c r="D17" s="2697" t="s">
        <v>599</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599</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c r="K18" s="2711">
        <f>面积!J5</f>
        <v>9319.9500000000007</v>
      </c>
      <c r="L18" s="2711"/>
      <c r="M18" s="2711">
        <f>面积!J2</f>
        <v>2208.2499999999995</v>
      </c>
      <c r="N18" s="2711"/>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8176.44</v>
      </c>
      <c r="AZ18" s="2700">
        <f t="shared" ref="AZ18:AZ109" si="15">BA18+BL18</f>
        <v>51096.2</v>
      </c>
      <c r="BA18" s="2700">
        <f t="shared" ref="BA18:BA109" si="16">SUM(BB18:BK18)</f>
        <v>50141.899999999994</v>
      </c>
      <c r="BB18" s="2700">
        <f t="shared" ref="BB18:BB109" si="17">IF($D18="是",I18-J18,0)</f>
        <v>38613.699999999997</v>
      </c>
      <c r="BC18" s="2700">
        <f t="shared" ref="BC18:BC109" si="18">IF($D18="是",K18-L18,0)</f>
        <v>9319.9500000000007</v>
      </c>
      <c r="BD18" s="2700">
        <f t="shared" ref="BD18:BD109" si="19">IF($D18="是",M18-N18,0)</f>
        <v>2208.2499999999995</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954.3</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954.3</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563"/>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25"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69" customWidth="1"/>
    <col min="2" max="2" width="10.6640625" style="2669" customWidth="1"/>
    <col min="3" max="3" width="15.77734375" style="2669" customWidth="1"/>
    <col min="4" max="7" width="9.44140625" style="2669" customWidth="1"/>
    <col min="8" max="13" width="9.109375" style="2669" customWidth="1"/>
    <col min="14" max="16384" width="9" style="2669"/>
  </cols>
  <sheetData>
    <row r="1" spans="1:13" ht="15.6">
      <c r="A1" s="3077" t="s">
        <v>600</v>
      </c>
      <c r="B1" s="3077" t="s">
        <v>601</v>
      </c>
      <c r="C1" s="3077" t="s">
        <v>602</v>
      </c>
      <c r="D1" s="3076" t="s">
        <v>603</v>
      </c>
      <c r="E1" s="3076" t="s">
        <v>441</v>
      </c>
      <c r="F1" s="3076"/>
      <c r="G1" s="3076"/>
      <c r="H1" s="3076"/>
      <c r="I1" s="3076"/>
      <c r="J1" s="3076"/>
      <c r="K1" s="3076"/>
      <c r="L1" s="3076"/>
      <c r="M1" s="3076"/>
    </row>
    <row r="2" spans="1:13" ht="27" customHeight="1">
      <c r="A2" s="3077"/>
      <c r="B2" s="3077"/>
      <c r="C2" s="3077"/>
      <c r="D2" s="3076"/>
      <c r="E2" s="3076" t="s">
        <v>559</v>
      </c>
      <c r="F2" s="3076" t="s">
        <v>604</v>
      </c>
      <c r="G2" s="3076"/>
      <c r="H2" s="3076"/>
      <c r="I2" s="3076"/>
      <c r="J2" s="3076" t="s">
        <v>605</v>
      </c>
      <c r="K2" s="3076"/>
      <c r="L2" s="3076"/>
      <c r="M2" s="3076"/>
    </row>
    <row r="3" spans="1:13" ht="46.8">
      <c r="A3" s="3077"/>
      <c r="B3" s="3077"/>
      <c r="C3" s="3077"/>
      <c r="D3" s="3076"/>
      <c r="E3" s="3076"/>
      <c r="F3" s="2671" t="s">
        <v>606</v>
      </c>
      <c r="G3" s="2671" t="s">
        <v>607</v>
      </c>
      <c r="H3" s="2671" t="s">
        <v>608</v>
      </c>
      <c r="I3" s="2671" t="s">
        <v>461</v>
      </c>
      <c r="J3" s="2671" t="s">
        <v>606</v>
      </c>
      <c r="K3" s="2671" t="s">
        <v>609</v>
      </c>
      <c r="L3" s="2671" t="s">
        <v>610</v>
      </c>
      <c r="M3" s="2671" t="s">
        <v>611</v>
      </c>
    </row>
    <row r="4" spans="1:13" ht="46.8">
      <c r="A4" s="2671" t="s">
        <v>612</v>
      </c>
      <c r="B4" s="2671" t="s">
        <v>613</v>
      </c>
      <c r="C4" s="2671" t="s">
        <v>614</v>
      </c>
      <c r="D4" s="2670">
        <v>3807.94</v>
      </c>
      <c r="E4" s="2670">
        <v>20666.91</v>
      </c>
      <c r="F4" s="2670">
        <v>19673</v>
      </c>
      <c r="G4" s="2670">
        <v>0</v>
      </c>
      <c r="H4" s="2670">
        <v>19673</v>
      </c>
      <c r="I4" s="2670">
        <v>0</v>
      </c>
      <c r="J4" s="2670">
        <v>993.91</v>
      </c>
      <c r="K4" s="2670">
        <v>0</v>
      </c>
      <c r="L4" s="2670">
        <v>0</v>
      </c>
      <c r="M4" s="2670">
        <v>993.91</v>
      </c>
    </row>
    <row r="5" spans="1:13" ht="46.8">
      <c r="A5" s="2671" t="s">
        <v>612</v>
      </c>
      <c r="B5" s="2671" t="s">
        <v>615</v>
      </c>
      <c r="C5" s="2671" t="s">
        <v>616</v>
      </c>
      <c r="D5" s="2670">
        <v>3667.86</v>
      </c>
      <c r="E5" s="2670">
        <v>19906.61</v>
      </c>
      <c r="F5" s="2670">
        <v>18792.87</v>
      </c>
      <c r="G5" s="2670">
        <v>18792.87</v>
      </c>
      <c r="H5" s="2670">
        <v>0</v>
      </c>
      <c r="I5" s="2670">
        <v>0</v>
      </c>
      <c r="J5" s="2670">
        <v>1113.74</v>
      </c>
      <c r="K5" s="2670">
        <v>55.59</v>
      </c>
      <c r="L5" s="2670">
        <v>0</v>
      </c>
      <c r="M5" s="2670">
        <v>1058.1500000000001</v>
      </c>
    </row>
    <row r="6" spans="1:13" ht="46.8">
      <c r="A6" s="2671" t="s">
        <v>612</v>
      </c>
      <c r="B6" s="2671" t="s">
        <v>615</v>
      </c>
      <c r="C6" s="2671" t="s">
        <v>617</v>
      </c>
      <c r="D6" s="2670">
        <v>2067.52</v>
      </c>
      <c r="E6" s="2670">
        <v>11221.06</v>
      </c>
      <c r="F6" s="2670">
        <v>9934.1299999999992</v>
      </c>
      <c r="G6" s="2670">
        <v>9934.1299999999992</v>
      </c>
      <c r="H6" s="2670">
        <v>0</v>
      </c>
      <c r="I6" s="2670">
        <v>0</v>
      </c>
      <c r="J6" s="2670">
        <v>1286.93</v>
      </c>
      <c r="K6" s="2670">
        <v>0</v>
      </c>
      <c r="L6" s="2670">
        <v>0</v>
      </c>
      <c r="M6" s="2670">
        <v>1286.93</v>
      </c>
    </row>
    <row r="7" spans="1:13" ht="46.8">
      <c r="A7" s="2671" t="s">
        <v>612</v>
      </c>
      <c r="B7" s="2671" t="s">
        <v>615</v>
      </c>
      <c r="C7" s="2671" t="s">
        <v>618</v>
      </c>
      <c r="D7" s="2670">
        <v>8.18</v>
      </c>
      <c r="E7" s="2670">
        <v>44.41</v>
      </c>
      <c r="F7" s="2670">
        <v>0</v>
      </c>
      <c r="G7" s="2670">
        <v>0</v>
      </c>
      <c r="H7" s="2670">
        <v>0</v>
      </c>
      <c r="I7" s="2670">
        <v>0</v>
      </c>
      <c r="J7" s="2670">
        <v>44.41</v>
      </c>
      <c r="K7" s="2670">
        <v>44.41</v>
      </c>
      <c r="L7" s="2670">
        <v>0</v>
      </c>
      <c r="M7" s="2670">
        <v>0</v>
      </c>
    </row>
    <row r="8" spans="1:13" ht="46.8">
      <c r="A8" s="2671" t="s">
        <v>612</v>
      </c>
      <c r="B8" s="2671" t="s">
        <v>615</v>
      </c>
      <c r="C8" s="2671" t="s">
        <v>461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76" t="s">
        <v>619</v>
      </c>
      <c r="B9" s="3076"/>
      <c r="C9" s="3076"/>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workbookViewId="0">
      <selection activeCell="G23" sqref="G23"/>
    </sheetView>
  </sheetViews>
  <sheetFormatPr defaultColWidth="9.21875" defaultRowHeight="13.8"/>
  <cols>
    <col min="1" max="1" width="12.109375" style="2373" customWidth="1"/>
    <col min="2" max="2" width="10.21875" style="2373" customWidth="1"/>
    <col min="3" max="3" width="18.44140625" style="2373" customWidth="1"/>
    <col min="4" max="4" width="11.6640625" style="2373" customWidth="1"/>
    <col min="5" max="5" width="13.33203125" style="2373" customWidth="1"/>
    <col min="6" max="8" width="11.44140625" style="2373" customWidth="1"/>
    <col min="9" max="9" width="11.109375" style="2373" customWidth="1"/>
    <col min="10" max="10" width="3.109375" style="2373" customWidth="1"/>
    <col min="11" max="16" width="10" style="2373" customWidth="1"/>
    <col min="17" max="17" width="2.6640625" style="2373" customWidth="1"/>
    <col min="18" max="18" width="9.33203125" style="2373" customWidth="1"/>
    <col min="19" max="19" width="10.44140625" style="2373" customWidth="1"/>
    <col min="20" max="16384" width="9.21875" style="2373"/>
  </cols>
  <sheetData>
    <row r="1" spans="1:16" ht="17.399999999999999">
      <c r="A1" s="715" t="s">
        <v>620</v>
      </c>
      <c r="B1" s="790"/>
      <c r="C1" s="790"/>
      <c r="D1" s="790"/>
      <c r="E1" s="790"/>
      <c r="F1" s="790"/>
      <c r="G1" s="790"/>
      <c r="H1" s="790"/>
      <c r="I1" s="790"/>
      <c r="J1" s="790"/>
      <c r="K1" s="790"/>
      <c r="L1" s="790"/>
      <c r="M1" s="790"/>
      <c r="N1" s="790"/>
      <c r="O1" s="790"/>
      <c r="P1" s="790"/>
    </row>
    <row r="2" spans="1:16" ht="14.4">
      <c r="A2" s="3087" t="s">
        <v>621</v>
      </c>
      <c r="B2" s="3087"/>
      <c r="C2" s="3087"/>
      <c r="D2" s="2296" t="s">
        <v>622</v>
      </c>
      <c r="E2" s="2607" t="s">
        <v>623</v>
      </c>
      <c r="F2" s="2467"/>
      <c r="G2" s="2608"/>
      <c r="H2" s="2609"/>
      <c r="I2" s="947" t="s">
        <v>624</v>
      </c>
      <c r="J2" s="2467"/>
      <c r="K2" s="2467"/>
      <c r="L2" s="2467"/>
      <c r="M2" s="2467"/>
      <c r="N2" s="596"/>
      <c r="O2" s="2467"/>
      <c r="P2" s="2467"/>
    </row>
    <row r="3" spans="1:16" ht="14.4">
      <c r="A3" s="3088" t="s">
        <v>625</v>
      </c>
      <c r="B3" s="3088"/>
      <c r="C3" s="3088"/>
      <c r="D3" s="2610">
        <f>'数据-基础表'!AY6</f>
        <v>8176.44</v>
      </c>
      <c r="E3" s="2610">
        <f>'数据-基础表'!AZ5</f>
        <v>51096.2</v>
      </c>
      <c r="F3" s="2467"/>
      <c r="G3" s="2611"/>
      <c r="H3" s="740" t="s">
        <v>626</v>
      </c>
      <c r="I3" s="2260">
        <f>ROUND('数据-基础表'!B3/'数据-基础表'!A3,2)</f>
        <v>6.25</v>
      </c>
      <c r="J3" s="2467"/>
      <c r="K3" s="2467"/>
      <c r="L3" s="2467"/>
      <c r="M3" s="2467"/>
      <c r="N3" s="596"/>
      <c r="O3" s="2467"/>
      <c r="P3" s="2467"/>
    </row>
    <row r="4" spans="1:16" ht="14.4">
      <c r="A4" s="3089"/>
      <c r="B4" s="3090"/>
      <c r="C4" s="3091"/>
      <c r="D4" s="2612" t="s">
        <v>622</v>
      </c>
      <c r="E4" s="2613" t="s">
        <v>623</v>
      </c>
      <c r="F4" s="2467"/>
      <c r="G4" s="2614" t="s">
        <v>627</v>
      </c>
      <c r="H4" s="740" t="s">
        <v>628</v>
      </c>
      <c r="I4" s="2260">
        <f>ROUND(SUMIF('数据-基础表'!I9:AS9,"地上",'数据-基础表'!I5:AS5)/'数据-基础表'!A3,2)</f>
        <v>4.72</v>
      </c>
      <c r="J4" s="2467"/>
      <c r="K4" s="2467"/>
      <c r="L4" s="2467"/>
      <c r="M4" s="2467"/>
      <c r="N4" s="596"/>
      <c r="O4" s="2467"/>
      <c r="P4" s="2467"/>
    </row>
    <row r="5" spans="1:16" ht="14.4">
      <c r="A5" s="2611" t="s">
        <v>629</v>
      </c>
      <c r="B5" s="3092" t="s">
        <v>630</v>
      </c>
      <c r="C5" s="3092"/>
      <c r="D5" s="740">
        <f>ROUND($D$3*E5/$E$3,2)</f>
        <v>0</v>
      </c>
      <c r="E5" s="2615">
        <f>SUMIF('数据-基础表'!$11:$11,"住宅",'数据-基础表'!$5:$5)</f>
        <v>0</v>
      </c>
      <c r="F5" s="2467"/>
      <c r="G5" s="2611"/>
      <c r="H5" s="740" t="s">
        <v>626</v>
      </c>
      <c r="I5" s="2260">
        <f>ROUND(E31/D31,2)</f>
        <v>6.25</v>
      </c>
      <c r="J5" s="2467"/>
      <c r="K5" s="2467"/>
      <c r="L5" s="2467"/>
      <c r="M5" s="2467"/>
      <c r="N5" s="2467"/>
      <c r="O5" s="2467"/>
      <c r="P5" s="2467"/>
    </row>
    <row r="6" spans="1:16" ht="14.4">
      <c r="A6" s="2616"/>
      <c r="B6" s="3092" t="s">
        <v>631</v>
      </c>
      <c r="C6" s="3092"/>
      <c r="D6" s="740">
        <f>ROUND($D$3*E6/$E$3,2)</f>
        <v>8176.44</v>
      </c>
      <c r="E6" s="2615">
        <f>E3-E5</f>
        <v>51096.2</v>
      </c>
      <c r="F6" s="2467"/>
      <c r="G6" s="2617" t="s">
        <v>632</v>
      </c>
      <c r="H6" s="2618" t="s">
        <v>628</v>
      </c>
      <c r="I6" s="2658">
        <f>ROUND(F31/D31,2)</f>
        <v>4.72</v>
      </c>
      <c r="J6" s="2467"/>
      <c r="K6" s="2467"/>
      <c r="L6" s="2467"/>
      <c r="M6" s="2467"/>
      <c r="N6" s="2467"/>
      <c r="O6" s="2467"/>
      <c r="P6" s="2467"/>
    </row>
    <row r="7" spans="1:16" ht="14.4">
      <c r="A7" s="3078"/>
      <c r="B7" s="3079"/>
      <c r="C7" s="3080"/>
      <c r="D7" s="2612" t="s">
        <v>622</v>
      </c>
      <c r="E7" s="2619" t="s">
        <v>633</v>
      </c>
      <c r="F7" s="2467"/>
      <c r="G7" s="2620" t="s">
        <v>634</v>
      </c>
      <c r="H7" s="2588"/>
      <c r="I7" s="2659">
        <f>I6</f>
        <v>4.72</v>
      </c>
      <c r="J7" s="2467"/>
      <c r="K7" s="2467"/>
      <c r="L7" s="2467"/>
      <c r="M7" s="2467"/>
      <c r="N7" s="2467"/>
      <c r="O7" s="2467"/>
      <c r="P7" s="2467"/>
    </row>
    <row r="8" spans="1:16" ht="14.4">
      <c r="A8" s="2611" t="s">
        <v>635</v>
      </c>
      <c r="B8" s="2618" t="s">
        <v>636</v>
      </c>
      <c r="C8" s="740" t="s">
        <v>637</v>
      </c>
      <c r="D8" s="740">
        <f t="shared" ref="D8:D15" si="0">ROUND($D$3*E8/$E$3,2)</f>
        <v>6178.98</v>
      </c>
      <c r="E8" s="2621">
        <f>SUMIF('数据-基础表'!BB10:BK10,"地上",'数据-基础表'!BB5:BK5)</f>
        <v>38613.699999999997</v>
      </c>
      <c r="F8" s="2467"/>
      <c r="G8" s="2467"/>
      <c r="H8" s="2467"/>
      <c r="I8" s="2467"/>
      <c r="J8" s="2467"/>
      <c r="K8" s="2467"/>
      <c r="L8" s="2467"/>
      <c r="M8" s="2467"/>
      <c r="N8" s="2467"/>
      <c r="O8" s="2467"/>
      <c r="P8" s="2467"/>
    </row>
    <row r="9" spans="1:16" ht="14.4">
      <c r="A9" s="2617"/>
      <c r="B9" s="2622"/>
      <c r="C9" s="740" t="s">
        <v>638</v>
      </c>
      <c r="D9" s="740">
        <f t="shared" si="0"/>
        <v>0</v>
      </c>
      <c r="E9" s="2623">
        <v>0</v>
      </c>
      <c r="F9" s="2467"/>
      <c r="G9" s="2467"/>
      <c r="H9" s="2467"/>
      <c r="I9" s="2467"/>
      <c r="J9" s="2467"/>
      <c r="K9" s="2467"/>
      <c r="L9" s="2467"/>
      <c r="M9" s="2467"/>
      <c r="N9" s="2467"/>
      <c r="O9" s="2467"/>
      <c r="P9" s="2467"/>
    </row>
    <row r="10" spans="1:16" ht="14.4">
      <c r="A10" s="2617"/>
      <c r="B10" s="2622"/>
      <c r="C10" s="740" t="s">
        <v>639</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ht="14.4">
      <c r="A11" s="2617"/>
      <c r="B11" s="2622"/>
      <c r="C11" s="740" t="s">
        <v>640</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ht="14.4">
      <c r="A12" s="2617"/>
      <c r="B12" s="2622"/>
      <c r="C12" s="740" t="s">
        <v>641</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ht="14.4">
      <c r="A13" s="2617"/>
      <c r="B13" s="2622"/>
      <c r="C13" s="740" t="s">
        <v>642</v>
      </c>
      <c r="D13" s="740">
        <f t="shared" si="0"/>
        <v>353.37</v>
      </c>
      <c r="E13" s="2621">
        <f>SUMPRODUCT(('数据-基础表'!BB10:BK10="地下")*('数据-基础表'!BB11:BK11="车库")*('数据-基础表'!BB5:BK5))</f>
        <v>2208.2499999999995</v>
      </c>
      <c r="F13" s="2467"/>
      <c r="G13" s="2467"/>
      <c r="H13" s="2467"/>
      <c r="I13" s="2467"/>
      <c r="J13" s="2467"/>
      <c r="K13" s="2467"/>
      <c r="L13" s="2467"/>
      <c r="M13" s="2467"/>
      <c r="N13" s="2467"/>
      <c r="O13" s="2467"/>
      <c r="P13" s="2467"/>
    </row>
    <row r="14" spans="1:16" ht="14.4">
      <c r="A14" s="2617"/>
      <c r="B14" s="2622"/>
      <c r="C14" s="740" t="s">
        <v>643</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ht="14.4">
      <c r="A15" s="2617"/>
      <c r="B15" s="2622"/>
      <c r="C15" s="740" t="s">
        <v>644</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ht="14.4">
      <c r="A16" s="2616"/>
      <c r="B16" s="2622"/>
      <c r="C16" s="2618" t="s">
        <v>645</v>
      </c>
      <c r="D16" s="2618">
        <f>SUM(D8:D15)</f>
        <v>8023.73</v>
      </c>
      <c r="E16" s="2624">
        <f>SUM(E8:E15)</f>
        <v>50141.899999999994</v>
      </c>
      <c r="F16" s="2467"/>
      <c r="G16" s="2467"/>
      <c r="H16" s="2625" t="s">
        <v>646</v>
      </c>
      <c r="I16" s="2660"/>
      <c r="J16" s="790"/>
      <c r="K16" s="3081" t="s">
        <v>646</v>
      </c>
      <c r="L16" s="3082"/>
      <c r="M16" s="3082"/>
      <c r="N16" s="3082"/>
      <c r="O16" s="3082"/>
      <c r="P16" s="3083"/>
    </row>
    <row r="17" spans="1:19" ht="14.4">
      <c r="A17" s="2579" t="s">
        <v>647</v>
      </c>
      <c r="B17" s="2626" t="s">
        <v>648</v>
      </c>
      <c r="C17" s="763" t="s">
        <v>649</v>
      </c>
      <c r="D17" s="2627" t="s">
        <v>622</v>
      </c>
      <c r="E17" s="2628" t="s">
        <v>623</v>
      </c>
      <c r="F17" s="2629"/>
      <c r="G17" s="2630"/>
      <c r="H17" s="2631" t="s">
        <v>650</v>
      </c>
      <c r="I17" s="2661" t="s">
        <v>651</v>
      </c>
      <c r="J17" s="790"/>
      <c r="K17" s="3084" t="s">
        <v>652</v>
      </c>
      <c r="L17" s="3085"/>
      <c r="M17" s="3086"/>
      <c r="N17" s="3084" t="s">
        <v>653</v>
      </c>
      <c r="O17" s="3085"/>
      <c r="P17" s="3086"/>
      <c r="R17" s="2331" t="s">
        <v>654</v>
      </c>
      <c r="S17" s="728"/>
    </row>
    <row r="18" spans="1:19" ht="14.4">
      <c r="A18" s="2617"/>
      <c r="B18" s="2632"/>
      <c r="C18" s="731"/>
      <c r="D18" s="2633"/>
      <c r="E18" s="2634" t="s">
        <v>655</v>
      </c>
      <c r="F18" s="2635" t="s">
        <v>628</v>
      </c>
      <c r="G18" s="2636" t="s">
        <v>656</v>
      </c>
      <c r="H18" s="2583" t="s">
        <v>657</v>
      </c>
      <c r="I18" s="2662" t="s">
        <v>658</v>
      </c>
      <c r="J18" s="790"/>
      <c r="K18" s="2583" t="s">
        <v>659</v>
      </c>
      <c r="L18" s="960" t="s">
        <v>660</v>
      </c>
      <c r="M18" s="2260" t="s">
        <v>661</v>
      </c>
      <c r="N18" s="2583" t="s">
        <v>659</v>
      </c>
      <c r="O18" s="960" t="s">
        <v>660</v>
      </c>
      <c r="P18" s="2260" t="s">
        <v>661</v>
      </c>
      <c r="R18" s="740" t="s">
        <v>657</v>
      </c>
      <c r="S18" s="740" t="s">
        <v>658</v>
      </c>
    </row>
    <row r="19" spans="1:19" ht="14.4">
      <c r="A19" s="2637"/>
      <c r="B19" s="2618" t="s">
        <v>662</v>
      </c>
      <c r="C19" s="2638" t="s">
        <v>447</v>
      </c>
      <c r="D19" s="740">
        <f>ROUND($D$3*E19/$E$3,2)</f>
        <v>8023.73</v>
      </c>
      <c r="E19" s="2639">
        <f t="shared" ref="E19:E26" si="1">SUM(F19:G19)</f>
        <v>50141.899999999994</v>
      </c>
      <c r="F19" s="2640">
        <f>'数据-基础表'!I18</f>
        <v>38613.699999999997</v>
      </c>
      <c r="G19" s="776">
        <f>'数据-基础表'!K18+'数据-基础表'!M18</f>
        <v>11528.2</v>
      </c>
      <c r="H19" s="2570">
        <f>ROUND($D$3*I19/$E$3,2)</f>
        <v>152.71</v>
      </c>
      <c r="I19" s="2621">
        <f t="shared" ref="I19:I26" si="2">IF($I$17="自定义",P19,M19)</f>
        <v>954.3</v>
      </c>
      <c r="J19" s="790"/>
      <c r="K19" s="2570">
        <f t="shared" ref="K19:K26" si="3">ROUND(E$28*E19/E$27,2)</f>
        <v>954.3</v>
      </c>
      <c r="L19" s="740">
        <f t="shared" ref="L19:L26" si="4">ROUND(IF(COUNTIF(C19,"*住宅*")&gt;0,E$29*E19/E$32,0),2)</f>
        <v>0</v>
      </c>
      <c r="M19" s="2621">
        <f>K19+L19</f>
        <v>954.3</v>
      </c>
      <c r="N19" s="2566"/>
      <c r="O19" s="2663"/>
      <c r="P19" s="2621">
        <f>N19+O19</f>
        <v>0</v>
      </c>
      <c r="R19" s="740">
        <f t="shared" ref="R19:S26" si="5">D19+H19</f>
        <v>8176.44</v>
      </c>
      <c r="S19" s="2639">
        <f t="shared" si="5"/>
        <v>51096.2</v>
      </c>
    </row>
    <row r="20" spans="1:19" ht="14.4">
      <c r="A20" s="2637"/>
      <c r="B20" s="2618" t="s">
        <v>662</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ht="14.4">
      <c r="A21" s="2637"/>
      <c r="B21" s="2618" t="s">
        <v>662</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ht="14.4">
      <c r="A22" s="2637"/>
      <c r="B22" s="2618" t="s">
        <v>662</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ht="14.4">
      <c r="A23" s="2637"/>
      <c r="B23" s="2618" t="s">
        <v>662</v>
      </c>
      <c r="C23" s="2642"/>
      <c r="D23" s="740">
        <f t="shared" si="6"/>
        <v>0</v>
      </c>
      <c r="E23" s="2639">
        <f t="shared" si="1"/>
        <v>0</v>
      </c>
      <c r="F23" s="2643"/>
      <c r="G23" s="2644"/>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ht="14.4">
      <c r="A24" s="2637"/>
      <c r="B24" s="2618" t="s">
        <v>662</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ht="14.4">
      <c r="A25" s="2637"/>
      <c r="B25" s="2618" t="s">
        <v>662</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ht="14.4">
      <c r="A26" s="2637"/>
      <c r="B26" s="2618" t="s">
        <v>662</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ht="14.4">
      <c r="A27" s="2637"/>
      <c r="B27" s="740"/>
      <c r="C27" s="950" t="s">
        <v>663</v>
      </c>
      <c r="D27" s="2646">
        <f>SUM(D19:D26)</f>
        <v>8023.73</v>
      </c>
      <c r="E27" s="2647">
        <f>IF(SUM(E19:E26)='数据-基础表'!BA5,SUM(E19:E26),IF(F27="地上面积有误","面积有误","地下面积有误"))</f>
        <v>50141.899999999994</v>
      </c>
      <c r="F27" s="2646">
        <f>IF(SUM(F19:F26)=E8,SUM(F19:F26),"地上面积有误")</f>
        <v>38613.699999999997</v>
      </c>
      <c r="G27" s="2648">
        <f>SUM(G19:G26)</f>
        <v>11528.2</v>
      </c>
      <c r="H27" s="2649">
        <f>SUM(H19:H26)</f>
        <v>152.71</v>
      </c>
      <c r="I27" s="2666">
        <f>SUM(I19:I26)</f>
        <v>954.3</v>
      </c>
      <c r="J27" s="790"/>
      <c r="K27" s="2667">
        <f>SUM(K19:K26)</f>
        <v>954.3</v>
      </c>
      <c r="L27" s="2338">
        <f>SUM(L19:L26)</f>
        <v>0</v>
      </c>
      <c r="M27" s="2668">
        <f>SUM(M19:M26)</f>
        <v>954.3</v>
      </c>
      <c r="N27" s="2667">
        <f t="shared" ref="N27:P27" si="10">SUM(N19:N26)</f>
        <v>0</v>
      </c>
      <c r="O27" s="2338">
        <f t="shared" si="10"/>
        <v>0</v>
      </c>
      <c r="P27" s="2587">
        <f t="shared" si="10"/>
        <v>0</v>
      </c>
      <c r="R27" s="2601">
        <f>IF(SUM(R19:R26)=$D$3,SUM(R19:R26),SUM(R19:R26)&amp;"误差"&amp;ROUND(SUM(R19:R26)-$D$3,2))</f>
        <v>8176.44</v>
      </c>
      <c r="S27" s="740">
        <f>IF(SUM(S19:S26)=$E$3,SUM(S19:S26),SUM(S19:S26)&amp;"误差"&amp;ROUND(SUM(S19:S26)-E3,2))</f>
        <v>51096.2</v>
      </c>
    </row>
    <row r="28" spans="1:19" ht="14.4">
      <c r="A28" s="2637"/>
      <c r="B28" s="2618" t="s">
        <v>664</v>
      </c>
      <c r="C28" s="728" t="s">
        <v>665</v>
      </c>
      <c r="D28" s="740">
        <f>ROUND($D$3*E28/$E$3,2)</f>
        <v>152.71</v>
      </c>
      <c r="E28" s="2639">
        <f>SUM(F28:G28)</f>
        <v>954.3</v>
      </c>
      <c r="F28" s="728">
        <f>'数据-基础表'!BQ5+'数据-基础表'!BS5</f>
        <v>0</v>
      </c>
      <c r="G28" s="2355">
        <f>'数据-基础表'!BR5+'数据-基础表'!BT5</f>
        <v>954.3</v>
      </c>
      <c r="H28" s="2467"/>
      <c r="I28" s="2467"/>
      <c r="J28" s="2467"/>
      <c r="K28" s="2467"/>
      <c r="L28" s="2467"/>
      <c r="M28" s="2467"/>
      <c r="N28" s="2467"/>
      <c r="O28" s="2467"/>
      <c r="P28" s="2467"/>
    </row>
    <row r="29" spans="1:19" ht="14.4">
      <c r="A29" s="2637"/>
      <c r="B29" s="2618" t="s">
        <v>664</v>
      </c>
      <c r="C29" s="788" t="s">
        <v>666</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ht="14.4">
      <c r="A30" s="2637"/>
      <c r="B30" s="2618"/>
      <c r="C30" s="2651" t="s">
        <v>663</v>
      </c>
      <c r="D30" s="2646">
        <f>SUM(D28:D29)</f>
        <v>152.71</v>
      </c>
      <c r="E30" s="2646">
        <f>SUM(E28:E29)</f>
        <v>954.3</v>
      </c>
      <c r="F30" s="2646">
        <f>SUM(F28:F29)</f>
        <v>0</v>
      </c>
      <c r="G30" s="2648">
        <f>SUM(G28:G29)</f>
        <v>954.3</v>
      </c>
      <c r="H30" s="2467"/>
      <c r="I30" s="2467"/>
      <c r="J30" s="2467"/>
      <c r="K30" s="2467"/>
      <c r="L30" s="2467"/>
      <c r="M30" s="2467"/>
      <c r="N30" s="2467"/>
      <c r="O30" s="2467"/>
      <c r="P30" s="2467"/>
    </row>
    <row r="31" spans="1:19" ht="14.4">
      <c r="A31" s="2652"/>
      <c r="B31" s="2578"/>
      <c r="C31" s="2338" t="s">
        <v>667</v>
      </c>
      <c r="D31" s="2653">
        <f>D27+D30</f>
        <v>8176.44</v>
      </c>
      <c r="E31" s="2653">
        <f>E27+E30</f>
        <v>51096.2</v>
      </c>
      <c r="F31" s="2654">
        <f>F27+F30</f>
        <v>38613.699999999997</v>
      </c>
      <c r="G31" s="2655">
        <f>G27+G30</f>
        <v>12482.5</v>
      </c>
      <c r="H31" s="2467"/>
      <c r="I31" s="2467"/>
      <c r="J31" s="2467"/>
      <c r="K31" s="2467"/>
      <c r="L31" s="2467"/>
      <c r="M31" s="2467"/>
      <c r="N31" s="2467"/>
      <c r="O31" s="2467"/>
      <c r="P31" s="2467"/>
    </row>
    <row r="32" spans="1:19" ht="14.4">
      <c r="A32" s="2632"/>
      <c r="B32" s="2632" t="s">
        <v>668</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0.24429409623416223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18" sqref="N18"/>
    </sheetView>
  </sheetViews>
  <sheetFormatPr defaultColWidth="13.77734375" defaultRowHeight="13.2"/>
  <cols>
    <col min="1" max="1" width="20.88671875" style="2431" customWidth="1"/>
    <col min="2" max="2" width="12" style="714" customWidth="1"/>
    <col min="3" max="3" width="12.77734375" style="714" customWidth="1"/>
    <col min="4" max="4" width="9.109375" style="2432" customWidth="1"/>
    <col min="5" max="5" width="15" style="714" customWidth="1"/>
    <col min="6" max="10" width="8.88671875" style="714" customWidth="1"/>
    <col min="11" max="12" width="12.33203125" style="2433" customWidth="1"/>
    <col min="13" max="13" width="8.6640625" style="714" customWidth="1"/>
    <col min="14" max="14" width="11.88671875" style="714" customWidth="1"/>
    <col min="15" max="15" width="8.44140625" style="714" customWidth="1"/>
    <col min="16" max="17" width="10.88671875" style="714" customWidth="1"/>
    <col min="18" max="19" width="12.44140625" style="714" customWidth="1"/>
    <col min="20" max="20" width="12.109375" style="714" customWidth="1"/>
    <col min="21" max="21" width="7.44140625" style="714" customWidth="1"/>
    <col min="22" max="22" width="6.33203125" style="714" customWidth="1"/>
    <col min="23" max="30" width="6.77734375" style="714" customWidth="1"/>
    <col min="31" max="31" width="8" style="714" customWidth="1"/>
    <col min="32" max="34" width="7.21875" style="714" customWidth="1"/>
    <col min="35" max="39" width="8" style="714" customWidth="1"/>
    <col min="40" max="40" width="13.77734375" style="711"/>
    <col min="41" max="41" width="11.6640625" style="711" customWidth="1"/>
    <col min="42" max="42" width="9.77734375" style="711" customWidth="1"/>
    <col min="43" max="67" width="13.77734375" style="711"/>
    <col min="68" max="16384" width="13.77734375" style="714"/>
  </cols>
  <sheetData>
    <row r="1" spans="1:67" ht="17.399999999999999">
      <c r="A1" s="2434" t="s">
        <v>669</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4.4">
      <c r="A2" s="2436" t="s">
        <v>670</v>
      </c>
      <c r="B2" s="2437">
        <f>项目基本情况!D3</f>
        <v>44904</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3.8">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4">
      <c r="A4" s="459" t="s">
        <v>671</v>
      </c>
      <c r="B4" s="749"/>
      <c r="C4" s="2440"/>
      <c r="D4" s="2441"/>
      <c r="E4" s="2440" t="s">
        <v>672</v>
      </c>
      <c r="F4" s="2440"/>
      <c r="G4" s="2440"/>
      <c r="H4" s="2440"/>
      <c r="I4" s="2440"/>
      <c r="J4" s="786"/>
      <c r="K4" s="2531"/>
      <c r="L4" s="2532"/>
      <c r="M4" s="2440"/>
      <c r="N4" s="2440" t="s">
        <v>673</v>
      </c>
      <c r="O4" s="2440"/>
      <c r="P4" s="2440"/>
      <c r="Q4" s="2440"/>
      <c r="R4" s="2440"/>
      <c r="S4" s="786"/>
      <c r="T4" s="2554" t="str">
        <f>'数据-汇总表'!I17</f>
        <v>按面积比例</v>
      </c>
      <c r="U4" s="749" t="s">
        <v>674</v>
      </c>
      <c r="V4" s="2440"/>
      <c r="W4" s="2440"/>
      <c r="X4" s="2440"/>
      <c r="Y4" s="786"/>
      <c r="Z4" s="763" t="s">
        <v>675</v>
      </c>
      <c r="AA4" s="763"/>
      <c r="AB4" s="763"/>
      <c r="AC4" s="763"/>
      <c r="AD4" s="763"/>
      <c r="AE4" s="2579" t="s">
        <v>676</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57.6">
      <c r="A5" s="2442" t="s">
        <v>649</v>
      </c>
      <c r="B5" s="2443" t="s">
        <v>648</v>
      </c>
      <c r="C5" s="2444" t="s">
        <v>677</v>
      </c>
      <c r="D5" s="2445" t="s">
        <v>678</v>
      </c>
      <c r="E5" s="583" t="s">
        <v>679</v>
      </c>
      <c r="F5" s="2446" t="s">
        <v>680</v>
      </c>
      <c r="G5" s="583" t="s">
        <v>681</v>
      </c>
      <c r="H5" s="583" t="s">
        <v>682</v>
      </c>
      <c r="I5" s="583" t="s">
        <v>683</v>
      </c>
      <c r="J5" s="1866" t="s">
        <v>684</v>
      </c>
      <c r="K5" s="2533" t="s">
        <v>658</v>
      </c>
      <c r="L5" s="2534" t="s">
        <v>685</v>
      </c>
      <c r="M5" s="2535" t="s">
        <v>686</v>
      </c>
      <c r="N5" s="2536" t="s">
        <v>687</v>
      </c>
      <c r="O5" s="2534" t="s">
        <v>688</v>
      </c>
      <c r="P5" s="2537" t="s">
        <v>689</v>
      </c>
      <c r="Q5" s="1869" t="s">
        <v>690</v>
      </c>
      <c r="R5" s="2555" t="s">
        <v>691</v>
      </c>
      <c r="S5" s="2556" t="s">
        <v>692</v>
      </c>
      <c r="T5" s="2557" t="s">
        <v>693</v>
      </c>
      <c r="U5" s="2558" t="s">
        <v>694</v>
      </c>
      <c r="V5" s="583" t="s">
        <v>695</v>
      </c>
      <c r="W5" s="583" t="s">
        <v>696</v>
      </c>
      <c r="X5" s="1741"/>
      <c r="Y5" s="462" t="s">
        <v>697</v>
      </c>
      <c r="Z5" s="1831" t="s">
        <v>694</v>
      </c>
      <c r="AA5" s="583" t="s">
        <v>695</v>
      </c>
      <c r="AB5" s="583" t="s">
        <v>696</v>
      </c>
      <c r="AC5" s="1741"/>
      <c r="AD5" s="1741" t="s">
        <v>697</v>
      </c>
      <c r="AE5" s="2558" t="s">
        <v>698</v>
      </c>
      <c r="AF5" s="583" t="s">
        <v>699</v>
      </c>
      <c r="AG5" s="462" t="s">
        <v>700</v>
      </c>
      <c r="AH5" s="2558" t="s">
        <v>701</v>
      </c>
      <c r="AI5" s="1831" t="s">
        <v>702</v>
      </c>
      <c r="AJ5" s="1831" t="s">
        <v>703</v>
      </c>
      <c r="AK5" s="583" t="s">
        <v>704</v>
      </c>
      <c r="AL5" s="583" t="s">
        <v>705</v>
      </c>
      <c r="AM5" s="462" t="s">
        <v>706</v>
      </c>
      <c r="AN5" s="2590" t="s">
        <v>707</v>
      </c>
      <c r="AO5" s="2600" t="s">
        <v>708</v>
      </c>
      <c r="AP5" s="2601" t="s">
        <v>709</v>
      </c>
      <c r="AQ5" s="2602" t="s">
        <v>710</v>
      </c>
      <c r="AR5" s="2602" t="s">
        <v>711</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3.8">
      <c r="A6" s="2447" t="str">
        <f>'数据-汇总表'!C19</f>
        <v>办公</v>
      </c>
      <c r="B6" s="2448" t="str">
        <f>IF(A6=0,"","经营性")</f>
        <v>经营性</v>
      </c>
      <c r="C6" s="2449" t="s">
        <v>447</v>
      </c>
      <c r="D6" s="2450">
        <f>SUMIF(项目基本情况!D$12:I$12,C6,项目基本情况!D$14:I$14)</f>
        <v>50</v>
      </c>
      <c r="E6" s="2451">
        <f>IF(B6="","",SUMIF(项目基本情况!D$12:I$12,C6,项目基本情况!D$13:I$13))</f>
        <v>55969</v>
      </c>
      <c r="F6" s="2452">
        <f>SUMIF(项目基本情况!D$12:I$12,C6,项目基本情况!D$15:I$15)</f>
        <v>30.31</v>
      </c>
      <c r="G6" s="2453">
        <f>IF(ISERROR(ROUND(POWER(1+H6,D6-F6)*(POWER(1+H6,F6)-1)/(POWER(1+H6,D6)-1),3)),0,ROUND(POWER(1+H6,D6-F6)*(POWER(1+H6,F6)-1)/(POWER(1+H6,D6)-1),3))</f>
        <v>0.82799999999999996</v>
      </c>
      <c r="H6" s="2454">
        <v>4.4999999999999998E-2</v>
      </c>
      <c r="I6" s="2454">
        <v>5.5E-2</v>
      </c>
      <c r="J6" s="2455">
        <v>8.5000000000000006E-2</v>
      </c>
      <c r="K6" s="2538">
        <f>SUMIF('数据-汇总表'!C$19:C$33,A6,'数据-汇总表'!E$19:E$33)</f>
        <v>50141.899999999994</v>
      </c>
      <c r="L6" s="2539">
        <v>4800</v>
      </c>
      <c r="M6" s="2540">
        <f t="shared" ref="M6:M14" si="0">ROUND(K6*L6/10000,0)</f>
        <v>24068</v>
      </c>
      <c r="N6" s="2541">
        <f>(N18+N19)/2</f>
        <v>0.81</v>
      </c>
      <c r="O6" s="2540" t="str">
        <f>IF($N$5="成新度","——",ROUND(M6*N6,0))</f>
        <v>——</v>
      </c>
      <c r="P6" s="597" t="str">
        <f>IF($N$5="成新度","——",M6-O6)</f>
        <v>——</v>
      </c>
      <c r="Q6" s="2559">
        <v>0.2</v>
      </c>
      <c r="R6" s="2560">
        <f ca="1">SUMIF('数据-汇总表'!C$19:C$33,A6,'数据-汇总表'!R$19:R$27)</f>
        <v>8176.44</v>
      </c>
      <c r="S6" s="2561">
        <f>IF('数据-汇总表'!$I$17="按面积比例",SUMIF('数据-汇总表'!C$19:C$33,A6,'数据-汇总表'!K$19:K$33),SUMIF('数据-汇总表'!C$19:C$33,A6,'数据-汇总表'!N$19:N$33))</f>
        <v>954.3</v>
      </c>
      <c r="T6" s="2562">
        <f>ROUND($L$14*S6/10000,0)</f>
        <v>458</v>
      </c>
      <c r="U6" s="2563">
        <v>9</v>
      </c>
      <c r="V6" s="2564">
        <v>0.03</v>
      </c>
      <c r="W6" s="2564">
        <v>0.1</v>
      </c>
      <c r="X6" s="2565"/>
      <c r="Y6" s="2580">
        <f>N6</f>
        <v>0.81</v>
      </c>
      <c r="Z6" s="2581"/>
      <c r="AA6" s="2455"/>
      <c r="AB6" s="2455"/>
      <c r="AC6" s="2565"/>
      <c r="AD6" s="2582"/>
      <c r="AE6" s="2583">
        <f ca="1">IF(AN6="",0,SUMIF(INDIRECT("'"&amp;AN6&amp;"'"&amp;"!E:E"),$AE$5,INDIRECT("'"&amp;AN6&amp;"'"&amp;"!F:F")))</f>
        <v>30.31</v>
      </c>
      <c r="AF6" s="725"/>
      <c r="AG6" s="742">
        <f>IF(AF6="",0,AE6-AF6)</f>
        <v>0</v>
      </c>
      <c r="AH6" s="2568"/>
      <c r="AI6" s="2591">
        <v>365</v>
      </c>
      <c r="AJ6" s="725"/>
      <c r="AK6" s="2592">
        <v>0.01</v>
      </c>
      <c r="AL6" s="2593">
        <v>1E-3</v>
      </c>
      <c r="AM6" s="2594">
        <v>0.01</v>
      </c>
      <c r="AN6" s="2595" t="s">
        <v>712</v>
      </c>
      <c r="AO6" s="677">
        <f ca="1">SUMIF(INDIRECT("'"&amp;AN6&amp;"'"&amp;"!A:A"),"总价",INDIRECT("'"&amp;AN6&amp;"'"&amp;"!B:B"))</f>
        <v>245580</v>
      </c>
      <c r="AP6" s="2603">
        <f>IF(C6="住宅",K6*L6,0)</f>
        <v>0</v>
      </c>
      <c r="AQ6" s="677">
        <f>ROUND($L$14*$N$14*S6/10000,0)</f>
        <v>371</v>
      </c>
      <c r="AR6" s="677">
        <f>ROUND($L$14*(1-$N$14)*S6/10000,0)</f>
        <v>87</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3.8">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v>365</v>
      </c>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3.8">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v>12</v>
      </c>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3.8">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3.8">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3.8">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3.8">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3.8">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4">
      <c r="A14" s="2456" t="s">
        <v>665</v>
      </c>
      <c r="B14" s="2448" t="s">
        <v>664</v>
      </c>
      <c r="C14" s="2457" t="s">
        <v>665</v>
      </c>
      <c r="D14" s="2450"/>
      <c r="E14" s="2451"/>
      <c r="F14" s="2452"/>
      <c r="G14" s="2453"/>
      <c r="H14" s="2458"/>
      <c r="I14" s="2458"/>
      <c r="J14" s="2458"/>
      <c r="K14" s="2538">
        <f>SUMIF('数据-汇总表'!C$19:C$33,A14,'数据-汇总表'!E$19:E$33)</f>
        <v>954.3</v>
      </c>
      <c r="L14" s="2543">
        <f>L6</f>
        <v>4800</v>
      </c>
      <c r="M14" s="2540">
        <f t="shared" si="0"/>
        <v>458</v>
      </c>
      <c r="N14" s="2545">
        <f>N6</f>
        <v>0.81</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8.8">
      <c r="A15" s="2456" t="s">
        <v>666</v>
      </c>
      <c r="B15" s="2448" t="s">
        <v>664</v>
      </c>
      <c r="C15" s="2457" t="s">
        <v>713</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4.4">
      <c r="A16" s="2459" t="s">
        <v>667</v>
      </c>
      <c r="B16" s="2460"/>
      <c r="C16" s="2336"/>
      <c r="D16" s="2461"/>
      <c r="E16" s="2460"/>
      <c r="F16" s="2460"/>
      <c r="G16" s="2462">
        <f>ROUND(SUMPRODUCT(G6:G13,K6:K13)/SUMPRODUCT((G6:G13&gt;0)*(K6:K13)),3)</f>
        <v>0.82799999999999996</v>
      </c>
      <c r="H16" s="2463">
        <f>ROUND(SUMPRODUCT(H6:H13,K6:K13)/SUMPRODUCT((H6:H13&gt;0)*(K6:K13)),3)</f>
        <v>4.4999999999999998E-2</v>
      </c>
      <c r="I16" s="2548"/>
      <c r="J16" s="2548"/>
      <c r="K16" s="2549">
        <f>SUM(K6:K15)</f>
        <v>51096.2</v>
      </c>
      <c r="L16" s="2550">
        <f>ROUND(M16*10000/SUM(K6:K14),0)</f>
        <v>4800</v>
      </c>
      <c r="M16" s="2550">
        <f>SUM(M6:M14)</f>
        <v>24526</v>
      </c>
      <c r="N16" s="2551">
        <f>ROUND(SUMPRODUCT(M6:M14,N6:N14)/M16,3)</f>
        <v>0.81</v>
      </c>
      <c r="O16" s="2550">
        <f>SUM(O6:O14)</f>
        <v>0</v>
      </c>
      <c r="P16" s="2550">
        <f>SUM(P6:P14)</f>
        <v>0</v>
      </c>
      <c r="Q16" s="2573">
        <f>ROUND(SUMPRODUCT(Q6:Q13,K6:K13)/SUMPRODUCT((Q6:Q13&gt;0)*(K6:K13)),2)</f>
        <v>0.2</v>
      </c>
      <c r="R16" s="2574">
        <f ca="1">SUM(R6:R13)</f>
        <v>8176.44</v>
      </c>
      <c r="S16" s="2575">
        <f>SUM(S6:S13)</f>
        <v>954.3</v>
      </c>
      <c r="T16" s="2576">
        <f>IF(SUMIF(T6:T13,"&lt;9E307")=M14,SUMIF(T6:T13,"&lt;9E307"),"有误，请检查")</f>
        <v>458</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4">
      <c r="A18" s="459" t="s">
        <v>714</v>
      </c>
      <c r="B18" s="2466"/>
      <c r="C18" s="2467"/>
      <c r="D18" s="2468"/>
      <c r="E18" s="2467"/>
      <c r="F18" s="2467"/>
      <c r="G18" s="2467"/>
      <c r="H18" s="2467"/>
      <c r="I18" s="2467"/>
      <c r="J18" s="2467"/>
      <c r="K18" s="2552"/>
      <c r="L18" s="2552"/>
      <c r="M18" s="2280"/>
      <c r="N18" s="2280">
        <f>ROUND(1-(1-0%)*(2022-2005)/60,2)</f>
        <v>0.72</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4">
      <c r="A19" s="2469" t="s">
        <v>715</v>
      </c>
      <c r="B19" s="2470">
        <v>0</v>
      </c>
      <c r="C19" s="2471" t="s">
        <v>716</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4">
      <c r="A20" s="2472" t="s">
        <v>717</v>
      </c>
      <c r="B20" s="2473">
        <v>3</v>
      </c>
      <c r="C20" s="2474" t="s">
        <v>718</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4">
      <c r="A21" s="2475" t="s">
        <v>719</v>
      </c>
      <c r="B21" s="2473">
        <f>B20</f>
        <v>3</v>
      </c>
      <c r="C21" s="2467"/>
      <c r="D21" s="2468"/>
      <c r="E21" s="2467"/>
      <c r="F21" s="2467"/>
      <c r="G21" s="2467"/>
      <c r="H21" s="2467"/>
      <c r="I21" s="2467"/>
      <c r="J21" s="2467"/>
      <c r="K21" s="2552"/>
      <c r="L21" s="2280"/>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4">
      <c r="A22" s="2472" t="s">
        <v>720</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4">
      <c r="A23" s="2475" t="s">
        <v>721</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4">
      <c r="A24" s="2477" t="s">
        <v>722</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3.8">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4">
      <c r="A26" s="2436" t="s">
        <v>723</v>
      </c>
      <c r="B26" s="2479" t="s">
        <v>724</v>
      </c>
      <c r="C26" s="2480" t="s">
        <v>725</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8.8">
      <c r="A27" s="2481" t="s">
        <v>726</v>
      </c>
      <c r="B27" s="2482">
        <v>160</v>
      </c>
      <c r="C27" s="2483" t="s">
        <v>727</v>
      </c>
      <c r="D27" s="2484"/>
      <c r="E27" s="596"/>
      <c r="F27" s="596"/>
      <c r="G27" s="2467"/>
      <c r="H27" s="2467"/>
      <c r="I27" s="2467"/>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8.8">
      <c r="A28" s="2485" t="s">
        <v>728</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8.8">
      <c r="A29" s="2488" t="s">
        <v>729</v>
      </c>
      <c r="B29" s="2489">
        <f>[2]成本法!C9+[2]成本法!C10</f>
        <v>186</v>
      </c>
      <c r="C29" s="2490" t="s">
        <v>730</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8.8">
      <c r="A30" s="2491" t="s">
        <v>731</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8.8">
      <c r="A31" s="2485" t="s">
        <v>732</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8.8">
      <c r="A32" s="2495" t="s">
        <v>733</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4">
      <c r="A33" s="2481" t="s">
        <v>734</v>
      </c>
      <c r="B33" s="2497">
        <v>0.03</v>
      </c>
      <c r="C33" s="2498" t="s">
        <v>735</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4">
      <c r="A34" s="2485" t="s">
        <v>736</v>
      </c>
      <c r="B34" s="2499">
        <v>0</v>
      </c>
      <c r="C34" s="2498" t="s">
        <v>737</v>
      </c>
      <c r="D34" s="2500" t="s">
        <v>738</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4">
      <c r="A35" s="2485" t="s">
        <v>739</v>
      </c>
      <c r="B35" s="2486">
        <v>200</v>
      </c>
      <c r="C35" s="2498" t="s">
        <v>740</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4">
      <c r="A36" s="2488" t="s">
        <v>741</v>
      </c>
      <c r="B36" s="2501">
        <v>1.4999999999999999E-2</v>
      </c>
      <c r="C36" s="2498" t="s">
        <v>742</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4">
      <c r="A37" s="2491" t="s">
        <v>743</v>
      </c>
      <c r="B37" s="2502">
        <v>1.4999999999999999E-2</v>
      </c>
      <c r="C37" s="2498" t="s">
        <v>744</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4">
      <c r="A38" s="2485" t="s">
        <v>745</v>
      </c>
      <c r="B38" s="2499">
        <v>1.4999999999999999E-2</v>
      </c>
      <c r="C38" s="2498" t="s">
        <v>744</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4">
      <c r="A39" s="2495" t="s">
        <v>746</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7.6">
      <c r="A40" s="2505" t="s">
        <v>747</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4">
      <c r="A41" s="2481" t="s">
        <v>748</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4">
      <c r="A42" s="2509" t="s">
        <v>749</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4">
      <c r="A43" s="2509" t="s">
        <v>750</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4">
      <c r="A44" s="2513" t="s">
        <v>751</v>
      </c>
      <c r="B44" s="2514">
        <v>7.0000000000000007E-2</v>
      </c>
      <c r="C44" s="2498" t="s">
        <v>752</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4">
      <c r="A45" s="2513" t="s">
        <v>753</v>
      </c>
      <c r="B45" s="2510">
        <v>0.03</v>
      </c>
      <c r="C45" s="2490" t="s">
        <v>754</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4">
      <c r="A46" s="2513" t="s">
        <v>755</v>
      </c>
      <c r="B46" s="2510">
        <v>0.02</v>
      </c>
      <c r="C46" s="2490" t="s">
        <v>756</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4">
      <c r="A47" s="2515" t="s">
        <v>757</v>
      </c>
      <c r="B47" s="2516"/>
      <c r="C47" s="2517" t="s">
        <v>758</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4">
      <c r="A48" s="2518" t="s">
        <v>759</v>
      </c>
      <c r="B48" s="2519">
        <v>0.03</v>
      </c>
      <c r="C48" s="2490" t="s">
        <v>754</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4">
      <c r="A49" s="2495" t="s">
        <v>760</v>
      </c>
      <c r="B49" s="2510">
        <v>5.0000000000000001E-4</v>
      </c>
      <c r="C49" s="2490" t="s">
        <v>761</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4">
      <c r="A50" s="2520" t="s">
        <v>762</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4">
      <c r="A51" s="2488" t="s">
        <v>763</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4">
      <c r="A52" s="2520" t="s">
        <v>764</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8.8">
      <c r="A53" s="2485" t="s">
        <v>765</v>
      </c>
      <c r="B53" s="2524" t="s">
        <v>232</v>
      </c>
      <c r="C53" s="596" t="s">
        <v>766</v>
      </c>
      <c r="D53" s="2525" t="s">
        <v>767</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4">
      <c r="A54" s="2526" t="s">
        <v>768</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4">
      <c r="A55" s="2526" t="s">
        <v>769</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4">
      <c r="A56" s="2526" t="s">
        <v>770</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4">
      <c r="A57" s="2526" t="s">
        <v>771</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4">
      <c r="A58" s="2526" t="s">
        <v>772</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4">
      <c r="A59" s="2526" t="s">
        <v>773</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4">
      <c r="A60" s="2526" t="s">
        <v>774</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4">
      <c r="A61" s="2526" t="s">
        <v>775</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4">
      <c r="A62" s="2526" t="s">
        <v>776</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4">
      <c r="A63" s="2528" t="s">
        <v>777</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25"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2373" customWidth="1"/>
    <col min="2" max="3" width="24.44140625" style="1945" customWidth="1"/>
    <col min="4" max="4" width="2.6640625" style="1945" customWidth="1"/>
    <col min="5" max="5" width="5.88671875" style="1945" customWidth="1"/>
    <col min="6" max="7" width="27" style="1945" customWidth="1"/>
    <col min="8" max="8" width="11.88671875" style="2374" customWidth="1"/>
    <col min="9" max="9" width="16.77734375" style="2374" customWidth="1"/>
    <col min="10" max="10" width="2.6640625" style="2374" customWidth="1"/>
    <col min="11" max="11" width="11.88671875" style="2374" customWidth="1"/>
    <col min="12" max="12" width="16.77734375" style="2374" customWidth="1"/>
    <col min="13" max="13" width="2.6640625" style="2374" customWidth="1"/>
    <col min="14" max="14" width="11.88671875" style="2374" customWidth="1"/>
    <col min="15" max="15" width="16.77734375" style="2374" customWidth="1"/>
    <col min="16" max="16" width="2.6640625" style="2374" customWidth="1"/>
    <col min="17" max="17" width="11.88671875" style="2374" customWidth="1"/>
    <col min="18" max="18" width="16.77734375" style="2269" customWidth="1"/>
    <col min="19" max="29" width="9" style="2269"/>
    <col min="30" max="16384" width="9" style="2373"/>
  </cols>
  <sheetData>
    <row r="1" spans="1:29" s="2372" customFormat="1" ht="17.399999999999999">
      <c r="A1" s="3093" t="s">
        <v>778</v>
      </c>
      <c r="B1" s="3094"/>
      <c r="C1" s="3094"/>
      <c r="D1" s="3094"/>
      <c r="E1" s="3094"/>
      <c r="F1" s="3094"/>
      <c r="G1" s="3094"/>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779</v>
      </c>
      <c r="D2" s="2379"/>
      <c r="E2" s="2376"/>
      <c r="F2" s="2380"/>
      <c r="G2" s="2378" t="s">
        <v>780</v>
      </c>
      <c r="H2" s="2269"/>
      <c r="I2" s="2269"/>
      <c r="J2" s="2269"/>
      <c r="K2" s="2269"/>
      <c r="L2" s="2269"/>
      <c r="M2" s="2269"/>
      <c r="N2" s="2269"/>
      <c r="O2" s="2269"/>
      <c r="P2" s="2269"/>
      <c r="Q2" s="2269"/>
    </row>
    <row r="3" spans="1:29" ht="48">
      <c r="A3" s="2381" t="s">
        <v>781</v>
      </c>
      <c r="B3" s="2382" t="s">
        <v>782</v>
      </c>
      <c r="C3" s="2383" t="s">
        <v>783</v>
      </c>
      <c r="D3" s="2384"/>
      <c r="E3" s="2385" t="s">
        <v>781</v>
      </c>
      <c r="F3" s="2386" t="s">
        <v>784</v>
      </c>
      <c r="G3" s="2387" t="s">
        <v>785</v>
      </c>
      <c r="H3" s="2269"/>
      <c r="I3" s="2269"/>
      <c r="J3" s="2269"/>
      <c r="K3" s="2269"/>
      <c r="L3" s="2269"/>
      <c r="M3" s="2269"/>
      <c r="N3" s="2269"/>
      <c r="O3" s="2269"/>
      <c r="P3" s="2269"/>
      <c r="Q3" s="2269"/>
    </row>
    <row r="4" spans="1:29" ht="59.25" customHeight="1">
      <c r="A4" s="2385"/>
      <c r="B4" s="210" t="s">
        <v>786</v>
      </c>
      <c r="C4" s="2388" t="s">
        <v>787</v>
      </c>
      <c r="D4" s="2384"/>
      <c r="E4" s="2389"/>
      <c r="F4" s="287" t="s">
        <v>788</v>
      </c>
      <c r="G4" s="2390" t="s">
        <v>789</v>
      </c>
      <c r="H4" s="2269"/>
      <c r="I4" s="2269"/>
      <c r="J4" s="2269"/>
      <c r="K4" s="2269"/>
      <c r="L4" s="2269"/>
      <c r="M4" s="2269"/>
      <c r="N4" s="2269"/>
      <c r="O4" s="2269"/>
      <c r="P4" s="2269"/>
      <c r="Q4" s="2269"/>
    </row>
    <row r="5" spans="1:29" ht="37.200000000000003">
      <c r="A5" s="2385"/>
      <c r="B5" s="210" t="s">
        <v>790</v>
      </c>
      <c r="C5" s="2388" t="s">
        <v>791</v>
      </c>
      <c r="D5" s="2384"/>
      <c r="E5" s="2389"/>
      <c r="F5" s="210" t="s">
        <v>590</v>
      </c>
      <c r="G5" s="2390" t="s">
        <v>792</v>
      </c>
      <c r="H5" s="2269"/>
      <c r="I5" s="2269"/>
      <c r="J5" s="2269"/>
      <c r="K5" s="2269"/>
      <c r="L5" s="2269"/>
      <c r="M5" s="2269"/>
      <c r="N5" s="2269"/>
      <c r="O5" s="2269"/>
      <c r="P5" s="2269"/>
      <c r="Q5" s="2269"/>
    </row>
    <row r="6" spans="1:29" ht="48">
      <c r="A6" s="2385"/>
      <c r="B6" s="210" t="s">
        <v>788</v>
      </c>
      <c r="C6" s="2391" t="s">
        <v>793</v>
      </c>
      <c r="D6" s="2384"/>
      <c r="E6" s="2389"/>
      <c r="F6" s="210" t="s">
        <v>794</v>
      </c>
      <c r="G6" s="2390" t="s">
        <v>795</v>
      </c>
      <c r="H6" s="2269"/>
      <c r="I6" s="2269"/>
      <c r="J6" s="2269"/>
      <c r="K6" s="2269"/>
      <c r="L6" s="2269"/>
      <c r="M6" s="2269"/>
      <c r="N6" s="2269"/>
      <c r="O6" s="2269"/>
      <c r="P6" s="2269"/>
      <c r="Q6" s="2269"/>
    </row>
    <row r="7" spans="1:29" ht="36">
      <c r="A7" s="2385"/>
      <c r="B7" s="210" t="s">
        <v>590</v>
      </c>
      <c r="C7" s="2391" t="s">
        <v>796</v>
      </c>
      <c r="D7" s="2392"/>
      <c r="E7" s="2393"/>
      <c r="F7" s="2394" t="s">
        <v>797</v>
      </c>
      <c r="G7" s="2395" t="s">
        <v>798</v>
      </c>
      <c r="H7" s="2269"/>
      <c r="I7" s="2269"/>
      <c r="J7" s="2269"/>
      <c r="K7" s="2269"/>
      <c r="L7" s="2269"/>
      <c r="M7" s="2269"/>
      <c r="N7" s="2269"/>
      <c r="O7" s="2269"/>
      <c r="P7" s="2269"/>
      <c r="Q7" s="2269"/>
    </row>
    <row r="8" spans="1:29" ht="24">
      <c r="A8" s="2385"/>
      <c r="B8" s="210" t="s">
        <v>794</v>
      </c>
      <c r="C8" s="2391" t="s">
        <v>799</v>
      </c>
      <c r="D8" s="2392"/>
      <c r="E8" s="2392"/>
      <c r="F8" s="246"/>
      <c r="G8" s="246"/>
      <c r="H8" s="2269"/>
      <c r="I8" s="2269"/>
      <c r="J8" s="2269"/>
      <c r="K8" s="2269"/>
      <c r="L8" s="2269"/>
      <c r="M8" s="2269"/>
      <c r="N8" s="2269"/>
      <c r="O8" s="2269"/>
      <c r="P8" s="2269"/>
      <c r="Q8" s="2269"/>
    </row>
    <row r="9" spans="1:29" ht="24">
      <c r="A9" s="2385"/>
      <c r="B9" s="210" t="s">
        <v>800</v>
      </c>
      <c r="C9" s="2388" t="s">
        <v>801</v>
      </c>
      <c r="D9" s="2384"/>
      <c r="E9" s="2392"/>
      <c r="F9" s="246"/>
      <c r="G9" s="246"/>
      <c r="H9" s="2269"/>
      <c r="I9" s="2269"/>
      <c r="J9" s="2269"/>
      <c r="K9" s="2269"/>
      <c r="L9" s="2269"/>
      <c r="M9" s="2269"/>
      <c r="N9" s="2269"/>
      <c r="O9" s="2269"/>
      <c r="P9" s="2269"/>
      <c r="Q9" s="2269"/>
    </row>
    <row r="10" spans="1:29">
      <c r="A10" s="2396"/>
      <c r="B10" s="2397" t="s">
        <v>802</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7.399999999999999">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ht="14.4">
      <c r="A13" s="2402" t="s">
        <v>803</v>
      </c>
      <c r="B13" s="2400"/>
      <c r="C13" s="2400"/>
      <c r="D13" s="2399"/>
      <c r="E13" s="2400"/>
      <c r="F13" s="2400"/>
      <c r="G13" s="2400"/>
    </row>
    <row r="14" spans="1:29">
      <c r="A14" s="2403"/>
      <c r="B14" s="2403"/>
      <c r="C14" s="2404" t="s">
        <v>779</v>
      </c>
      <c r="D14" s="2384"/>
      <c r="E14" s="2405"/>
      <c r="F14" s="2405"/>
      <c r="G14" s="2378" t="s">
        <v>780</v>
      </c>
    </row>
    <row r="15" spans="1:29" ht="52.8">
      <c r="A15" s="2406" t="s">
        <v>781</v>
      </c>
      <c r="B15" s="2407" t="s">
        <v>782</v>
      </c>
      <c r="C15" s="2408" t="str">
        <f>C3</f>
        <v>估价对象周边居住用地比例、居住小区规模和社区发展完善程度，综合评价居住社区成熟度一般</v>
      </c>
      <c r="D15" s="2384"/>
      <c r="E15" s="2409" t="s">
        <v>781</v>
      </c>
      <c r="F15" s="2407" t="s">
        <v>784</v>
      </c>
      <c r="G15" s="2410" t="str">
        <f>G3</f>
        <v>估价对象周边工业项目较少，产业集聚程度较差</v>
      </c>
    </row>
    <row r="16" spans="1:29" ht="52.8">
      <c r="A16" s="2411"/>
      <c r="B16" s="2412" t="s">
        <v>786</v>
      </c>
      <c r="C16" s="2413" t="str">
        <f>C4</f>
        <v>估价对象位于XX商圈，周边商业氛围成熟，人流量大，商业繁华度好</v>
      </c>
      <c r="D16" s="2384"/>
      <c r="E16" s="2414"/>
      <c r="F16" s="2415" t="s">
        <v>788</v>
      </c>
      <c r="G16" s="2416" t="str">
        <f>G4</f>
        <v>估价对象周边道路状况、公共交通通达情况：345、878、922、昌55、昌21、停车便捷程度，综合评价交通便捷度一般</v>
      </c>
    </row>
    <row r="17" spans="1:17" ht="39.6">
      <c r="A17" s="2411"/>
      <c r="B17" s="2412" t="s">
        <v>790</v>
      </c>
      <c r="C17" s="2413" t="str">
        <f>C5</f>
        <v>估价对象位于XX商圈，周边办公楼项目较多，入驻率高，办公集聚程度较好</v>
      </c>
      <c r="D17" s="2392"/>
      <c r="E17" s="2414"/>
      <c r="F17" s="2415" t="s">
        <v>804</v>
      </c>
      <c r="G17" s="2417"/>
    </row>
    <row r="18" spans="1:17" ht="52.8">
      <c r="A18" s="2411"/>
      <c r="B18" s="2415" t="s">
        <v>788</v>
      </c>
      <c r="C18" s="2416" t="str">
        <f>C6</f>
        <v>估价对象周边道路状况、公共交通通达情况、停车便捷程度，综合评价交通便捷度较好</v>
      </c>
      <c r="D18" s="2392"/>
      <c r="E18" s="2414"/>
      <c r="F18" s="2415" t="s">
        <v>797</v>
      </c>
      <c r="G18" s="2416" t="str">
        <f>G7</f>
        <v>该园区内无污染型企业，绿化情况：滨河公园，卫生条件，整体环境状况一般</v>
      </c>
    </row>
    <row r="19" spans="1:17" ht="26.4">
      <c r="A19" s="2411"/>
      <c r="B19" s="2415" t="s">
        <v>804</v>
      </c>
      <c r="C19" s="2417"/>
      <c r="D19" s="2384"/>
      <c r="E19" s="2414"/>
      <c r="F19" s="210" t="s">
        <v>590</v>
      </c>
      <c r="G19" s="2416" t="str">
        <f>G5</f>
        <v>估价对象所在区域公共配套设施齐备情况较差</v>
      </c>
    </row>
    <row r="20" spans="1:17" ht="26.4">
      <c r="A20" s="2411"/>
      <c r="B20" s="2415" t="s">
        <v>805</v>
      </c>
      <c r="C20" s="2413" t="str">
        <f>C9</f>
        <v>区域自然环境：；人文环境；综合评价环境状况一般</v>
      </c>
      <c r="D20" s="2392"/>
      <c r="E20" s="2414"/>
      <c r="F20" s="210" t="s">
        <v>794</v>
      </c>
      <c r="G20" s="2416" t="str">
        <f>G6</f>
        <v>估价对象所在区域基础设施水平较好</v>
      </c>
    </row>
    <row r="21" spans="1:17" ht="26.4">
      <c r="A21" s="2411"/>
      <c r="B21" s="210" t="s">
        <v>590</v>
      </c>
      <c r="C21" s="2416" t="str">
        <f>C7</f>
        <v>估价对象所在区域公共配套设施齐备情况</v>
      </c>
      <c r="D21" s="2384"/>
      <c r="E21" s="2414"/>
      <c r="F21" s="2415" t="s">
        <v>806</v>
      </c>
      <c r="G21" s="2418"/>
    </row>
    <row r="22" spans="1:17" ht="13.5" customHeight="1">
      <c r="A22" s="2411"/>
      <c r="B22" s="210" t="s">
        <v>794</v>
      </c>
      <c r="C22" s="2416" t="str">
        <f>C8</f>
        <v>估价对象所在区域基础设施水平</v>
      </c>
      <c r="D22" s="2384"/>
      <c r="E22" s="2414"/>
      <c r="F22" s="2415" t="s">
        <v>802</v>
      </c>
      <c r="G22" s="2417"/>
    </row>
    <row r="23" spans="1:17" s="2269" customFormat="1">
      <c r="A23" s="2411"/>
      <c r="B23" s="2415" t="s">
        <v>806</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802</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tabSelected="1" view="pageBreakPreview" topLeftCell="A4" zoomScale="80" zoomScaleNormal="80" workbookViewId="0">
      <selection activeCell="D37" sqref="D37"/>
    </sheetView>
  </sheetViews>
  <sheetFormatPr defaultColWidth="9" defaultRowHeight="14.4"/>
  <cols>
    <col min="1" max="1" width="25" style="2361" customWidth="1"/>
    <col min="2" max="9" width="15.77734375" style="2361" customWidth="1"/>
    <col min="10" max="16384" width="9" style="2361"/>
  </cols>
  <sheetData>
    <row r="1" spans="1:14" ht="16.2">
      <c r="A1" s="2362" t="s">
        <v>807</v>
      </c>
      <c r="B1" s="2362">
        <f>SUM(B14:B23)</f>
        <v>50141.899999999994</v>
      </c>
      <c r="C1" s="2363"/>
      <c r="D1" s="2363"/>
      <c r="E1" s="2363"/>
      <c r="F1" s="2363"/>
      <c r="G1" s="2364"/>
      <c r="H1" s="2364"/>
      <c r="I1" s="2364"/>
      <c r="J1" s="2364"/>
      <c r="K1" s="2364"/>
    </row>
    <row r="2" spans="1:14" ht="16.2">
      <c r="A2" s="2362" t="s">
        <v>808</v>
      </c>
      <c r="B2" s="2362">
        <f>SUM(C14:C23)</f>
        <v>8023.73</v>
      </c>
      <c r="C2" s="2363"/>
      <c r="D2" s="2363"/>
      <c r="E2" s="2363"/>
      <c r="F2" s="2363"/>
      <c r="G2" s="2364"/>
      <c r="H2" s="2364"/>
      <c r="I2" s="2364"/>
      <c r="J2" s="2364"/>
      <c r="K2" s="2364"/>
    </row>
    <row r="3" spans="1:14" ht="15.6">
      <c r="A3" s="2362" t="s">
        <v>809</v>
      </c>
      <c r="B3" s="2365">
        <f>项目基本情况!D3</f>
        <v>44904</v>
      </c>
      <c r="C3" s="2363"/>
      <c r="D3" s="2363"/>
      <c r="E3" s="2363"/>
      <c r="F3" s="2363"/>
      <c r="G3" s="2364"/>
      <c r="H3" s="2364"/>
      <c r="I3" s="2364"/>
      <c r="J3" s="2364"/>
      <c r="K3" s="2364"/>
    </row>
    <row r="4" spans="1:14" ht="31.2">
      <c r="A4" s="2362" t="s">
        <v>810</v>
      </c>
      <c r="B4" s="2362" t="s">
        <v>811</v>
      </c>
      <c r="C4" s="2362" t="s">
        <v>812</v>
      </c>
      <c r="D4" s="2362" t="s">
        <v>813</v>
      </c>
      <c r="E4" s="2363"/>
      <c r="F4" s="2364"/>
      <c r="G4" s="2364"/>
      <c r="H4" s="2364"/>
      <c r="I4" s="2364"/>
      <c r="J4" s="2364"/>
      <c r="K4" s="2364"/>
    </row>
    <row r="5" spans="1:14" ht="15.6">
      <c r="A5" s="2362" t="s">
        <v>814</v>
      </c>
      <c r="B5" s="2362">
        <f ca="1">SUM(D14:D23)</f>
        <v>293239</v>
      </c>
      <c r="C5" s="2362">
        <f ca="1">ROUND(B5*10000/$B$1,0)</f>
        <v>58482</v>
      </c>
      <c r="D5" s="2362">
        <f ca="1">ROUND(B5*10000/$B$2,0)</f>
        <v>365465</v>
      </c>
      <c r="E5" s="2363"/>
      <c r="F5" s="2364"/>
      <c r="G5" s="2364"/>
      <c r="H5" s="2364"/>
      <c r="I5" s="2364"/>
      <c r="J5" s="2364"/>
      <c r="K5" s="2364"/>
    </row>
    <row r="6" spans="1:14" ht="15.6">
      <c r="A6" s="2362" t="s">
        <v>815</v>
      </c>
      <c r="B6" s="2362">
        <f ca="1">SUM(G14:G23)</f>
        <v>293239</v>
      </c>
      <c r="C6" s="2362">
        <f ca="1">ROUND(B6*10000/$B$1,0)</f>
        <v>58482</v>
      </c>
      <c r="D6" s="2362">
        <f ca="1">ROUND(B6*10000/$B$2,0)</f>
        <v>365465</v>
      </c>
      <c r="E6" s="2363"/>
      <c r="F6" s="2364"/>
      <c r="G6" s="2364"/>
      <c r="H6" s="2364"/>
      <c r="I6" s="2364"/>
      <c r="J6" s="2364"/>
      <c r="K6" s="2364"/>
    </row>
    <row r="7" spans="1:14" ht="15.6">
      <c r="A7" s="2362" t="s">
        <v>816</v>
      </c>
      <c r="B7" s="2362">
        <f>SUM(H14:H23)</f>
        <v>0</v>
      </c>
      <c r="C7" s="2362">
        <f>ROUND(B7*10000/$B$1,0)</f>
        <v>0</v>
      </c>
      <c r="D7" s="2362">
        <f>ROUND(B7*10000/$B$2,0)</f>
        <v>0</v>
      </c>
      <c r="E7" s="2363"/>
      <c r="F7" s="2364"/>
      <c r="G7" s="2364"/>
      <c r="H7" s="2364"/>
      <c r="I7" s="2364"/>
      <c r="J7" s="2364"/>
      <c r="K7" s="2364"/>
    </row>
    <row r="8" spans="1:14" ht="15.6">
      <c r="A8" s="2362" t="s">
        <v>332</v>
      </c>
      <c r="B8" s="2362">
        <f>SUM(I14:I23)</f>
        <v>0</v>
      </c>
      <c r="C8" s="2362">
        <f>ROUND(B8*10000/$B$1,0)</f>
        <v>0</v>
      </c>
      <c r="D8" s="2362">
        <f>ROUND(B8*10000/$B$2,0)</f>
        <v>0</v>
      </c>
      <c r="E8" s="2363"/>
      <c r="F8" s="2364"/>
      <c r="G8" s="2364"/>
      <c r="H8" s="2364"/>
      <c r="I8" s="2364"/>
      <c r="J8" s="2364"/>
      <c r="K8" s="2364"/>
    </row>
    <row r="9" spans="1:14" ht="15.6">
      <c r="A9" s="2362" t="s">
        <v>817</v>
      </c>
      <c r="B9" s="2366"/>
      <c r="C9" s="2363"/>
      <c r="D9" s="2363"/>
      <c r="E9" s="2363"/>
      <c r="F9" s="2364"/>
      <c r="G9" s="2364"/>
      <c r="H9" s="2364"/>
      <c r="I9" s="2364"/>
      <c r="J9" s="2364"/>
      <c r="K9" s="2364"/>
    </row>
    <row r="10" spans="1:14" ht="15.6">
      <c r="A10" s="2362" t="s">
        <v>818</v>
      </c>
      <c r="B10" s="2366"/>
      <c r="C10" s="2363"/>
      <c r="D10" s="2363"/>
      <c r="E10" s="2363"/>
      <c r="F10" s="2364"/>
      <c r="G10" s="2364"/>
      <c r="H10" s="2364"/>
      <c r="I10" s="2364"/>
      <c r="J10" s="2364"/>
      <c r="K10" s="2364"/>
      <c r="N10" s="2361" t="s">
        <v>819</v>
      </c>
    </row>
    <row r="11" spans="1:14" ht="15.6">
      <c r="A11" s="2362" t="s">
        <v>820</v>
      </c>
      <c r="B11" s="2366"/>
      <c r="C11" s="2363"/>
      <c r="D11" s="2363"/>
      <c r="E11" s="2363"/>
      <c r="F11" s="2364"/>
      <c r="G11" s="2364"/>
      <c r="H11" s="2364"/>
      <c r="I11" s="2364"/>
      <c r="J11" s="2364"/>
      <c r="K11" s="2364"/>
    </row>
    <row r="12" spans="1:14" ht="15.6">
      <c r="A12" s="2363"/>
      <c r="B12" s="2363"/>
      <c r="C12" s="2363"/>
      <c r="D12" s="2363"/>
      <c r="E12" s="2363"/>
      <c r="F12" s="2364"/>
      <c r="G12" s="2364"/>
      <c r="H12" s="2364"/>
      <c r="I12" s="2364"/>
      <c r="J12" s="2364"/>
      <c r="K12" s="2364"/>
    </row>
    <row r="13" spans="1:14" ht="31.8">
      <c r="A13" s="2367" t="s">
        <v>821</v>
      </c>
      <c r="B13" s="2368" t="s">
        <v>807</v>
      </c>
      <c r="C13" s="2368" t="s">
        <v>808</v>
      </c>
      <c r="D13" s="2368" t="s">
        <v>822</v>
      </c>
      <c r="E13" s="2362" t="s">
        <v>812</v>
      </c>
      <c r="F13" s="2362" t="s">
        <v>813</v>
      </c>
      <c r="G13" s="2368" t="s">
        <v>823</v>
      </c>
      <c r="H13" s="2368" t="s">
        <v>824</v>
      </c>
      <c r="I13" s="2368" t="s">
        <v>825</v>
      </c>
      <c r="J13" s="2364"/>
      <c r="K13" s="2364"/>
    </row>
    <row r="14" spans="1:14" ht="15.6">
      <c r="A14" s="2369" t="s">
        <v>826</v>
      </c>
      <c r="B14" s="2370">
        <f>结果表!B118</f>
        <v>50141.899999999994</v>
      </c>
      <c r="C14" s="2370">
        <f>结果表!C118</f>
        <v>8023.73</v>
      </c>
      <c r="D14" s="2370">
        <f ca="1">结果表!H118</f>
        <v>293239</v>
      </c>
      <c r="E14" s="2370">
        <f ca="1">ROUND(D14*10000/B14,0)</f>
        <v>58482</v>
      </c>
      <c r="F14" s="2370">
        <f ca="1">ROUND(D14*10000/C14,0)</f>
        <v>365465</v>
      </c>
      <c r="G14" s="2370">
        <f ca="1">结果表!D122</f>
        <v>293239</v>
      </c>
      <c r="H14" s="2370" t="str">
        <f>结果表!D124</f>
        <v>——</v>
      </c>
      <c r="I14" s="2370" t="str">
        <f>结果表!D126</f>
        <v>——</v>
      </c>
      <c r="J14" s="2364"/>
      <c r="K14" s="2364"/>
    </row>
    <row r="15" spans="1:14" ht="15.6">
      <c r="A15" s="2369" t="s">
        <v>827</v>
      </c>
      <c r="B15" s="2371"/>
      <c r="C15" s="2371"/>
      <c r="D15" s="2371"/>
      <c r="E15" s="2370" t="e">
        <f t="shared" ref="E15:E23" si="0">ROUND(D15*10000/B15,0)</f>
        <v>#DIV/0!</v>
      </c>
      <c r="F15" s="2370" t="e">
        <f t="shared" ref="F15:F23" si="1">ROUND(D15*10000/C15,0)</f>
        <v>#DIV/0!</v>
      </c>
      <c r="G15" s="2366"/>
      <c r="H15" s="2366"/>
      <c r="I15" s="2371"/>
      <c r="J15" s="2364"/>
      <c r="K15" s="2364"/>
    </row>
    <row r="16" spans="1:14" ht="15.6">
      <c r="A16" s="2369" t="s">
        <v>828</v>
      </c>
      <c r="B16" s="2371"/>
      <c r="C16" s="2371"/>
      <c r="D16" s="2371"/>
      <c r="E16" s="2370" t="e">
        <f t="shared" si="0"/>
        <v>#DIV/0!</v>
      </c>
      <c r="F16" s="2370" t="e">
        <f t="shared" si="1"/>
        <v>#DIV/0!</v>
      </c>
      <c r="G16" s="2366"/>
      <c r="H16" s="2366"/>
      <c r="I16" s="2371"/>
      <c r="J16" s="2364"/>
      <c r="K16" s="2364"/>
    </row>
    <row r="17" spans="1:11" ht="15.6">
      <c r="A17" s="2369" t="s">
        <v>829</v>
      </c>
      <c r="B17" s="2371"/>
      <c r="C17" s="2371"/>
      <c r="D17" s="2371"/>
      <c r="E17" s="2370" t="e">
        <f t="shared" si="0"/>
        <v>#DIV/0!</v>
      </c>
      <c r="F17" s="2370" t="e">
        <f t="shared" si="1"/>
        <v>#DIV/0!</v>
      </c>
      <c r="G17" s="2366"/>
      <c r="H17" s="2366"/>
      <c r="I17" s="2371"/>
      <c r="J17" s="2364"/>
      <c r="K17" s="2364"/>
    </row>
    <row r="18" spans="1:11" ht="15.6">
      <c r="A18" s="2369" t="s">
        <v>830</v>
      </c>
      <c r="B18" s="2371"/>
      <c r="C18" s="2371"/>
      <c r="D18" s="2371"/>
      <c r="E18" s="2370" t="e">
        <f t="shared" si="0"/>
        <v>#DIV/0!</v>
      </c>
      <c r="F18" s="2370" t="e">
        <f t="shared" si="1"/>
        <v>#DIV/0!</v>
      </c>
      <c r="G18" s="2371"/>
      <c r="H18" s="2371"/>
      <c r="I18" s="2371"/>
      <c r="J18" s="2364"/>
      <c r="K18" s="2364"/>
    </row>
    <row r="19" spans="1:11" ht="15.6">
      <c r="A19" s="2369" t="s">
        <v>831</v>
      </c>
      <c r="B19" s="2371"/>
      <c r="C19" s="2371"/>
      <c r="D19" s="2371"/>
      <c r="E19" s="2370" t="e">
        <f t="shared" si="0"/>
        <v>#DIV/0!</v>
      </c>
      <c r="F19" s="2370" t="e">
        <f t="shared" si="1"/>
        <v>#DIV/0!</v>
      </c>
      <c r="G19" s="2371"/>
      <c r="H19" s="2371"/>
      <c r="I19" s="2371"/>
      <c r="J19" s="2364"/>
      <c r="K19" s="2364"/>
    </row>
    <row r="20" spans="1:11" ht="15.6">
      <c r="A20" s="2369" t="s">
        <v>832</v>
      </c>
      <c r="B20" s="2371"/>
      <c r="C20" s="2371"/>
      <c r="D20" s="2371"/>
      <c r="E20" s="2370" t="e">
        <f t="shared" si="0"/>
        <v>#DIV/0!</v>
      </c>
      <c r="F20" s="2370" t="e">
        <f t="shared" si="1"/>
        <v>#DIV/0!</v>
      </c>
      <c r="G20" s="2371"/>
      <c r="H20" s="2371"/>
      <c r="I20" s="2371"/>
      <c r="J20" s="2364"/>
      <c r="K20" s="2364"/>
    </row>
    <row r="21" spans="1:11" ht="15.6">
      <c r="A21" s="2369" t="s">
        <v>833</v>
      </c>
      <c r="B21" s="2371"/>
      <c r="C21" s="2371"/>
      <c r="D21" s="2371"/>
      <c r="E21" s="2370" t="e">
        <f t="shared" si="0"/>
        <v>#DIV/0!</v>
      </c>
      <c r="F21" s="2370" t="e">
        <f t="shared" si="1"/>
        <v>#DIV/0!</v>
      </c>
      <c r="G21" s="2371"/>
      <c r="H21" s="2371"/>
      <c r="I21" s="2371"/>
      <c r="J21" s="2364"/>
      <c r="K21" s="2364"/>
    </row>
    <row r="22" spans="1:11" ht="15.6">
      <c r="A22" s="2369" t="s">
        <v>834</v>
      </c>
      <c r="B22" s="2371"/>
      <c r="C22" s="2371"/>
      <c r="D22" s="2371"/>
      <c r="E22" s="2370" t="e">
        <f t="shared" si="0"/>
        <v>#DIV/0!</v>
      </c>
      <c r="F22" s="2370" t="e">
        <f t="shared" si="1"/>
        <v>#DIV/0!</v>
      </c>
      <c r="G22" s="2371"/>
      <c r="H22" s="2371"/>
      <c r="I22" s="2371"/>
      <c r="J22" s="2364"/>
      <c r="K22" s="2364"/>
    </row>
    <row r="23" spans="1:11" ht="15.6">
      <c r="A23" s="2369" t="s">
        <v>835</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2982" customWidth="1"/>
    <col min="2" max="9" width="10" style="2982" customWidth="1"/>
    <col min="10" max="16384" width="9" style="2982"/>
  </cols>
  <sheetData>
    <row r="36" spans="1:9">
      <c r="A36" s="2981" t="s">
        <v>75</v>
      </c>
      <c r="B36" s="2981" t="s">
        <v>76</v>
      </c>
    </row>
    <row r="37" spans="1:9" ht="27.75" customHeight="1">
      <c r="A37" s="2981"/>
      <c r="B37" s="3004" t="str">
        <f>项目基本情况!B1</f>
        <v>北京市朝阳区建国门外大街甲6号1幢房地产抵押价值预评估</v>
      </c>
      <c r="C37" s="3004"/>
      <c r="D37" s="3004"/>
      <c r="E37" s="3004"/>
      <c r="F37" s="3004"/>
      <c r="G37" s="3004"/>
      <c r="H37" s="3004"/>
      <c r="I37" s="3004"/>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PageLayoutView="80" workbookViewId="0">
      <selection activeCell="C19" sqref="C19"/>
    </sheetView>
  </sheetViews>
  <sheetFormatPr defaultColWidth="12.6640625" defaultRowHeight="21.75" customHeight="1"/>
  <cols>
    <col min="1" max="2" width="12.6640625" style="714"/>
    <col min="3" max="4" width="12.6640625" style="714" customWidth="1"/>
    <col min="5" max="9" width="12.6640625" style="714"/>
    <col min="10" max="11" width="12.6640625" style="712" customWidth="1"/>
    <col min="12" max="12" width="12.6640625" style="712"/>
    <col min="13" max="13" width="14.109375" style="712" customWidth="1"/>
    <col min="14" max="26" width="12.6640625" style="712"/>
    <col min="27" max="35" width="12.6640625" style="713"/>
    <col min="36" max="16384" width="12.6640625" style="714"/>
  </cols>
  <sheetData>
    <row r="1" spans="1:12" ht="21.75" customHeight="1">
      <c r="A1" s="715" t="s">
        <v>836</v>
      </c>
      <c r="B1" s="315"/>
      <c r="C1" s="716" t="s">
        <v>447</v>
      </c>
      <c r="D1" s="315"/>
      <c r="E1" s="315"/>
      <c r="F1" s="717" t="s">
        <v>837</v>
      </c>
      <c r="G1" s="718" t="s">
        <v>397</v>
      </c>
      <c r="H1" s="717" t="str">
        <f>IF(G1="现房","——","估价对象范围")</f>
        <v>——</v>
      </c>
      <c r="I1" s="856" t="s">
        <v>838</v>
      </c>
    </row>
    <row r="2" spans="1:12" ht="21.75" customHeight="1">
      <c r="A2" s="3095" t="str">
        <f>项目基本情况!S2</f>
        <v>北京市朝阳区建国门外大街甲6号1幢房地产</v>
      </c>
      <c r="B2" s="3096"/>
      <c r="C2" s="3096"/>
      <c r="D2" s="3096"/>
      <c r="E2" s="3096"/>
      <c r="F2" s="3096"/>
      <c r="G2" s="3096"/>
      <c r="H2" s="3096"/>
      <c r="I2" s="3097"/>
    </row>
    <row r="3" spans="1:12" ht="13.2">
      <c r="A3" s="3098" t="s">
        <v>839</v>
      </c>
      <c r="B3" s="3099"/>
      <c r="C3" s="3099"/>
      <c r="D3" s="3099"/>
      <c r="E3" s="3099"/>
      <c r="F3" s="3099"/>
      <c r="G3" s="3099"/>
      <c r="H3" s="3099"/>
      <c r="I3" s="3099"/>
    </row>
    <row r="4" spans="1:12" ht="14.4">
      <c r="A4" s="719" t="s">
        <v>840</v>
      </c>
      <c r="B4" s="720" t="s">
        <v>841</v>
      </c>
      <c r="C4" s="721" t="s">
        <v>842</v>
      </c>
      <c r="D4" s="721" t="s">
        <v>712</v>
      </c>
      <c r="E4" s="3100" t="s">
        <v>843</v>
      </c>
      <c r="F4" s="3101"/>
      <c r="G4" s="3101"/>
      <c r="H4" s="3101"/>
      <c r="I4" s="3102"/>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3.2">
      <c r="A5" s="3145" t="s">
        <v>844</v>
      </c>
      <c r="B5" s="3186">
        <v>25</v>
      </c>
      <c r="C5" s="3115"/>
      <c r="D5" s="3114"/>
      <c r="E5" s="208" t="s">
        <v>845</v>
      </c>
      <c r="F5" s="726"/>
      <c r="G5" s="726"/>
      <c r="H5" s="726"/>
      <c r="I5" s="287"/>
    </row>
    <row r="6" spans="1:12" ht="13.2">
      <c r="A6" s="3145"/>
      <c r="B6" s="3186"/>
      <c r="C6" s="3116"/>
      <c r="D6" s="3114"/>
      <c r="E6" s="208" t="s">
        <v>846</v>
      </c>
      <c r="F6" s="726"/>
      <c r="G6" s="726"/>
      <c r="H6" s="726"/>
      <c r="I6" s="287"/>
    </row>
    <row r="7" spans="1:12" ht="13.2">
      <c r="A7" s="3145"/>
      <c r="B7" s="3186"/>
      <c r="C7" s="3117"/>
      <c r="D7" s="3114"/>
      <c r="E7" s="208" t="s">
        <v>847</v>
      </c>
      <c r="F7" s="726"/>
      <c r="G7" s="726"/>
      <c r="H7" s="726"/>
      <c r="I7" s="287"/>
    </row>
    <row r="8" spans="1:12" ht="13.2">
      <c r="A8" s="3145" t="s">
        <v>848</v>
      </c>
      <c r="B8" s="3186">
        <v>15</v>
      </c>
      <c r="C8" s="3115"/>
      <c r="D8" s="3114"/>
      <c r="E8" s="208" t="s">
        <v>849</v>
      </c>
      <c r="F8" s="726"/>
      <c r="G8" s="726"/>
      <c r="H8" s="726"/>
      <c r="I8" s="287"/>
    </row>
    <row r="9" spans="1:12" ht="13.2">
      <c r="A9" s="3145"/>
      <c r="B9" s="3186"/>
      <c r="C9" s="3117"/>
      <c r="D9" s="3114"/>
      <c r="E9" s="208" t="s">
        <v>850</v>
      </c>
      <c r="F9" s="726"/>
      <c r="G9" s="726"/>
      <c r="H9" s="726"/>
      <c r="I9" s="287"/>
    </row>
    <row r="10" spans="1:12" ht="13.2">
      <c r="A10" s="3145" t="s">
        <v>851</v>
      </c>
      <c r="B10" s="3186">
        <v>15</v>
      </c>
      <c r="C10" s="3115"/>
      <c r="D10" s="3114"/>
      <c r="E10" s="208" t="s">
        <v>852</v>
      </c>
      <c r="F10" s="726"/>
      <c r="G10" s="726"/>
      <c r="H10" s="726"/>
      <c r="I10" s="287"/>
    </row>
    <row r="11" spans="1:12" ht="13.2">
      <c r="A11" s="3145"/>
      <c r="B11" s="3186"/>
      <c r="C11" s="3117"/>
      <c r="D11" s="3114"/>
      <c r="E11" s="208" t="s">
        <v>853</v>
      </c>
      <c r="F11" s="726"/>
      <c r="G11" s="726"/>
      <c r="H11" s="726"/>
      <c r="I11" s="287"/>
    </row>
    <row r="12" spans="1:12" ht="13.2">
      <c r="A12" s="3145" t="s">
        <v>854</v>
      </c>
      <c r="B12" s="3186">
        <v>15</v>
      </c>
      <c r="C12" s="3115"/>
      <c r="D12" s="3114"/>
      <c r="E12" s="208" t="s">
        <v>855</v>
      </c>
      <c r="F12" s="726"/>
      <c r="G12" s="726"/>
      <c r="H12" s="726"/>
      <c r="I12" s="287"/>
    </row>
    <row r="13" spans="1:12" ht="13.2">
      <c r="A13" s="3145"/>
      <c r="B13" s="3186"/>
      <c r="C13" s="3117"/>
      <c r="D13" s="3114"/>
      <c r="E13" s="208" t="s">
        <v>856</v>
      </c>
      <c r="F13" s="726"/>
      <c r="G13" s="726"/>
      <c r="H13" s="726"/>
      <c r="I13" s="287"/>
    </row>
    <row r="14" spans="1:12" ht="13.2">
      <c r="A14" s="3145" t="s">
        <v>857</v>
      </c>
      <c r="B14" s="3186">
        <v>30</v>
      </c>
      <c r="C14" s="3115">
        <v>6</v>
      </c>
      <c r="D14" s="3114">
        <v>4</v>
      </c>
      <c r="E14" s="208" t="s">
        <v>858</v>
      </c>
      <c r="F14" s="726"/>
      <c r="G14" s="726"/>
      <c r="H14" s="726"/>
      <c r="I14" s="287"/>
    </row>
    <row r="15" spans="1:12" ht="13.2">
      <c r="A15" s="3145"/>
      <c r="B15" s="3186"/>
      <c r="C15" s="3116"/>
      <c r="D15" s="3114"/>
      <c r="E15" s="208" t="s">
        <v>859</v>
      </c>
      <c r="F15" s="726"/>
      <c r="G15" s="726"/>
      <c r="H15" s="726"/>
      <c r="I15" s="287"/>
    </row>
    <row r="16" spans="1:12" ht="13.2">
      <c r="A16" s="3145"/>
      <c r="B16" s="3186"/>
      <c r="C16" s="3117"/>
      <c r="D16" s="3114"/>
      <c r="E16" s="208" t="s">
        <v>860</v>
      </c>
      <c r="F16" s="726"/>
      <c r="G16" s="726"/>
      <c r="H16" s="726"/>
      <c r="I16" s="287"/>
    </row>
    <row r="17" spans="1:36" ht="14.4">
      <c r="A17" s="727" t="s">
        <v>861</v>
      </c>
      <c r="B17" s="728"/>
      <c r="C17" s="729">
        <f>SUM(C5:C16)</f>
        <v>6</v>
      </c>
      <c r="D17" s="729">
        <f>SUM(D5:D16)</f>
        <v>4</v>
      </c>
      <c r="E17" s="246"/>
      <c r="F17" s="246"/>
      <c r="G17" s="246"/>
      <c r="H17" s="246"/>
      <c r="I17" s="246"/>
      <c r="K17" s="165"/>
      <c r="L17" s="165" t="s">
        <v>862</v>
      </c>
      <c r="M17" s="165" t="s">
        <v>863</v>
      </c>
    </row>
    <row r="18" spans="1:36" ht="31.95" customHeight="1">
      <c r="A18" s="730" t="s">
        <v>864</v>
      </c>
      <c r="B18" s="731"/>
      <c r="C18" s="732">
        <f>ROUND(C17/SUM(C17:D17),2)</f>
        <v>0.6</v>
      </c>
      <c r="D18" s="732">
        <f>1-C18</f>
        <v>0.4</v>
      </c>
      <c r="E18" s="3103" t="s">
        <v>865</v>
      </c>
      <c r="F18" s="3104"/>
      <c r="G18" s="3104"/>
      <c r="H18" s="3104"/>
      <c r="I18" s="3104"/>
      <c r="K18" s="165" t="s">
        <v>366</v>
      </c>
      <c r="L18" s="165">
        <f>IF(C1="",'数据-汇总表'!E3,SUMIF(项目类型,C1,'数据-汇总表'!E17:E26)+SUMIF(项目类型,C1,'数据-汇总表'!I17:I26))</f>
        <v>51096.2</v>
      </c>
      <c r="M18" s="165">
        <f>IF(C1="",'数据-汇总表'!E3,SUMIF(项目类型,C1,'数据-汇总表'!E17:E26))</f>
        <v>50141.899999999994</v>
      </c>
    </row>
    <row r="19" spans="1:36" ht="14.4">
      <c r="A19" s="733" t="s">
        <v>866</v>
      </c>
      <c r="B19" s="734" t="s">
        <v>867</v>
      </c>
      <c r="C19" s="735">
        <f ca="1">SUMIF(INDIRECT("'"&amp;C4&amp;"'"&amp;"!A:A"),结果表!B19,INDIRECT("'"&amp;C4&amp;"'"&amp;"!B:B"))</f>
        <v>325012</v>
      </c>
      <c r="D19" s="736">
        <f ca="1">SUMIF(INDIRECT("'"&amp;D4&amp;"'"&amp;"!A:A"),结果表!B19,INDIRECT("'"&amp;D4&amp;"'"&amp;"!B:B"))</f>
        <v>245580</v>
      </c>
      <c r="E19" s="733" t="s">
        <v>868</v>
      </c>
      <c r="F19" s="734" t="s">
        <v>867</v>
      </c>
      <c r="G19" s="737">
        <f ca="1">ROUND(C19*$C$18+D19*$D$18,0)</f>
        <v>293239</v>
      </c>
      <c r="H19" s="738" t="s">
        <v>869</v>
      </c>
      <c r="I19" s="246"/>
      <c r="K19" s="165" t="s">
        <v>370</v>
      </c>
      <c r="L19" s="165">
        <f>IF(C1="",'数据-汇总表'!D3,SUMIF(项目类型,C1,'数据-汇总表'!D17:D26)+SUMIF(项目类型,C1,'数据-汇总表'!H17:H27))</f>
        <v>8176.44</v>
      </c>
      <c r="M19" s="165">
        <f>IF(C1="",'数据-汇总表'!D3,SUMIF(项目类型,C1,'数据-汇总表'!D17:D26))</f>
        <v>8023.73</v>
      </c>
    </row>
    <row r="20" spans="1:36" ht="14.4">
      <c r="A20" s="739"/>
      <c r="B20" s="740" t="s">
        <v>870</v>
      </c>
      <c r="C20" s="2359">
        <f>ROUND('比较法-办公'!G3,0)</f>
        <v>63608</v>
      </c>
      <c r="D20" s="2360">
        <f ca="1">ROUND(D19*10000/'数据-汇总表'!E3,0)</f>
        <v>48062</v>
      </c>
      <c r="E20" s="739"/>
      <c r="F20" s="740" t="s">
        <v>870</v>
      </c>
      <c r="G20" s="743">
        <f ca="1">ROUND(C20*$C$18+D20*$D$18,0)</f>
        <v>57390</v>
      </c>
      <c r="H20" s="324" t="s">
        <v>871</v>
      </c>
      <c r="I20" s="246"/>
    </row>
    <row r="21" spans="1:36" ht="15" customHeight="1">
      <c r="A21" s="557"/>
      <c r="B21" s="744" t="s">
        <v>872</v>
      </c>
      <c r="C21" s="745">
        <f ca="1">ROUND(C19*10000/L19,0)</f>
        <v>397498</v>
      </c>
      <c r="D21" s="746">
        <f ca="1">ROUND(D19*10000/L19,0)</f>
        <v>300351</v>
      </c>
      <c r="E21" s="557"/>
      <c r="F21" s="744" t="s">
        <v>872</v>
      </c>
      <c r="G21" s="747">
        <f ca="1">ROUND(G19*10000/L19,0)</f>
        <v>358639</v>
      </c>
      <c r="H21" s="748" t="s">
        <v>871</v>
      </c>
      <c r="I21" s="246"/>
    </row>
    <row r="22" spans="1:36" ht="14.4">
      <c r="A22" s="749" t="s">
        <v>873</v>
      </c>
      <c r="B22" s="750"/>
      <c r="C22" s="751"/>
      <c r="D22" s="752">
        <f ca="1">IF(C19&lt;D19,D19/C19-1,C19/D19-1)</f>
        <v>0.3234465347340989</v>
      </c>
      <c r="E22" s="246"/>
      <c r="F22" s="246"/>
      <c r="G22" s="246"/>
      <c r="H22" s="246"/>
      <c r="I22" s="246"/>
    </row>
    <row r="23" spans="1:36" ht="13.2">
      <c r="A23" s="315"/>
      <c r="B23" s="315"/>
      <c r="C23" s="315"/>
      <c r="D23" s="315"/>
      <c r="E23" s="246"/>
      <c r="F23" s="246"/>
      <c r="G23" s="246"/>
      <c r="H23" s="246"/>
      <c r="I23" s="246"/>
    </row>
    <row r="24" spans="1:36" ht="14.4">
      <c r="A24" s="3179" t="s">
        <v>874</v>
      </c>
      <c r="B24" s="734" t="s">
        <v>867</v>
      </c>
      <c r="C24" s="737">
        <f>IF(B30=0,0,D30)</f>
        <v>0</v>
      </c>
      <c r="D24" s="753"/>
      <c r="E24" s="246"/>
      <c r="F24" s="246"/>
      <c r="G24" s="246"/>
      <c r="H24" s="246"/>
      <c r="I24" s="246"/>
    </row>
    <row r="25" spans="1:36" ht="14.4">
      <c r="A25" s="3180"/>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3.8">
      <c r="A27" s="756"/>
      <c r="B27" s="757">
        <v>0</v>
      </c>
      <c r="C27" s="757">
        <v>0</v>
      </c>
      <c r="D27" s="758">
        <f>ROUND(C27*B27/10000,0)</f>
        <v>0</v>
      </c>
      <c r="E27" s="246"/>
      <c r="F27" s="246"/>
      <c r="G27" s="246"/>
      <c r="H27" s="246"/>
      <c r="I27" s="246"/>
    </row>
    <row r="28" spans="1:36" ht="13.8">
      <c r="A28" s="756"/>
      <c r="B28" s="757"/>
      <c r="C28" s="757"/>
      <c r="D28" s="758"/>
      <c r="E28" s="246"/>
      <c r="F28" s="246"/>
      <c r="G28" s="246"/>
      <c r="H28" s="246"/>
      <c r="I28" s="246"/>
    </row>
    <row r="29" spans="1:36" ht="13.8">
      <c r="A29" s="756"/>
      <c r="B29" s="757"/>
      <c r="C29" s="757"/>
      <c r="D29" s="758"/>
      <c r="E29" s="246"/>
      <c r="F29" s="246"/>
      <c r="G29" s="246"/>
      <c r="H29" s="246"/>
      <c r="I29" s="246"/>
    </row>
    <row r="30" spans="1:36" ht="14.4">
      <c r="A30" s="757" t="s">
        <v>879</v>
      </c>
      <c r="B30" s="757"/>
      <c r="C30" s="757"/>
      <c r="D30" s="757"/>
      <c r="E30" s="759" t="s">
        <v>880</v>
      </c>
      <c r="F30" s="246"/>
      <c r="G30" s="246"/>
      <c r="H30" s="246"/>
      <c r="I30" s="246"/>
    </row>
    <row r="31" spans="1:36" s="709" customFormat="1" ht="26.5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4">
      <c r="A32" s="762" t="s">
        <v>882</v>
      </c>
      <c r="B32" s="763"/>
      <c r="C32" s="764">
        <f ca="1">IF(D32="总价",G19-C24,G20-C25)</f>
        <v>293239</v>
      </c>
      <c r="D32" s="765" t="s">
        <v>883</v>
      </c>
      <c r="E32" s="246"/>
      <c r="F32" s="246"/>
      <c r="G32" s="246"/>
      <c r="H32" s="246"/>
      <c r="I32" s="246"/>
    </row>
    <row r="33" spans="1:15" ht="14.4">
      <c r="A33" s="766" t="s">
        <v>884</v>
      </c>
      <c r="B33" s="208"/>
      <c r="C33" s="767" t="s">
        <v>885</v>
      </c>
      <c r="D33" s="768" t="s">
        <v>886</v>
      </c>
      <c r="E33" s="769" t="s">
        <v>887</v>
      </c>
      <c r="F33" s="770" t="str">
        <f>IF(D32="楼面单价","取值（单价）","取值（总价）")</f>
        <v>取值（总价）</v>
      </c>
      <c r="G33" s="246"/>
      <c r="H33" s="246"/>
      <c r="I33" s="246"/>
    </row>
    <row r="34" spans="1:15" ht="14.4">
      <c r="A34" s="771"/>
      <c r="B34" s="772" t="s">
        <v>888</v>
      </c>
      <c r="C34" s="773">
        <f ca="1">IF(C33="自定义",F34,C32-C35)</f>
        <v>253065</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4">
      <c r="A35" s="777"/>
      <c r="B35" s="778" t="s">
        <v>890</v>
      </c>
      <c r="C35" s="779">
        <f ca="1">IF(C33="自定义",F35,ROUND(C32*D35,0))</f>
        <v>40174</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4">
      <c r="A36" s="3181" t="s">
        <v>892</v>
      </c>
      <c r="B36" s="783" t="s">
        <v>893</v>
      </c>
      <c r="C36" s="784"/>
      <c r="D36" s="785"/>
      <c r="E36" s="786"/>
      <c r="F36" s="787"/>
      <c r="G36" s="246"/>
      <c r="H36" s="246"/>
      <c r="I36" s="246"/>
    </row>
    <row r="37" spans="1:15" ht="14.4">
      <c r="A37" s="3182"/>
      <c r="B37" s="788" t="s">
        <v>894</v>
      </c>
      <c r="C37" s="789"/>
      <c r="D37" s="790"/>
      <c r="E37" s="790"/>
      <c r="F37" s="787"/>
      <c r="G37" s="246"/>
      <c r="H37" s="246"/>
      <c r="I37" s="246"/>
    </row>
    <row r="38" spans="1:15" ht="14.4">
      <c r="A38" s="3183"/>
      <c r="B38" s="791" t="s">
        <v>895</v>
      </c>
      <c r="C38" s="792"/>
      <c r="D38" s="793" t="s">
        <v>896</v>
      </c>
      <c r="E38" s="790"/>
      <c r="F38" s="787"/>
      <c r="G38" s="246"/>
      <c r="H38" s="246"/>
      <c r="I38" s="246"/>
    </row>
    <row r="39" spans="1:15" ht="14.4">
      <c r="A39" s="739" t="s">
        <v>897</v>
      </c>
      <c r="B39" s="794" t="s">
        <v>876</v>
      </c>
      <c r="C39" s="795" t="s">
        <v>877</v>
      </c>
      <c r="D39" s="795" t="s">
        <v>898</v>
      </c>
      <c r="E39" s="796" t="s">
        <v>878</v>
      </c>
      <c r="F39" s="787"/>
      <c r="G39" s="246"/>
      <c r="H39" s="246"/>
      <c r="I39" s="246"/>
    </row>
    <row r="40" spans="1:15" ht="13.8">
      <c r="A40" s="797" t="s">
        <v>899</v>
      </c>
      <c r="B40" s="798"/>
      <c r="C40" s="799"/>
      <c r="D40" s="799"/>
      <c r="E40" s="800"/>
      <c r="F40" s="787"/>
      <c r="G40" s="246"/>
      <c r="H40" s="246"/>
      <c r="I40" s="246"/>
    </row>
    <row r="41" spans="1:15" ht="13.8">
      <c r="A41" s="797" t="s">
        <v>900</v>
      </c>
      <c r="B41" s="798"/>
      <c r="C41" s="799"/>
      <c r="D41" s="799"/>
      <c r="E41" s="800"/>
      <c r="F41" s="787"/>
      <c r="G41" s="246"/>
      <c r="H41" s="246"/>
      <c r="I41" s="246"/>
    </row>
    <row r="42" spans="1:15" ht="13.8">
      <c r="A42" s="801"/>
      <c r="B42" s="802"/>
      <c r="C42" s="803"/>
      <c r="D42" s="803"/>
      <c r="E42" s="782"/>
      <c r="F42" s="787"/>
      <c r="G42" s="246"/>
      <c r="H42" s="246"/>
      <c r="I42" s="246"/>
    </row>
    <row r="43" spans="1:15" ht="13.2">
      <c r="A43" s="804"/>
      <c r="B43" s="804"/>
      <c r="C43" s="804"/>
      <c r="D43" s="804"/>
      <c r="E43" s="804"/>
      <c r="F43" s="805"/>
      <c r="G43" s="805"/>
      <c r="H43" s="805"/>
      <c r="I43" s="861"/>
    </row>
    <row r="44" spans="1:15" ht="17.399999999999999">
      <c r="A44" s="806" t="s">
        <v>901</v>
      </c>
      <c r="B44" s="807"/>
      <c r="C44" s="807"/>
      <c r="D44" s="808"/>
      <c r="E44" s="808"/>
      <c r="F44" s="809"/>
      <c r="G44" s="809"/>
      <c r="H44" s="809"/>
      <c r="I44" s="809"/>
      <c r="J44" s="862" t="s">
        <v>902</v>
      </c>
      <c r="K44" s="863"/>
      <c r="L44" s="863"/>
      <c r="M44" s="863"/>
      <c r="N44" s="863"/>
      <c r="O44" s="863"/>
    </row>
    <row r="45" spans="1:15" ht="14.25" customHeight="1">
      <c r="A45" s="3105" t="s">
        <v>903</v>
      </c>
      <c r="B45" s="3106"/>
      <c r="C45" s="3107"/>
      <c r="D45" s="164">
        <f ca="1">ROUND(H101*F45,0)</f>
        <v>293239</v>
      </c>
      <c r="E45" s="810" t="s">
        <v>904</v>
      </c>
      <c r="F45" s="811">
        <v>1</v>
      </c>
      <c r="G45" s="176" t="s">
        <v>905</v>
      </c>
      <c r="H45" s="246"/>
      <c r="I45" s="246"/>
      <c r="J45" s="3108" t="s">
        <v>906</v>
      </c>
      <c r="K45" s="3108"/>
      <c r="L45" s="3108"/>
      <c r="M45" s="3108"/>
      <c r="N45" s="3108"/>
      <c r="O45" s="3108"/>
    </row>
    <row r="46" spans="1:15" ht="14.25" customHeight="1">
      <c r="A46" s="3109" t="s">
        <v>907</v>
      </c>
      <c r="B46" s="3110"/>
      <c r="C46" s="3110"/>
      <c r="D46" s="3110"/>
      <c r="E46" s="3110"/>
      <c r="F46" s="3110"/>
      <c r="G46" s="3111"/>
      <c r="H46" s="812"/>
      <c r="I46" s="845"/>
      <c r="J46" s="864">
        <v>1</v>
      </c>
      <c r="K46" s="3112" t="s">
        <v>908</v>
      </c>
      <c r="L46" s="3112"/>
      <c r="M46" s="3113"/>
      <c r="N46" s="3113"/>
      <c r="O46" s="3113"/>
    </row>
    <row r="47" spans="1:15" ht="12" customHeight="1">
      <c r="A47" s="813" t="s">
        <v>909</v>
      </c>
      <c r="B47" s="814"/>
      <c r="C47" s="815"/>
      <c r="D47" s="219" t="s">
        <v>910</v>
      </c>
      <c r="E47" s="165" t="s">
        <v>911</v>
      </c>
      <c r="F47" s="816" t="s">
        <v>912</v>
      </c>
      <c r="G47" s="817" t="s">
        <v>913</v>
      </c>
      <c r="H47" s="818"/>
      <c r="I47" s="845"/>
      <c r="J47" s="864">
        <v>2</v>
      </c>
      <c r="K47" s="3112" t="s">
        <v>914</v>
      </c>
      <c r="L47" s="3112"/>
      <c r="M47" s="3118">
        <f>'数据-取费表'!B2</f>
        <v>44904</v>
      </c>
      <c r="N47" s="3118"/>
      <c r="O47" s="3118"/>
    </row>
    <row r="48" spans="1:15" ht="26.4">
      <c r="A48" s="3119" t="s">
        <v>915</v>
      </c>
      <c r="B48" s="3120"/>
      <c r="C48" s="312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2" t="s">
        <v>917</v>
      </c>
      <c r="L48" s="3112"/>
      <c r="M48" s="3121">
        <f ca="1">H101</f>
        <v>293239</v>
      </c>
      <c r="N48" s="3121"/>
      <c r="O48" s="3121"/>
    </row>
    <row r="49" spans="1:35" ht="25.5" customHeight="1">
      <c r="A49" s="819" t="s">
        <v>918</v>
      </c>
      <c r="B49" s="3122" t="s">
        <v>919</v>
      </c>
      <c r="C49" s="3122"/>
      <c r="D49" s="823">
        <v>0</v>
      </c>
      <c r="E49" s="229" t="s">
        <v>920</v>
      </c>
      <c r="F49" s="824" t="s">
        <v>124</v>
      </c>
      <c r="G49" s="3128"/>
      <c r="H49" s="825" t="s">
        <v>921</v>
      </c>
      <c r="I49" s="866"/>
      <c r="J49" s="864">
        <v>4</v>
      </c>
      <c r="K49" s="3112" t="str">
        <f>IF(项目基本情况!E8="房地产抵押价值","房地产抵押价值","抵押担保权已注销时的房地产抵押价值")</f>
        <v>房地产抵押价值</v>
      </c>
      <c r="L49" s="3112"/>
      <c r="M49" s="3121">
        <f ca="1">IF(项目基本情况!E8="房地产抵押价值",H107,H109)</f>
        <v>293239</v>
      </c>
      <c r="N49" s="3121"/>
      <c r="O49" s="3121"/>
    </row>
    <row r="50" spans="1:35" ht="25.5" customHeight="1">
      <c r="A50" s="826"/>
      <c r="B50" s="3122" t="s">
        <v>922</v>
      </c>
      <c r="C50" s="3122"/>
      <c r="D50" s="827"/>
      <c r="E50" s="244"/>
      <c r="F50" s="824"/>
      <c r="G50" s="3129"/>
      <c r="H50" s="828" t="s">
        <v>923</v>
      </c>
      <c r="I50" s="866"/>
      <c r="J50" s="3108" t="s">
        <v>924</v>
      </c>
      <c r="K50" s="3108"/>
      <c r="L50" s="3108"/>
      <c r="M50" s="3108"/>
      <c r="N50" s="3108"/>
      <c r="O50" s="3108"/>
    </row>
    <row r="51" spans="1:35" ht="20.55" customHeight="1">
      <c r="A51" s="829"/>
      <c r="B51" s="3122" t="s">
        <v>925</v>
      </c>
      <c r="C51" s="3122"/>
      <c r="D51" s="219"/>
      <c r="E51" s="233"/>
      <c r="F51" s="824"/>
      <c r="G51" s="3130"/>
      <c r="H51" s="828" t="s">
        <v>926</v>
      </c>
      <c r="I51" s="866"/>
      <c r="J51" s="865" t="s">
        <v>927</v>
      </c>
      <c r="K51" s="3112" t="s">
        <v>928</v>
      </c>
      <c r="L51" s="3112"/>
      <c r="M51" s="865" t="s">
        <v>929</v>
      </c>
      <c r="N51" s="865" t="s">
        <v>930</v>
      </c>
      <c r="O51" s="865" t="s">
        <v>931</v>
      </c>
    </row>
    <row r="52" spans="1:35" ht="24" customHeight="1">
      <c r="A52" s="830" t="s">
        <v>932</v>
      </c>
      <c r="B52" s="3122" t="s">
        <v>933</v>
      </c>
      <c r="C52" s="3122"/>
      <c r="D52" s="219">
        <f ca="1">ROUND(D45*'数据-取费表'!B41/(1+'数据-取费表'!C42),0)</f>
        <v>15639</v>
      </c>
      <c r="E52" s="223" t="s">
        <v>934</v>
      </c>
      <c r="F52" s="831">
        <f>'数据-取费表'!B41</f>
        <v>5.6000000000000001E-2</v>
      </c>
      <c r="G52" s="832"/>
      <c r="H52" s="336"/>
      <c r="I52" s="867"/>
      <c r="J52" s="864">
        <v>1</v>
      </c>
      <c r="K52" s="3124" t="s">
        <v>935</v>
      </c>
      <c r="L52" s="3124"/>
      <c r="M52" s="868" t="b">
        <f>D48</f>
        <v>0</v>
      </c>
      <c r="N52" s="864" t="str">
        <f>E48</f>
        <v>销售额×税（费）率</v>
      </c>
      <c r="O52" s="869">
        <f>F48</f>
        <v>5.6000000000000001E-2</v>
      </c>
    </row>
    <row r="53" spans="1:35" ht="12" customHeight="1">
      <c r="A53" s="830" t="s">
        <v>936</v>
      </c>
      <c r="B53" s="3125" t="s">
        <v>937</v>
      </c>
      <c r="C53" s="3126"/>
      <c r="D53" s="219">
        <f ca="1">ROUND(D45*'数据-取费表'!B41/(1+'数据-取费表'!C42),0)</f>
        <v>15639</v>
      </c>
      <c r="E53" s="223" t="s">
        <v>934</v>
      </c>
      <c r="F53" s="831">
        <f>'数据-取费表'!B41</f>
        <v>5.6000000000000001E-2</v>
      </c>
      <c r="G53" s="832"/>
      <c r="H53" s="336"/>
      <c r="I53" s="867"/>
      <c r="J53" s="864">
        <v>2</v>
      </c>
      <c r="K53" s="3124" t="s">
        <v>938</v>
      </c>
      <c r="L53" s="3124"/>
      <c r="M53" s="868">
        <f t="shared" ref="M53:O54" ca="1" si="0">D55</f>
        <v>147</v>
      </c>
      <c r="N53" s="864" t="str">
        <f t="shared" si="0"/>
        <v>销售额×税（费）率</v>
      </c>
      <c r="O53" s="869" t="str">
        <f t="shared" si="0"/>
        <v>免征</v>
      </c>
    </row>
    <row r="54" spans="1:35" ht="12" customHeight="1">
      <c r="A54" s="830" t="s">
        <v>939</v>
      </c>
      <c r="B54" s="3125" t="s">
        <v>940</v>
      </c>
      <c r="C54" s="3126"/>
      <c r="D54" s="219">
        <f ca="1">C68</f>
        <v>15639</v>
      </c>
      <c r="E54" s="233" t="s">
        <v>941</v>
      </c>
      <c r="F54" s="831">
        <f>'数据-取费表'!B41</f>
        <v>5.6000000000000001E-2</v>
      </c>
      <c r="G54" s="832"/>
      <c r="H54" s="833"/>
      <c r="I54" s="867"/>
      <c r="J54" s="864">
        <v>3</v>
      </c>
      <c r="K54" s="3124" t="s">
        <v>942</v>
      </c>
      <c r="L54" s="3124"/>
      <c r="M54" s="868">
        <f t="shared" ca="1" si="0"/>
        <v>165973</v>
      </c>
      <c r="N54" s="864" t="str">
        <f t="shared" si="0"/>
        <v>增值额×税（费）率</v>
      </c>
      <c r="O54" s="870" t="str">
        <f t="shared" si="0"/>
        <v>免征</v>
      </c>
    </row>
    <row r="55" spans="1:35" ht="24" customHeight="1">
      <c r="A55" s="3127" t="s">
        <v>943</v>
      </c>
      <c r="B55" s="3120"/>
      <c r="C55" s="3120"/>
      <c r="D55" s="322">
        <f ca="1">IF(H55="个人住宅",0,ROUND(D45*I55,0))</f>
        <v>147</v>
      </c>
      <c r="E55" s="223" t="s">
        <v>944</v>
      </c>
      <c r="F55" s="831" t="str">
        <f>IF(H55="正常",I55,"免征")</f>
        <v>免征</v>
      </c>
      <c r="G55" s="832"/>
      <c r="H55" s="822"/>
      <c r="I55" s="871">
        <f>'数据-取费表'!B49</f>
        <v>5.0000000000000001E-4</v>
      </c>
      <c r="J55" s="864">
        <f>IF(H59="非个人房产","",4)</f>
        <v>4</v>
      </c>
      <c r="K55" s="3124" t="str">
        <f>IF(H59="非个人房产","——","个人所得税")</f>
        <v>个人所得税</v>
      </c>
      <c r="L55" s="3124"/>
      <c r="M55" s="872">
        <f ca="1">D59</f>
        <v>2793</v>
      </c>
      <c r="N55" s="873" t="str">
        <f>E59</f>
        <v>差额计税</v>
      </c>
      <c r="O55" s="874">
        <f>F59</f>
        <v>0.01</v>
      </c>
    </row>
    <row r="56" spans="1:35" ht="25.2">
      <c r="A56" s="3127" t="s">
        <v>945</v>
      </c>
      <c r="B56" s="3120"/>
      <c r="C56" s="3120"/>
      <c r="D56" s="322">
        <f ca="1">IF(H56="个人住宅",D57,D58)</f>
        <v>165973</v>
      </c>
      <c r="E56" s="223" t="s">
        <v>946</v>
      </c>
      <c r="F56" s="831" t="str">
        <f>IF(H56="正常",F58,"免征")</f>
        <v>免征</v>
      </c>
      <c r="G56" s="834" t="s">
        <v>947</v>
      </c>
      <c r="H56" s="835"/>
      <c r="I56" s="844"/>
      <c r="J56" s="864" t="str">
        <f>IF(项目基本情况!K6="上海银行",IF(J55="",4,J55+1),"")</f>
        <v/>
      </c>
      <c r="K56" s="3131" t="str">
        <f>IF(项目基本情况!K6="上海银行","其他处置费用","")</f>
        <v/>
      </c>
      <c r="L56" s="3132"/>
      <c r="M56" s="868" t="str">
        <f>IF(项目基本情况!K6="上海银行",M69,"")</f>
        <v/>
      </c>
      <c r="N56" s="3131" t="str">
        <f>IF(项目基本情况!K6="上海银行","包含处置中涉及的律师、诉讼、拍卖、评估等费用","")</f>
        <v/>
      </c>
      <c r="O56" s="3133"/>
    </row>
    <row r="57" spans="1:35" ht="13.2">
      <c r="A57" s="830" t="s">
        <v>918</v>
      </c>
      <c r="B57" s="3125" t="s">
        <v>948</v>
      </c>
      <c r="C57" s="3126"/>
      <c r="D57" s="823">
        <v>0</v>
      </c>
      <c r="E57" s="229" t="s">
        <v>920</v>
      </c>
      <c r="F57" s="165"/>
      <c r="G57" s="832"/>
      <c r="H57" s="836"/>
      <c r="I57" s="844"/>
      <c r="J57" s="3124">
        <f>IF(AND(J55="",J56=""),4,IF(项目基本情况!K6="上海银行",结果表!J56+1,结果表!J55+1))</f>
        <v>5</v>
      </c>
      <c r="K57" s="3124" t="s">
        <v>949</v>
      </c>
      <c r="L57" s="876" t="s">
        <v>950</v>
      </c>
      <c r="M57" s="877"/>
      <c r="N57" s="878">
        <f ca="1">SUMIF(M52:M56,"&lt;9e307")</f>
        <v>168913</v>
      </c>
      <c r="O57" s="879"/>
      <c r="P57" s="880">
        <f ca="1">N57/M49</f>
        <v>0.5760250171361927</v>
      </c>
    </row>
    <row r="58" spans="1:35" ht="25.2">
      <c r="A58" s="830" t="s">
        <v>932</v>
      </c>
      <c r="B58" s="3125" t="s">
        <v>951</v>
      </c>
      <c r="C58" s="3122"/>
      <c r="D58" s="322">
        <f ca="1">IF(H58="转让取得",C81,C97)</f>
        <v>165973</v>
      </c>
      <c r="E58" s="223" t="s">
        <v>946</v>
      </c>
      <c r="F58" s="165" t="s">
        <v>124</v>
      </c>
      <c r="G58" s="832"/>
      <c r="H58" s="835"/>
      <c r="I58" s="844"/>
      <c r="J58" s="3124"/>
      <c r="K58" s="3124"/>
      <c r="L58" s="876" t="s">
        <v>952</v>
      </c>
      <c r="M58" s="881"/>
      <c r="N58" s="882" t="str">
        <f ca="1">NUMBERSTRING(INT(N57*10000),2)&amp;"元整"</f>
        <v>壹拾陆亿捌仟玖佰壹拾叁万元整</v>
      </c>
      <c r="O58" s="883"/>
    </row>
    <row r="59" spans="1:35" ht="24">
      <c r="A59" s="3134" t="s">
        <v>953</v>
      </c>
      <c r="B59" s="3135"/>
      <c r="C59" s="3135"/>
      <c r="D59" s="837">
        <f ca="1">IF(H59="非个人房产","——",IF(H59="个人住宅（满五唯一有凭证）",0,IF(H59="个人其他（无凭证）",ROUND(D45*F59,0),ROUND(C67*F59,0))))</f>
        <v>2793</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9">
        <f>J57+1</f>
        <v>6</v>
      </c>
      <c r="K59" s="3124" t="s">
        <v>955</v>
      </c>
      <c r="L59" s="864" t="s">
        <v>950</v>
      </c>
      <c r="M59" s="885"/>
      <c r="N59" s="886">
        <f ca="1">M49-N57</f>
        <v>124326</v>
      </c>
      <c r="O59" s="887"/>
    </row>
    <row r="60" spans="1:35" ht="12" customHeight="1">
      <c r="A60" s="842"/>
      <c r="B60" s="315"/>
      <c r="C60" s="315"/>
      <c r="D60" s="315"/>
      <c r="E60" s="843"/>
      <c r="F60" s="844"/>
      <c r="G60" s="844"/>
      <c r="H60" s="845"/>
      <c r="I60" s="246"/>
      <c r="J60" s="3140"/>
      <c r="K60" s="3124"/>
      <c r="L60" s="876" t="s">
        <v>952</v>
      </c>
      <c r="M60" s="881"/>
      <c r="N60" s="882" t="str">
        <f ca="1">NUMBERSTRING(INT(N59*10000),2)&amp;"元整"</f>
        <v>壹拾贰亿肆仟叁佰贰拾陆万元整</v>
      </c>
      <c r="O60" s="883"/>
    </row>
    <row r="61" spans="1:35" ht="13.2">
      <c r="A61" s="3136" t="s">
        <v>956</v>
      </c>
      <c r="B61" s="3136"/>
      <c r="C61" s="3136"/>
      <c r="D61" s="3136"/>
      <c r="E61" s="3136"/>
      <c r="F61" s="844"/>
      <c r="G61" s="844"/>
      <c r="H61" s="845"/>
      <c r="I61" s="246"/>
      <c r="J61" s="864">
        <f>J59+1</f>
        <v>7</v>
      </c>
      <c r="K61" s="3124" t="s">
        <v>957</v>
      </c>
      <c r="L61" s="3124"/>
      <c r="M61" s="889"/>
      <c r="N61" s="890">
        <f ca="1">ROUND(N59*10000/'数据-汇总表'!E3,0)</f>
        <v>24332</v>
      </c>
      <c r="O61" s="891"/>
    </row>
    <row r="62" spans="1:35" ht="13.2">
      <c r="A62" s="3137" t="s">
        <v>958</v>
      </c>
      <c r="B62" s="3138"/>
      <c r="C62" s="846"/>
      <c r="D62" s="846" t="s">
        <v>959</v>
      </c>
      <c r="E62" s="847" t="s">
        <v>913</v>
      </c>
      <c r="F62" s="844"/>
      <c r="G62" s="844"/>
      <c r="H62" s="845"/>
      <c r="I62" s="246"/>
    </row>
    <row r="63" spans="1:35" ht="13.2">
      <c r="A63" s="848" t="s">
        <v>960</v>
      </c>
      <c r="B63" s="849" t="s">
        <v>961</v>
      </c>
      <c r="C63" s="850">
        <f ca="1">ROUND((C64+C65)/(1+'数据-取费表'!C42),0)</f>
        <v>279275</v>
      </c>
      <c r="D63" s="849"/>
      <c r="E63" s="851"/>
      <c r="F63" s="844"/>
      <c r="G63" s="844"/>
      <c r="H63" s="845"/>
      <c r="I63" s="246"/>
      <c r="J63" s="3123" t="s">
        <v>962</v>
      </c>
      <c r="K63" s="892" t="s">
        <v>963</v>
      </c>
      <c r="L63" s="892">
        <f ca="1">IF(M49&gt;10000,M49*0.5%,IF(AND(M49&gt;1000,M49&lt;=10000),M49*1%,IF(AND(M49&gt;100,M49&lt;=1000),M49*3%,IF(AND(M49&gt;10,M49&lt;=100),M49*5%,M49*8%))))</f>
        <v>1466.1949999999999</v>
      </c>
      <c r="M63" s="165">
        <f ca="1">ROUND(L63,1)</f>
        <v>1466.2</v>
      </c>
      <c r="N63" s="893"/>
      <c r="Z63" s="713"/>
      <c r="AI63" s="714"/>
    </row>
    <row r="64" spans="1:35" ht="14.25" customHeight="1">
      <c r="A64" s="852" t="s">
        <v>964</v>
      </c>
      <c r="B64" s="853" t="s">
        <v>965</v>
      </c>
      <c r="C64" s="854">
        <f ca="1">D45</f>
        <v>293239</v>
      </c>
      <c r="D64" s="853" t="s">
        <v>124</v>
      </c>
      <c r="E64" s="855"/>
      <c r="F64" s="844"/>
      <c r="G64" s="844"/>
      <c r="H64" s="845"/>
      <c r="I64" s="246"/>
      <c r="J64" s="3123"/>
      <c r="K64" s="892" t="s">
        <v>966</v>
      </c>
      <c r="L64" s="892">
        <f ca="1">IF(M49&gt;2000,M49*0.5%,IF(AND(M49&gt;1000,M49&lt;=2000),M49*0.6%,IF(AND(M49&gt;500,M49&lt;=1000),M49*0.7%,IF(AND(M49&gt;200,M49&lt;=500),M49*0.8%,IF(AND(M49&gt;100,M49&lt;=200),M49*0.9%,IF(AND(M49&gt;50,M49&lt;=100),M49*1%,IF(AND(M49&gt;20,M49&lt;=50),M49*1.5%,IF(AND(M49&gt;10,M49&lt;=20),M49*2%,IF(AND(M49&gt;1,M49&lt;=10),M49*2.5%)))))))))</f>
        <v>1466.1949999999999</v>
      </c>
      <c r="M64" s="165">
        <f t="shared" ref="M64:M65" ca="1" si="1">ROUND(L64,1)</f>
        <v>1466.2</v>
      </c>
      <c r="N64" s="336" t="s">
        <v>967</v>
      </c>
      <c r="Z64" s="713"/>
      <c r="AI64" s="714"/>
    </row>
    <row r="65" spans="1:35" ht="14.25" customHeight="1">
      <c r="A65" s="852" t="s">
        <v>968</v>
      </c>
      <c r="B65" s="853" t="s">
        <v>969</v>
      </c>
      <c r="C65" s="895"/>
      <c r="D65" s="853"/>
      <c r="E65" s="855"/>
      <c r="F65" s="844"/>
      <c r="G65" s="844"/>
      <c r="H65" s="845"/>
      <c r="I65" s="246"/>
      <c r="J65" s="3123"/>
      <c r="K65" s="892" t="s">
        <v>970</v>
      </c>
      <c r="L65" s="892">
        <f ca="1">IF(M49&gt;1000,M49*0.1%,IF(AND(M49&gt;500,M49&lt;=1000),M49*0.5%,IF(AND(M49&gt;50,M49&lt;=500),M49*1%,IF(AND(M49&gt;1,M49&lt;=50),M49*1.5%))))</f>
        <v>293.23900000000003</v>
      </c>
      <c r="M65" s="165">
        <f t="shared" ca="1" si="1"/>
        <v>293.2</v>
      </c>
      <c r="N65" s="336" t="s">
        <v>967</v>
      </c>
      <c r="Z65" s="713"/>
      <c r="AI65" s="714"/>
    </row>
    <row r="66" spans="1:35" ht="14.25" customHeight="1">
      <c r="A66" s="848" t="s">
        <v>971</v>
      </c>
      <c r="B66" s="896" t="s">
        <v>972</v>
      </c>
      <c r="C66" s="897"/>
      <c r="D66" s="896" t="s">
        <v>124</v>
      </c>
      <c r="E66" s="898" t="s">
        <v>973</v>
      </c>
      <c r="F66" s="844"/>
      <c r="G66" s="844"/>
      <c r="H66" s="845"/>
      <c r="I66" s="246"/>
      <c r="J66" s="3123"/>
      <c r="K66" s="892" t="s">
        <v>974</v>
      </c>
      <c r="L66" s="892">
        <f ca="1">M49*0.5%</f>
        <v>1466.1949999999999</v>
      </c>
      <c r="M66" s="165">
        <f ca="1">IF(L66&gt;0.5,0.5,ROUND(L66,0))</f>
        <v>0.5</v>
      </c>
      <c r="N66" s="336" t="s">
        <v>975</v>
      </c>
      <c r="Z66" s="713"/>
      <c r="AI66" s="714"/>
    </row>
    <row r="67" spans="1:35" ht="14.25" customHeight="1">
      <c r="A67" s="848" t="s">
        <v>976</v>
      </c>
      <c r="B67" s="896" t="s">
        <v>977</v>
      </c>
      <c r="C67" s="899">
        <f ca="1">C63-C66</f>
        <v>279275</v>
      </c>
      <c r="D67" s="853" t="s">
        <v>124</v>
      </c>
      <c r="E67" s="855"/>
      <c r="F67" s="844"/>
      <c r="G67" s="844"/>
      <c r="H67" s="845"/>
      <c r="I67" s="246"/>
      <c r="J67" s="3123"/>
      <c r="K67" s="892" t="s">
        <v>978</v>
      </c>
      <c r="L67" s="892">
        <f ca="1">IF(M49&gt;=10000,(8.25+(M49-10000)*0.01%),IF(AND(M49&gt;=8000,M49&lt;10000),(7.85+(M49-8000)*0.02%),IF(AND(M49&gt;=5000,M49&lt;8000),(6.65+(M49-5000)*0.04%),IF(AND(M49&gt;=2000,M49&lt;5000),(4.25+(PM49-2000)*0.08%),IF(AND(M49&gt;=1000,M49&lt;2000),(2.75+(M49-1000)*0.15%),IF(AND(M49&gt;=100,M49&lt;1000),(0.5+(M49-100)*0.25%),IF(AND(M49&gt;0,M49&lt;100),M49*0.5%)))))))</f>
        <v>36.573900000000002</v>
      </c>
      <c r="M67" s="165">
        <f ca="1">ROUND(L67*0.9,1)</f>
        <v>32.9</v>
      </c>
      <c r="N67" s="893"/>
      <c r="Z67" s="713"/>
      <c r="AI67" s="714"/>
    </row>
    <row r="68" spans="1:35" ht="14.25" customHeight="1">
      <c r="A68" s="900" t="s">
        <v>979</v>
      </c>
      <c r="B68" s="901" t="s">
        <v>980</v>
      </c>
      <c r="C68" s="902">
        <f ca="1">IF(C67&lt;=0,0,ROUND(C67*D68,0))</f>
        <v>15639</v>
      </c>
      <c r="D68" s="903">
        <f>'数据-取费表'!B41</f>
        <v>5.6000000000000001E-2</v>
      </c>
      <c r="E68" s="904"/>
      <c r="F68" s="844"/>
      <c r="G68" s="844"/>
      <c r="H68" s="845"/>
      <c r="I68" s="246"/>
      <c r="J68" s="3123"/>
      <c r="K68" s="892" t="s">
        <v>981</v>
      </c>
      <c r="L68" s="892">
        <f ca="1">IF(M49&gt;10000,M49*0.5%,IF(AND(M49&gt;5000,M49&lt;=10000),M49*1%,IF(AND(M49&gt;1000,M49&lt;=5000),M49*2%,IF(AND(M49&gt;200,M49&lt;=1000),M49*3%,M49*5%))))</f>
        <v>1466.1949999999999</v>
      </c>
      <c r="M68" s="165">
        <f ca="1">ROUND(L68,1)</f>
        <v>1466.2</v>
      </c>
      <c r="N68" s="893"/>
      <c r="Z68" s="713"/>
      <c r="AI68" s="714"/>
    </row>
    <row r="69" spans="1:35" ht="16.5" customHeight="1">
      <c r="A69" s="905"/>
      <c r="B69" s="906"/>
      <c r="C69" s="907"/>
      <c r="D69" s="908"/>
      <c r="E69" s="909"/>
      <c r="F69" s="843"/>
      <c r="G69" s="843"/>
      <c r="H69" s="804"/>
      <c r="I69" s="315"/>
      <c r="J69" s="3123"/>
      <c r="K69" s="892" t="s">
        <v>982</v>
      </c>
      <c r="L69" s="892"/>
      <c r="M69" s="165">
        <f ca="1">ROUND(SUM(M63:M68),0)</f>
        <v>4725</v>
      </c>
      <c r="N69" s="971">
        <f ca="1">M69/M49</f>
        <v>1.6113136383632463E-2</v>
      </c>
      <c r="Z69" s="713"/>
      <c r="AI69" s="714"/>
    </row>
    <row r="70" spans="1:35" s="710" customFormat="1" ht="13.8">
      <c r="A70" s="3164" t="s">
        <v>983</v>
      </c>
      <c r="B70" s="3165"/>
      <c r="C70" s="3165"/>
      <c r="D70" s="3165"/>
      <c r="E70" s="3165"/>
      <c r="F70" s="3165"/>
      <c r="G70" s="3165"/>
      <c r="H70" s="316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3.8">
      <c r="A71" s="3137" t="s">
        <v>958</v>
      </c>
      <c r="B71" s="3138"/>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3.8">
      <c r="A72" s="848" t="s">
        <v>960</v>
      </c>
      <c r="B72" s="896" t="s">
        <v>984</v>
      </c>
      <c r="C72" s="899">
        <f ca="1">ROUND(D45/(1+'数据-取费表'!C42),0)</f>
        <v>279275</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3.8">
      <c r="A73" s="848" t="s">
        <v>971</v>
      </c>
      <c r="B73" s="816" t="s">
        <v>985</v>
      </c>
      <c r="C73" s="899">
        <f ca="1">C74+C78</f>
        <v>1676</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28.8">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5" t="s">
        <v>993</v>
      </c>
      <c r="F76" s="3122"/>
      <c r="G76" s="3122"/>
      <c r="H76" s="316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f ca="1">ROUND(D45*D78/(1+'数据-取费表'!C42),0)</f>
        <v>1676</v>
      </c>
      <c r="D78" s="925">
        <f>'数据-取费表'!B43</f>
        <v>6.000000000000001E-3</v>
      </c>
      <c r="E78" s="3167" t="s">
        <v>998</v>
      </c>
      <c r="F78" s="3168"/>
      <c r="G78" s="3168"/>
      <c r="H78" s="316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3.8">
      <c r="A79" s="848" t="s">
        <v>976</v>
      </c>
      <c r="B79" s="896" t="s">
        <v>999</v>
      </c>
      <c r="C79" s="899">
        <f ca="1">C72-C73</f>
        <v>277599</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979</v>
      </c>
      <c r="B80" s="896" t="s">
        <v>1000</v>
      </c>
      <c r="C80" s="929">
        <f ca="1">IF(C79&lt;=0,0,C79/C73)</f>
        <v>165.63186157517899</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1001</v>
      </c>
      <c r="B81" s="901" t="s">
        <v>1002</v>
      </c>
      <c r="C81" s="930">
        <f ca="1">ROUND(IF(C79&lt;=0,0,IF(C80&gt;=200%,C79*60%-C73*35%,IF(C80&gt;=100%,C79*50%-C73*15%,IF(C80&gt;=50%,C79*40%-C73*5%,IF(C80&lt;50%,C79*30%,0))))),0)</f>
        <v>165973</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3.8">
      <c r="A83" s="3164" t="s">
        <v>1003</v>
      </c>
      <c r="B83" s="3165"/>
      <c r="C83" s="3165"/>
      <c r="D83" s="3165"/>
      <c r="E83" s="3165"/>
      <c r="F83" s="3165"/>
      <c r="G83" s="3165"/>
      <c r="H83" s="316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3.8">
      <c r="A84" s="3137" t="s">
        <v>958</v>
      </c>
      <c r="B84" s="3138"/>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3.8">
      <c r="A85" s="848" t="s">
        <v>960</v>
      </c>
      <c r="B85" s="896" t="s">
        <v>984</v>
      </c>
      <c r="C85" s="899">
        <f ca="1">ROUND(D45/(1+'数据-取费表'!C42),0)</f>
        <v>279275</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3.8">
      <c r="A86" s="848" t="s">
        <v>971</v>
      </c>
      <c r="B86" s="816" t="s">
        <v>985</v>
      </c>
      <c r="C86" s="899">
        <f ca="1">IF(H88="仅含出让金",C87+C90+C91+C92+C93+C94,C87+C91+C92+C93+C94)</f>
        <v>1676</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3.8">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3.8">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4">
      <c r="A90" s="852" t="s">
        <v>968</v>
      </c>
      <c r="B90" s="853" t="s">
        <v>1010</v>
      </c>
      <c r="C90" s="940"/>
      <c r="D90" s="925"/>
      <c r="E90" s="941" t="str">
        <f>IF(H88="-","土地取得成本中已包含该笔费用"," ")</f>
        <v xml:space="preserve"> </v>
      </c>
      <c r="F90" s="927"/>
      <c r="G90" s="3176" t="s">
        <v>1011</v>
      </c>
      <c r="H90" s="3177"/>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7" t="s">
        <v>1015</v>
      </c>
      <c r="F91" s="3168"/>
      <c r="G91" s="316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7" t="s">
        <v>1018</v>
      </c>
      <c r="F92" s="3168"/>
      <c r="G92" s="3168"/>
      <c r="H92" s="3169"/>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f ca="1">ROUND(D45*D93/(1+'数据-取费表'!C42),0)</f>
        <v>1676</v>
      </c>
      <c r="D93" s="925">
        <f>'数据-取费表'!B43</f>
        <v>6.000000000000001E-3</v>
      </c>
      <c r="E93" s="3167" t="s">
        <v>998</v>
      </c>
      <c r="F93" s="3168"/>
      <c r="G93" s="3168"/>
      <c r="H93" s="316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9" t="s">
        <v>1023</v>
      </c>
      <c r="F94" s="3190"/>
      <c r="G94" s="3190"/>
      <c r="H94" s="319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3.8">
      <c r="A95" s="848" t="s">
        <v>976</v>
      </c>
      <c r="B95" s="896" t="s">
        <v>999</v>
      </c>
      <c r="C95" s="899">
        <f ca="1">ROUND(C85-C86,0)</f>
        <v>277599</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979</v>
      </c>
      <c r="B96" s="896" t="s">
        <v>1000</v>
      </c>
      <c r="C96" s="929">
        <f ca="1">IF(C95&lt;=0,0,C95/C86)</f>
        <v>165.63186157517899</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1001</v>
      </c>
      <c r="B97" s="901" t="s">
        <v>1002</v>
      </c>
      <c r="C97" s="930">
        <f ca="1">ROUND(IF(C95&lt;=0,0,IF(C96&gt;=200%,C95*60%-C86*35%,IF(C96&gt;=100%,C95*50%-C86*15%,IF(C96&gt;=50%,C95*40%-C86*5%,IF(C96&lt;50%,C95*30%,0))))),0)</f>
        <v>165973</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52"/>
      <c r="E100" s="3090" t="s">
        <v>1026</v>
      </c>
      <c r="F100" s="3090"/>
      <c r="G100" s="3090"/>
      <c r="H100" s="3152"/>
      <c r="I100" s="246"/>
    </row>
    <row r="101" spans="1:35" ht="18.75" customHeight="1">
      <c r="A101" s="3153" t="s">
        <v>1027</v>
      </c>
      <c r="B101" s="3154"/>
      <c r="C101" s="948" t="str">
        <f>C4</f>
        <v>比较法-办公</v>
      </c>
      <c r="D101" s="949" t="str">
        <f>D4</f>
        <v>收益法</v>
      </c>
      <c r="E101" s="3170" t="s">
        <v>1028</v>
      </c>
      <c r="F101" s="3171"/>
      <c r="G101" s="951" t="s">
        <v>1029</v>
      </c>
      <c r="H101" s="952">
        <f ca="1">H118</f>
        <v>293239</v>
      </c>
      <c r="I101" s="246"/>
    </row>
    <row r="102" spans="1:35" ht="18.75" customHeight="1">
      <c r="A102" s="3184" t="s">
        <v>1030</v>
      </c>
      <c r="B102" s="953" t="s">
        <v>1029</v>
      </c>
      <c r="C102" s="948">
        <f ca="1">C19</f>
        <v>325012</v>
      </c>
      <c r="D102" s="949">
        <f ca="1">D19</f>
        <v>245580</v>
      </c>
      <c r="E102" s="3170"/>
      <c r="F102" s="3171"/>
      <c r="G102" s="951" t="s">
        <v>99</v>
      </c>
      <c r="H102" s="832">
        <f ca="1">I118</f>
        <v>58482</v>
      </c>
      <c r="I102" s="246"/>
    </row>
    <row r="103" spans="1:35" ht="42.75" customHeight="1">
      <c r="A103" s="3184"/>
      <c r="B103" s="953" t="s">
        <v>99</v>
      </c>
      <c r="C103" s="954">
        <f>C20</f>
        <v>63608</v>
      </c>
      <c r="D103" s="955">
        <f ca="1">D20</f>
        <v>48062</v>
      </c>
      <c r="E103" s="3155" t="s">
        <v>1031</v>
      </c>
      <c r="F103" s="3156"/>
      <c r="G103" s="956" t="s">
        <v>102</v>
      </c>
      <c r="H103" s="952">
        <f>IF(D36="正常操作",H104+H105+H106,H105+H106)</f>
        <v>0</v>
      </c>
      <c r="I103" s="246"/>
    </row>
    <row r="104" spans="1:35" ht="18.75" customHeight="1">
      <c r="A104" s="3184" t="s">
        <v>1032</v>
      </c>
      <c r="B104" s="957" t="s">
        <v>1029</v>
      </c>
      <c r="C104" s="958">
        <f ca="1">H118</f>
        <v>293239</v>
      </c>
      <c r="D104" s="959"/>
      <c r="E104" s="788" t="s">
        <v>1033</v>
      </c>
      <c r="F104" s="960"/>
      <c r="G104" s="956" t="s">
        <v>102</v>
      </c>
      <c r="H104" s="961">
        <f>IF(D36="同一抵押权人同一抵押物续贷",C36&amp;"（续贷，未扣减，详见特别提示）",C36)</f>
        <v>0</v>
      </c>
      <c r="I104" s="246"/>
    </row>
    <row r="105" spans="1:35" ht="18.75" customHeight="1">
      <c r="A105" s="3185"/>
      <c r="B105" s="962" t="s">
        <v>99</v>
      </c>
      <c r="C105" s="963">
        <f ca="1">I118</f>
        <v>58482</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2" t="str">
        <f>IF(项目基本情况!E8="已注销","——","3.房地产抵押价值")</f>
        <v>3.房地产抵押价值</v>
      </c>
      <c r="F107" s="3171"/>
      <c r="G107" s="951" t="s">
        <v>1029</v>
      </c>
      <c r="H107" s="952">
        <f ca="1">IF(E107="——","——",H101-H103)</f>
        <v>293239</v>
      </c>
      <c r="I107" s="246"/>
    </row>
    <row r="108" spans="1:35" ht="18.75" customHeight="1">
      <c r="A108" s="246"/>
      <c r="B108" s="246"/>
      <c r="C108" s="246"/>
      <c r="D108" s="246"/>
      <c r="E108" s="3172"/>
      <c r="F108" s="3171"/>
      <c r="G108" s="951" t="s">
        <v>99</v>
      </c>
      <c r="H108" s="832">
        <f ca="1">ROUND(H107*10000/'数据-汇总表'!E3,0)</f>
        <v>57390</v>
      </c>
      <c r="I108" s="246"/>
    </row>
    <row r="109" spans="1:35" ht="18.75" customHeight="1">
      <c r="A109" s="246"/>
      <c r="B109" s="246"/>
      <c r="C109" s="246"/>
      <c r="D109" s="246"/>
      <c r="E109" s="3172" t="str">
        <f>IF(项目基本情况!E8="已注销及未注销","4.抵押担保权已注销时的房地产抵押价值",IF(项目基本情况!E8="已注销","3.抵押担保权已注销时的房地产抵押价值","——"))</f>
        <v>——</v>
      </c>
      <c r="F109" s="3171"/>
      <c r="G109" s="951" t="s">
        <v>1029</v>
      </c>
      <c r="H109" s="967" t="str">
        <f>IF(E109="——","——",H101-H105-H106)</f>
        <v>——</v>
      </c>
      <c r="I109" s="246"/>
    </row>
    <row r="110" spans="1:35" ht="18.75" customHeight="1">
      <c r="A110" s="246"/>
      <c r="B110" s="246"/>
      <c r="C110" s="246"/>
      <c r="D110" s="246"/>
      <c r="E110" s="3172"/>
      <c r="F110" s="3171"/>
      <c r="G110" s="951" t="s">
        <v>99</v>
      </c>
      <c r="H110" s="832" t="str">
        <f>IF(H109="——","——",ROUND(H109*10000/'数据-汇总表'!E3,0))</f>
        <v>——</v>
      </c>
      <c r="I110" s="246"/>
    </row>
    <row r="111" spans="1:35" ht="18.75" customHeight="1">
      <c r="A111" s="246"/>
      <c r="B111" s="246"/>
      <c r="C111" s="246"/>
      <c r="D111" s="246"/>
      <c r="E111" s="3173" t="str">
        <f>IF(项目基本情况!E9="抵押净值",IF(OR(项目基本情况!E8="已注销",项目基本情况!E8="房地产抵押价值"),"4.抵押净值","5.抵押净值"),"——")</f>
        <v>——</v>
      </c>
      <c r="F111" s="3141"/>
      <c r="G111" s="951" t="s">
        <v>1029</v>
      </c>
      <c r="H111" s="952" t="str">
        <f>IF(E111="——","——",N59)</f>
        <v>——</v>
      </c>
      <c r="I111" s="246"/>
    </row>
    <row r="112" spans="1:35" ht="18.75" customHeight="1">
      <c r="A112" s="246"/>
      <c r="B112" s="246"/>
      <c r="C112" s="246"/>
      <c r="D112" s="246"/>
      <c r="E112" s="3174"/>
      <c r="F112" s="3175"/>
      <c r="G112" s="968" t="s">
        <v>99</v>
      </c>
      <c r="H112" s="969" t="str">
        <f>IF(E111="——","——",N61)</f>
        <v>——</v>
      </c>
      <c r="I112" s="246"/>
    </row>
    <row r="113" spans="1:27" ht="18.75" customHeight="1">
      <c r="A113" s="246"/>
      <c r="B113" s="246"/>
      <c r="C113" s="246"/>
      <c r="D113" s="246"/>
      <c r="E113" s="3157" t="s">
        <v>1035</v>
      </c>
      <c r="F113" s="3157"/>
      <c r="G113" s="3157"/>
      <c r="H113" s="3157"/>
      <c r="I113" s="246"/>
    </row>
    <row r="114" spans="1:27" ht="3.75" customHeight="1">
      <c r="A114" s="315"/>
      <c r="B114" s="315"/>
      <c r="C114" s="315"/>
      <c r="D114" s="315"/>
      <c r="E114" s="842"/>
      <c r="F114" s="842"/>
      <c r="G114" s="842"/>
      <c r="H114" s="842"/>
      <c r="I114" s="315"/>
    </row>
    <row r="115" spans="1:27" ht="18.75" customHeight="1">
      <c r="A115" s="3158" t="s">
        <v>1037</v>
      </c>
      <c r="B115" s="3159"/>
      <c r="C115" s="3159"/>
      <c r="D115" s="3159"/>
      <c r="E115" s="3159"/>
      <c r="F115" s="3159"/>
      <c r="G115" s="3159"/>
      <c r="H115" s="3159"/>
      <c r="I115" s="3160"/>
    </row>
    <row r="116" spans="1:27" ht="27" customHeight="1">
      <c r="A116" s="3145" t="s">
        <v>1038</v>
      </c>
      <c r="B116" s="3187" t="s">
        <v>1039</v>
      </c>
      <c r="C116" s="3187" t="s">
        <v>1040</v>
      </c>
      <c r="D116" s="3161" t="s">
        <v>1041</v>
      </c>
      <c r="E116" s="3162"/>
      <c r="F116" s="3163" t="s">
        <v>1042</v>
      </c>
      <c r="G116" s="3163"/>
      <c r="H116" s="3145" t="s">
        <v>1043</v>
      </c>
      <c r="I116" s="3145"/>
    </row>
    <row r="117" spans="1:27" ht="18.75" customHeight="1">
      <c r="A117" s="3145"/>
      <c r="B117" s="3188"/>
      <c r="C117" s="318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50141.899999999994</v>
      </c>
      <c r="C118" s="724">
        <f>M19</f>
        <v>8023.73</v>
      </c>
      <c r="D118" s="724">
        <f ca="1">ROUND(IF(D32="总价",C34,E118*B118/10000),0)</f>
        <v>253065</v>
      </c>
      <c r="E118" s="724">
        <f ca="1">ROUND(IF(C33="自定义",IF(D32="楼面单价",C34,D118*10000/B118),I118-G118),0)</f>
        <v>50470</v>
      </c>
      <c r="F118" s="724">
        <f ca="1">ROUND(IF(D32="总价",C35,G118*B118/10000),0)</f>
        <v>40174</v>
      </c>
      <c r="G118" s="724">
        <f ca="1">ROUND(IF(D32="楼面单价",C35,F118*10000/B118),0)</f>
        <v>8012</v>
      </c>
      <c r="H118" s="724">
        <f ca="1">ROUND(IF(D32="总价",C32,I118*B118/10000),0)</f>
        <v>293239</v>
      </c>
      <c r="I118" s="724">
        <f ca="1">ROUND(IF(D32="楼面单价",C32,H118*10000/B118),0)</f>
        <v>58482</v>
      </c>
    </row>
    <row r="119" spans="1:27" ht="18.75" customHeight="1">
      <c r="A119" s="3145" t="s">
        <v>1045</v>
      </c>
      <c r="B119" s="3145"/>
      <c r="C119" s="3145"/>
      <c r="D119" s="3146" t="str">
        <f ca="1">NUMBERSTRING(INT(D118*10000),2)&amp;"元整"</f>
        <v>贰拾伍亿叁仟零陆拾伍万元整</v>
      </c>
      <c r="E119" s="3148"/>
      <c r="F119" s="3146" t="str">
        <f ca="1">NUMBERSTRING(INT(F118*10000),2)&amp;"元整"</f>
        <v>肆亿零壹佰柒拾肆万元整</v>
      </c>
      <c r="G119" s="3148"/>
      <c r="H119" s="3146" t="str">
        <f ca="1">NUMBERSTRING(INT(H118*10000),2)&amp;"元整"</f>
        <v>贰拾玖亿叁仟贰佰叁拾玖万元整</v>
      </c>
      <c r="I119" s="3148"/>
    </row>
    <row r="120" spans="1:27" ht="18.75" customHeight="1">
      <c r="A120" s="3142" t="str">
        <f>IF(项目基本情况!B9="房地产市场价值","",MID(E103,3,LEN(E103)-2))</f>
        <v>估价师知悉的法定优先受偿款</v>
      </c>
      <c r="B120" s="3143"/>
      <c r="C120" s="3144"/>
      <c r="D120" s="3142">
        <f>H103</f>
        <v>0</v>
      </c>
      <c r="E120" s="3143"/>
      <c r="F120" s="3143"/>
      <c r="G120" s="3143"/>
      <c r="H120" s="3143"/>
      <c r="I120" s="314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9" t="s">
        <v>1045</v>
      </c>
      <c r="B121" s="3150"/>
      <c r="C121" s="3151"/>
      <c r="D121" s="3146" t="str">
        <f>IF(D120=0,"零元整",NUMBERSTRING(INT(D120*10000),2)&amp;"元整")</f>
        <v>零元整</v>
      </c>
      <c r="E121" s="3147"/>
      <c r="F121" s="3147"/>
      <c r="G121" s="3147"/>
      <c r="H121" s="3147"/>
      <c r="I121" s="3148"/>
      <c r="AA121" s="712"/>
    </row>
    <row r="122" spans="1:27" ht="18.75" customHeight="1">
      <c r="A122" s="3141" t="str">
        <f>IF(项目基本情况!B9="房地产市场价值","",MID(E107,3,LEN(E107)-2))</f>
        <v>房地产抵押价值</v>
      </c>
      <c r="B122" s="3141"/>
      <c r="C122" s="3141"/>
      <c r="D122" s="3142">
        <f ca="1">H107</f>
        <v>293239</v>
      </c>
      <c r="E122" s="3143"/>
      <c r="F122" s="3143"/>
      <c r="G122" s="3143"/>
      <c r="H122" s="3143"/>
      <c r="I122" s="3144"/>
      <c r="AA122" s="712"/>
    </row>
    <row r="123" spans="1:27" ht="18.75" customHeight="1">
      <c r="A123" s="3145" t="s">
        <v>1045</v>
      </c>
      <c r="B123" s="3145"/>
      <c r="C123" s="3145"/>
      <c r="D123" s="3146" t="str">
        <f ca="1">NUMBERSTRING(INT(D122*10000),2)&amp;"元整"</f>
        <v>贰拾玖亿叁仟贰佰叁拾玖万元整</v>
      </c>
      <c r="E123" s="3147"/>
      <c r="F123" s="3147"/>
      <c r="G123" s="3147"/>
      <c r="H123" s="3147"/>
      <c r="I123" s="3148"/>
      <c r="AA123" s="712"/>
    </row>
    <row r="124" spans="1:27" ht="18.75" customHeight="1">
      <c r="A124" s="3141" t="str">
        <f>IF(项目基本情况!B9="房地产市场价值","",MID(E109,3,LEN(E109)-2))</f>
        <v/>
      </c>
      <c r="B124" s="3141"/>
      <c r="C124" s="3141"/>
      <c r="D124" s="3142" t="str">
        <f>H109</f>
        <v>——</v>
      </c>
      <c r="E124" s="3143"/>
      <c r="F124" s="3143"/>
      <c r="G124" s="3143"/>
      <c r="H124" s="3143"/>
      <c r="I124" s="3144"/>
      <c r="AA124" s="712"/>
    </row>
    <row r="125" spans="1:27" ht="18.75" customHeight="1">
      <c r="A125" s="3145" t="s">
        <v>1045</v>
      </c>
      <c r="B125" s="3145"/>
      <c r="C125" s="3145"/>
      <c r="D125" s="3146" t="e">
        <f>NUMBERSTRING(INT(D124*10000),2)&amp;"元整"</f>
        <v>#VALUE!</v>
      </c>
      <c r="E125" s="3147"/>
      <c r="F125" s="3147"/>
      <c r="G125" s="3147"/>
      <c r="H125" s="3147"/>
      <c r="I125" s="3148"/>
      <c r="AA125" s="712"/>
    </row>
    <row r="126" spans="1:27" ht="18.75" customHeight="1">
      <c r="A126" s="3141" t="str">
        <f>IF(项目基本情况!B9="房地产市场价值","",MID(E111,3,LEN(E111)-2))</f>
        <v/>
      </c>
      <c r="B126" s="3141"/>
      <c r="C126" s="3141"/>
      <c r="D126" s="3142" t="str">
        <f>H111</f>
        <v>——</v>
      </c>
      <c r="E126" s="3143"/>
      <c r="F126" s="3143"/>
      <c r="G126" s="3143"/>
      <c r="H126" s="3143"/>
      <c r="I126" s="3144"/>
      <c r="AA126" s="712"/>
    </row>
    <row r="127" spans="1:27" ht="18.75" customHeight="1">
      <c r="A127" s="3145" t="s">
        <v>1045</v>
      </c>
      <c r="B127" s="3145"/>
      <c r="C127" s="3145"/>
      <c r="D127" s="3146" t="e">
        <f>NUMBERSTRING(INT(D126*10000),2)&amp;"元整"</f>
        <v>#VALUE!</v>
      </c>
      <c r="E127" s="3147"/>
      <c r="F127" s="3147"/>
      <c r="G127" s="3147"/>
      <c r="H127" s="3147"/>
      <c r="I127" s="3148"/>
      <c r="AA127" s="712"/>
    </row>
    <row r="128" spans="1:27" ht="21.75" customHeight="1">
      <c r="A128" s="3178" t="s">
        <v>113</v>
      </c>
      <c r="B128" s="3178"/>
      <c r="C128" s="3178"/>
      <c r="D128" s="3178"/>
      <c r="E128" s="3178"/>
      <c r="F128" s="3178"/>
      <c r="G128" s="3178"/>
      <c r="H128" s="3178"/>
      <c r="I128" s="3178"/>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37" customWidth="1"/>
    <col min="2" max="2" width="29.21875" style="38" customWidth="1"/>
    <col min="3" max="3" width="12.109375" style="38" customWidth="1"/>
    <col min="4" max="5" width="11.21875" style="39" customWidth="1"/>
    <col min="6" max="6" width="9.44140625" style="38" customWidth="1"/>
    <col min="7" max="7" width="31.88671875" style="38" customWidth="1"/>
    <col min="8" max="8" width="10.77734375" style="38" customWidth="1"/>
    <col min="9" max="254" width="9" style="38" customWidth="1"/>
    <col min="255" max="16384" width="8.33203125" style="38"/>
  </cols>
  <sheetData>
    <row r="1" spans="1:8" s="32" customFormat="1" ht="21">
      <c r="A1" s="40" t="s">
        <v>1053</v>
      </c>
      <c r="B1" s="41"/>
      <c r="C1" s="2358" t="s">
        <v>1054</v>
      </c>
      <c r="D1" s="42"/>
      <c r="E1" s="42"/>
      <c r="F1" s="42"/>
      <c r="G1" s="43">
        <f>MATCH(B1,'数据-取费表'!A6:A16,0)+5</f>
        <v>7</v>
      </c>
      <c r="H1" s="2009" t="str">
        <f>IF(ISERROR(FIND("住宅",B1)),"非住宅","住宅")</f>
        <v>非住宅</v>
      </c>
    </row>
    <row r="2" spans="1:8" s="32" customFormat="1" ht="18" customHeight="1">
      <c r="A2" s="44" t="s">
        <v>1055</v>
      </c>
      <c r="B2" s="45">
        <f ca="1">ROUND(IF(D2="——",C52/10000,C52/10000-E2),0)</f>
        <v>32797</v>
      </c>
      <c r="C2" s="46" t="s">
        <v>1056</v>
      </c>
      <c r="D2" s="47" t="s">
        <v>124</v>
      </c>
      <c r="E2" s="48" t="e">
        <f ca="1">SUMIF(INDIRECT("'"&amp;G2&amp;"'"&amp;"!A:A"),"承租人权益价值",INDIRECT("'"&amp;G2&amp;"'"&amp;"!c:c"))</f>
        <v>#REF!</v>
      </c>
      <c r="F2" s="49" t="s">
        <v>1056</v>
      </c>
      <c r="G2" s="50"/>
    </row>
    <row r="3" spans="1:8" s="32" customFormat="1" ht="18" customHeight="1">
      <c r="A3" s="51" t="s">
        <v>1057</v>
      </c>
      <c r="B3" s="52">
        <f ca="1">ROUND(B2*10000/(IF(B1="",'数据-汇总表'!E3,INDIRECT("'数据-取费表'!k"&amp;$G$1))),0)</f>
        <v>6419</v>
      </c>
      <c r="C3" s="46" t="s">
        <v>1058</v>
      </c>
      <c r="D3" s="46"/>
      <c r="E3" s="46"/>
      <c r="F3" s="46"/>
      <c r="G3" s="46"/>
    </row>
    <row r="4" spans="1:8" s="33" customFormat="1" ht="16.2">
      <c r="A4" s="53" t="s">
        <v>1059</v>
      </c>
      <c r="B4" s="54"/>
      <c r="C4" s="54"/>
      <c r="D4" s="54"/>
      <c r="E4" s="54"/>
      <c r="F4" s="54"/>
      <c r="G4" s="55"/>
    </row>
    <row r="5" spans="1:8" s="34" customFormat="1" ht="13.5" customHeight="1">
      <c r="A5" s="56" t="s">
        <v>1060</v>
      </c>
      <c r="B5" s="57" t="s">
        <v>1061</v>
      </c>
      <c r="C5" s="58">
        <f ca="1">C6+C7+C8</f>
        <v>10219240</v>
      </c>
      <c r="D5" s="58" t="s">
        <v>1062</v>
      </c>
      <c r="E5" s="59" t="s">
        <v>1063</v>
      </c>
      <c r="F5" s="59" t="s">
        <v>959</v>
      </c>
      <c r="G5" s="60"/>
    </row>
    <row r="6" spans="1:8" s="34" customFormat="1" ht="13.5" customHeight="1">
      <c r="A6" s="61" t="s">
        <v>1064</v>
      </c>
      <c r="B6" s="62" t="s">
        <v>1065</v>
      </c>
      <c r="C6" s="63"/>
      <c r="D6" s="64"/>
      <c r="E6" s="65"/>
      <c r="F6" s="65"/>
      <c r="G6" s="66"/>
    </row>
    <row r="7" spans="1:8" s="34" customFormat="1" ht="13.5" customHeight="1">
      <c r="A7" s="61" t="s">
        <v>1066</v>
      </c>
      <c r="B7" s="62" t="s">
        <v>1067</v>
      </c>
      <c r="C7" s="67">
        <f>ROUND(C6*F7,0)</f>
        <v>0</v>
      </c>
      <c r="D7" s="67"/>
      <c r="E7" s="65"/>
      <c r="F7" s="68">
        <f>IF(项目基本情况!B8="出让",0,'数据-取费表'!B48+'数据-取费表'!B49)</f>
        <v>3.0499999999999999E-2</v>
      </c>
      <c r="G7" s="66"/>
    </row>
    <row r="8" spans="1:8" s="35" customFormat="1">
      <c r="A8" s="61" t="s">
        <v>1068</v>
      </c>
      <c r="B8" s="62" t="s">
        <v>1069</v>
      </c>
      <c r="C8" s="67">
        <f ca="1">IF(G8="已包含在土地购买价格中",0,C9+C10)</f>
        <v>10219240</v>
      </c>
      <c r="D8" s="69"/>
      <c r="E8" s="67"/>
      <c r="F8" s="68"/>
      <c r="G8" s="70"/>
    </row>
    <row r="9" spans="1:8" s="34" customFormat="1" ht="13.5" customHeight="1">
      <c r="A9" s="71" t="s">
        <v>1070</v>
      </c>
      <c r="B9" s="72" t="s">
        <v>1071</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pans="1:8" s="34" customFormat="1" ht="13.5" hidden="1" customHeight="1">
      <c r="A11" s="78" t="s">
        <v>1074</v>
      </c>
      <c r="B11" s="62" t="s">
        <v>1075</v>
      </c>
      <c r="C11" s="58"/>
      <c r="D11" s="65"/>
      <c r="E11" s="65"/>
      <c r="F11" s="65"/>
      <c r="G11" s="66"/>
    </row>
    <row r="12" spans="1:8" s="34" customFormat="1" ht="13.5" hidden="1" customHeight="1">
      <c r="A12" s="78" t="s">
        <v>1076</v>
      </c>
      <c r="B12" s="62" t="s">
        <v>995</v>
      </c>
      <c r="C12" s="58">
        <v>0</v>
      </c>
      <c r="D12" s="65"/>
      <c r="E12" s="79"/>
      <c r="F12" s="68">
        <v>3.0499999999999999E-2</v>
      </c>
      <c r="G12" s="66"/>
    </row>
    <row r="13" spans="1:8" s="34" customFormat="1" ht="13.5" hidden="1" customHeight="1">
      <c r="A13" s="78" t="s">
        <v>1077</v>
      </c>
      <c r="B13" s="62" t="s">
        <v>1078</v>
      </c>
      <c r="C13" s="58"/>
      <c r="D13" s="65"/>
      <c r="E13" s="65"/>
      <c r="F13" s="65"/>
      <c r="G13" s="66"/>
    </row>
    <row r="14" spans="1:8" s="34" customFormat="1" ht="13.5" hidden="1" customHeight="1">
      <c r="A14" s="78" t="s">
        <v>1079</v>
      </c>
      <c r="B14" s="62" t="s">
        <v>1069</v>
      </c>
      <c r="C14" s="58"/>
      <c r="D14" s="65"/>
      <c r="E14" s="65"/>
      <c r="F14" s="65"/>
      <c r="G14" s="66" t="s">
        <v>1080</v>
      </c>
    </row>
    <row r="15" spans="1:8" s="34" customFormat="1" ht="13.5" hidden="1" customHeight="1">
      <c r="A15" s="78" t="s">
        <v>1081</v>
      </c>
      <c r="B15" s="62" t="s">
        <v>1082</v>
      </c>
      <c r="C15" s="67"/>
      <c r="D15" s="65"/>
      <c r="E15" s="65"/>
      <c r="F15" s="65"/>
      <c r="G15" s="66" t="s">
        <v>1083</v>
      </c>
    </row>
    <row r="16" spans="1:8"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f ca="1">IF(G19="已包含在土地取得成本中","0",ROUND(D19*E19,0))</f>
        <v>10219240</v>
      </c>
      <c r="D19" s="59">
        <f ca="1">D9+D10</f>
        <v>51096.2</v>
      </c>
      <c r="E19" s="58">
        <f>'数据-取费表'!B31</f>
        <v>200</v>
      </c>
      <c r="F19" s="81"/>
      <c r="G19" s="70"/>
    </row>
    <row r="20" spans="1:7" s="34" customFormat="1" ht="13.5" customHeight="1">
      <c r="A20" s="56" t="s">
        <v>1092</v>
      </c>
      <c r="B20" s="57" t="s">
        <v>1093</v>
      </c>
      <c r="C20" s="82">
        <f ca="1">ROUND((C5+C19)*F20,0)</f>
        <v>306577</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2">
        <f ca="1">ROUND(SUM(C23:C25),0)</f>
        <v>2670933</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1">
        <f ca="1">ROUND(IF('数据-取费表'!B22&lt;=1,C5*F22*'数据-取费表'!B22,C5*(POWER((1+F22),'数据-取费表'!B22)-1)),0)</f>
        <v>1325826</v>
      </c>
      <c r="D23" s="91"/>
      <c r="E23" s="91"/>
      <c r="F23" s="92"/>
      <c r="G23" s="93" t="s">
        <v>1102</v>
      </c>
    </row>
    <row r="24" spans="1:7" s="34" customFormat="1" ht="13.5" customHeight="1">
      <c r="A24" s="89" t="s">
        <v>1066</v>
      </c>
      <c r="B24" s="62" t="s">
        <v>1103</v>
      </c>
      <c r="C24" s="91">
        <f ca="1">ROUND(IF('数据-取费表'!B22&lt;=1,C19*F22*('数据-取费表'!B19/2+'数据-取费表'!B20),C19*(POWER((1+F22),('数据-取费表'!B19/2+'数据-取费表'!B20))-1)),0)</f>
        <v>1325826</v>
      </c>
      <c r="D24" s="91"/>
      <c r="E24" s="91"/>
      <c r="F24" s="92"/>
      <c r="G24" s="93" t="s">
        <v>1104</v>
      </c>
    </row>
    <row r="25" spans="1:7" s="34" customFormat="1" ht="24">
      <c r="A25" s="89" t="s">
        <v>1068</v>
      </c>
      <c r="B25" s="62" t="s">
        <v>1105</v>
      </c>
      <c r="C25" s="91">
        <f ca="1">ROUND(IF('数据-取费表'!B22&lt;=1,C20*F22*'数据-取费表'!B22/2,C20*(POWER((1+F22),'数据-取费表'!B22/2)-1)),0)</f>
        <v>19281</v>
      </c>
      <c r="D25" s="91"/>
      <c r="E25" s="94"/>
      <c r="F25" s="92"/>
      <c r="G25" s="95" t="s">
        <v>1106</v>
      </c>
    </row>
    <row r="26" spans="1:7" s="34" customFormat="1">
      <c r="A26" s="89" t="s">
        <v>1107</v>
      </c>
      <c r="B26" s="62" t="s">
        <v>1108</v>
      </c>
      <c r="C26" s="91">
        <f>ROUND(IF('数据-取费表'!B22&lt;=1,F21*F22*'数据-取费表'!B22/2,F21*(POWER((1+F22),'数据-取费表'!B22/2)-1)),4)</f>
        <v>8.9999999999999998E-4</v>
      </c>
      <c r="D26" s="91"/>
      <c r="E26" s="94"/>
      <c r="F26" s="92"/>
      <c r="G26" s="96"/>
    </row>
    <row r="27" spans="1:7" s="34" customFormat="1" ht="26.4">
      <c r="A27" s="56" t="s">
        <v>1109</v>
      </c>
      <c r="B27" s="97" t="s">
        <v>1110</v>
      </c>
      <c r="C27" s="98">
        <f ca="1">C28</f>
        <v>4149011</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ROUND((C5+C19+C20)*F27,0)</f>
        <v>4149011</v>
      </c>
      <c r="D28" s="85"/>
      <c r="E28" s="86"/>
      <c r="F28" s="99"/>
      <c r="G28" s="100"/>
    </row>
    <row r="29" spans="1:7" s="34" customFormat="1" ht="13.5" customHeight="1">
      <c r="A29" s="89" t="s">
        <v>1066</v>
      </c>
      <c r="B29" s="101" t="s">
        <v>1113</v>
      </c>
      <c r="C29" s="91">
        <f ca="1">ROUND(C21*F27,4)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29710068</v>
      </c>
      <c r="D31" s="104"/>
      <c r="E31" s="58"/>
      <c r="F31" s="105"/>
      <c r="G31" s="84" t="s">
        <v>1118</v>
      </c>
    </row>
    <row r="32" spans="1:7" s="33" customFormat="1" ht="16.2">
      <c r="A32" s="106" t="s">
        <v>1119</v>
      </c>
      <c r="B32" s="107"/>
      <c r="C32" s="107"/>
      <c r="D32" s="107"/>
      <c r="E32" s="107"/>
      <c r="F32" s="107"/>
      <c r="G32" s="108"/>
    </row>
    <row r="33" spans="1:7" s="34" customFormat="1" ht="13.5" customHeight="1">
      <c r="A33" s="56" t="s">
        <v>1060</v>
      </c>
      <c r="B33" s="57" t="s">
        <v>1120</v>
      </c>
      <c r="C33" s="109">
        <f ca="1">SUM(C34:C38)</f>
        <v>266517779</v>
      </c>
      <c r="D33" s="82"/>
      <c r="E33" s="59"/>
      <c r="F33" s="94"/>
      <c r="G33" s="84"/>
    </row>
    <row r="34" spans="1:7" s="36" customFormat="1" ht="13.5" customHeight="1">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spans="1:7" ht="13.5" customHeight="1">
      <c r="A35" s="89" t="s">
        <v>1066</v>
      </c>
      <c r="B35" s="62" t="s">
        <v>1122</v>
      </c>
      <c r="C35" s="67">
        <f ca="1">ROUND(C34*F35,0)</f>
        <v>7357853</v>
      </c>
      <c r="D35" s="67"/>
      <c r="E35" s="67"/>
      <c r="F35" s="111">
        <f>'数据-取费表'!B33</f>
        <v>0.03</v>
      </c>
      <c r="G35" s="66" t="s">
        <v>1123</v>
      </c>
    </row>
    <row r="36" spans="1:7" ht="24">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pans="1:7" s="36" customFormat="1" ht="13.5" customHeight="1">
      <c r="A37" s="89" t="s">
        <v>1107</v>
      </c>
      <c r="B37" s="62" t="s">
        <v>1126</v>
      </c>
      <c r="C37" s="102">
        <f ca="1">ROUND(E37*D37,0)</f>
        <v>10219240</v>
      </c>
      <c r="D37" s="64">
        <f ca="1">D19</f>
        <v>51096.2</v>
      </c>
      <c r="E37" s="102">
        <f>'数据-取费表'!B35</f>
        <v>200</v>
      </c>
      <c r="F37" s="111"/>
      <c r="G37" s="113"/>
    </row>
    <row r="38" spans="1:7" ht="13.5" customHeight="1">
      <c r="A38" s="89" t="s">
        <v>1127</v>
      </c>
      <c r="B38" s="62" t="s">
        <v>995</v>
      </c>
      <c r="C38" s="67">
        <f ca="1">ROUND(C34*F38,0)</f>
        <v>3678926</v>
      </c>
      <c r="D38" s="67"/>
      <c r="E38" s="67"/>
      <c r="F38" s="111">
        <f>'数据-取费表'!B36</f>
        <v>1.4999999999999999E-2</v>
      </c>
      <c r="G38" s="66" t="s">
        <v>1123</v>
      </c>
    </row>
    <row r="39" spans="1:7" s="34" customFormat="1" ht="13.5" customHeight="1">
      <c r="A39" s="56" t="s">
        <v>1090</v>
      </c>
      <c r="B39" s="57" t="s">
        <v>1093</v>
      </c>
      <c r="C39" s="82">
        <f ca="1">ROUND(C33*F20,0)</f>
        <v>3997767</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17013113</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ROUND(IF('数据-取费表'!B22&lt;=1,C33*F22*'数据-取费表'!B20/2,C33*(POWER((1+F22),'数据-取费表'!B20/2)-1)),0)</f>
        <v>16761688</v>
      </c>
      <c r="D42" s="91"/>
      <c r="E42" s="91"/>
      <c r="F42" s="92"/>
      <c r="G42" s="3192" t="s">
        <v>1131</v>
      </c>
    </row>
    <row r="43" spans="1:7" ht="13.5" customHeight="1">
      <c r="A43" s="89" t="s">
        <v>1066</v>
      </c>
      <c r="B43" s="62" t="s">
        <v>1103</v>
      </c>
      <c r="C43" s="91">
        <f ca="1">ROUND(IF('数据-取费表'!B22&lt;=1,C39*F22*'数据-取费表'!B20/2,C39*(POWER((1+F22),'数据-取费表'!B20/2)-1)),0)</f>
        <v>251425</v>
      </c>
      <c r="D43" s="91"/>
      <c r="E43" s="91"/>
      <c r="F43" s="92"/>
      <c r="G43" s="3193"/>
    </row>
    <row r="44" spans="1:7" ht="13.5" customHeight="1">
      <c r="A44" s="89" t="s">
        <v>1068</v>
      </c>
      <c r="B44" s="62" t="s">
        <v>1105</v>
      </c>
      <c r="C44" s="91">
        <f>ROUND(IF('数据-取费表'!B22&lt;=1,C40*F22*'数据-取费表'!B20/2,C40*(POWER((1+F22),'数据-取费表'!B20/2)-1)),4)</f>
        <v>8.9999999999999998E-4</v>
      </c>
      <c r="D44" s="91"/>
      <c r="E44" s="91"/>
      <c r="F44" s="92"/>
      <c r="G44" s="3194"/>
    </row>
    <row r="45" spans="1:7" s="34" customFormat="1" ht="13.5" customHeight="1">
      <c r="A45" s="56" t="s">
        <v>1099</v>
      </c>
      <c r="B45" s="97" t="s">
        <v>1110</v>
      </c>
      <c r="C45" s="98">
        <f ca="1">C46</f>
        <v>54103109</v>
      </c>
      <c r="D45" s="85">
        <f ca="1">C47</f>
        <v>3.0000000000000001E-3</v>
      </c>
      <c r="E45" s="86" t="s">
        <v>1129</v>
      </c>
      <c r="F45" s="116">
        <f ca="1">F27</f>
        <v>0.2</v>
      </c>
      <c r="G45" s="100" t="s">
        <v>1132</v>
      </c>
    </row>
    <row r="46" spans="1:7" s="34" customFormat="1" ht="13.5" customHeight="1">
      <c r="A46" s="89" t="s">
        <v>1064</v>
      </c>
      <c r="B46" s="101" t="s">
        <v>1133</v>
      </c>
      <c r="C46" s="102">
        <f ca="1">ROUND((C33+C39)*F27,0)</f>
        <v>54103109</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1249">
        <f>ROUND(F30/(1+'数据-取费表'!C42),4)</f>
        <v>5.33E-2</v>
      </c>
      <c r="D48" s="86" t="s">
        <v>1129</v>
      </c>
      <c r="E48" s="82"/>
      <c r="F48" s="115">
        <f>F30</f>
        <v>5.6000000000000001E-2</v>
      </c>
      <c r="G48" s="84" t="s">
        <v>1135</v>
      </c>
    </row>
    <row r="49" spans="1:7" ht="16.5" customHeight="1">
      <c r="A49" s="56" t="s">
        <v>1114</v>
      </c>
      <c r="B49" s="57" t="s">
        <v>1136</v>
      </c>
      <c r="C49" s="82">
        <f ca="1">ROUND((C33+C39+C41+C45)/(1-C40-D41-D45-C48),0)</f>
        <v>368217038</v>
      </c>
      <c r="D49" s="82"/>
      <c r="E49" s="82"/>
      <c r="F49" s="118"/>
      <c r="G49" s="84" t="s">
        <v>1137</v>
      </c>
    </row>
    <row r="50" spans="1:7" s="36" customFormat="1">
      <c r="A50" s="56" t="s">
        <v>1138</v>
      </c>
      <c r="B50" s="57" t="s">
        <v>1139</v>
      </c>
      <c r="C50" s="82"/>
      <c r="D50" s="82"/>
      <c r="E50" s="82"/>
      <c r="F50" s="118">
        <f>IF('数据-取费表'!B24=0,'数据-取费表'!N16,1)</f>
        <v>0.81</v>
      </c>
      <c r="G50" s="100"/>
    </row>
    <row r="51" spans="1:7" ht="16.5" customHeight="1">
      <c r="A51" s="56" t="s">
        <v>1140</v>
      </c>
      <c r="B51" s="57" t="s">
        <v>1141</v>
      </c>
      <c r="C51" s="82">
        <f ca="1">ROUND(C49*F50,0)</f>
        <v>298255801</v>
      </c>
      <c r="D51" s="82"/>
      <c r="E51" s="82"/>
      <c r="F51" s="118"/>
      <c r="G51" s="84" t="s">
        <v>1142</v>
      </c>
    </row>
    <row r="52" spans="1:7" s="33" customFormat="1" ht="16.2">
      <c r="A52" s="119" t="s">
        <v>1143</v>
      </c>
      <c r="B52" s="120"/>
      <c r="C52" s="121">
        <f ca="1">C31+C51</f>
        <v>327965869</v>
      </c>
      <c r="D52" s="120"/>
      <c r="E52" s="120"/>
      <c r="F52" s="120"/>
      <c r="G52" s="122"/>
    </row>
    <row r="55" spans="1:7" ht="15">
      <c r="B55" s="123" t="s">
        <v>1144</v>
      </c>
      <c r="C55" s="124"/>
    </row>
    <row r="56" spans="1:7">
      <c r="B56" s="125" t="s">
        <v>1145</v>
      </c>
      <c r="C56" s="126">
        <f ca="1">1-C57</f>
        <v>9.099999999999997E-2</v>
      </c>
    </row>
    <row r="57" spans="1:7">
      <c r="B57" s="125" t="s">
        <v>1146</v>
      </c>
      <c r="C57" s="127">
        <f ca="1">ROUND(C51/C52,3)</f>
        <v>0.90900000000000003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990" customWidth="1"/>
    <col min="2" max="2" width="25.77734375" style="2275" customWidth="1"/>
    <col min="3" max="3" width="10.33203125" style="2276" customWidth="1"/>
    <col min="4" max="4" width="9.88671875" style="2275" customWidth="1"/>
    <col min="5" max="5" width="9.44140625" style="990" customWidth="1"/>
    <col min="6" max="6" width="10.109375" style="2275" customWidth="1"/>
    <col min="7" max="7" width="10.77734375" style="2275" customWidth="1"/>
    <col min="8" max="8" width="10" style="2275" customWidth="1"/>
    <col min="9" max="11" width="9.44140625" style="2275" customWidth="1"/>
    <col min="12" max="12" width="9" style="2275" customWidth="1"/>
    <col min="13" max="13" width="10.44140625" style="2275" customWidth="1"/>
    <col min="14" max="254" width="9" style="2275" customWidth="1"/>
    <col min="255" max="16384" width="6.6640625" style="2275"/>
  </cols>
  <sheetData>
    <row r="1" spans="1:33" ht="21">
      <c r="A1" s="40" t="s">
        <v>1147</v>
      </c>
      <c r="B1" s="246"/>
      <c r="C1" s="2277"/>
      <c r="D1" s="2278"/>
      <c r="E1" s="2279"/>
      <c r="F1" s="2279"/>
      <c r="G1" s="2280"/>
      <c r="H1" s="2279"/>
      <c r="I1" s="2279"/>
      <c r="J1" s="2279"/>
      <c r="K1" s="2346">
        <f>MATCH(C1,'数据-取费表'!A6:A16,0)+5</f>
        <v>7</v>
      </c>
    </row>
    <row r="2" spans="1:33" ht="18" customHeight="1">
      <c r="A2" s="44" t="s">
        <v>1055</v>
      </c>
      <c r="B2" s="52">
        <f ca="1">C32</f>
        <v>-990</v>
      </c>
      <c r="C2" s="2281" t="s">
        <v>1148</v>
      </c>
      <c r="D2" s="2281"/>
      <c r="E2" s="2279"/>
      <c r="F2" s="2279"/>
      <c r="G2" s="2279"/>
      <c r="H2" s="2279"/>
      <c r="I2" s="2279"/>
      <c r="J2" s="2279"/>
      <c r="K2" s="2279"/>
    </row>
    <row r="3" spans="1:33" ht="18" customHeight="1">
      <c r="A3" s="51" t="s">
        <v>1057</v>
      </c>
      <c r="B3" s="52">
        <f ca="1">ROUND(B2*10000/IF(C1="",'数据-汇总表'!E3,INDIRECT("'数据-取费表'!K"&amp;$K$1)),0)</f>
        <v>-194</v>
      </c>
      <c r="C3" s="2281" t="s">
        <v>1149</v>
      </c>
      <c r="D3" s="2281"/>
      <c r="E3" s="2279"/>
      <c r="F3" s="2279"/>
      <c r="G3" s="2279"/>
      <c r="H3" s="2279"/>
      <c r="I3" s="2279"/>
      <c r="J3" s="2279"/>
      <c r="K3" s="2279"/>
    </row>
    <row r="4" spans="1:33" s="2267" customFormat="1" ht="16.5" customHeight="1">
      <c r="A4" s="2282" t="s">
        <v>1150</v>
      </c>
      <c r="B4" s="2283"/>
      <c r="C4" s="2284">
        <f>SUM(C8:K8)</f>
        <v>0</v>
      </c>
      <c r="D4" s="2283"/>
      <c r="E4" s="2283"/>
      <c r="F4" s="2283"/>
      <c r="G4" s="2283"/>
      <c r="H4" s="2283"/>
      <c r="I4" s="2283"/>
      <c r="J4" s="2283"/>
      <c r="K4" s="2347"/>
    </row>
    <row r="5" spans="1:33" s="2268" customFormat="1" ht="25.2">
      <c r="A5" s="766" t="s">
        <v>1151</v>
      </c>
      <c r="B5" s="2285" t="s">
        <v>1152</v>
      </c>
      <c r="C5" s="2286" t="s">
        <v>1153</v>
      </c>
      <c r="D5" s="2286" t="s">
        <v>1154</v>
      </c>
      <c r="E5" s="2286" t="s">
        <v>1155</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964</v>
      </c>
      <c r="B6" s="208" t="s">
        <v>1156</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968</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1013</v>
      </c>
      <c r="B8" s="2291" t="s">
        <v>1157</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1158</v>
      </c>
      <c r="B9" s="2283"/>
      <c r="C9" s="2283"/>
      <c r="D9" s="2283"/>
      <c r="E9" s="2283"/>
      <c r="F9" s="2283"/>
      <c r="G9" s="2283"/>
      <c r="H9" s="2283"/>
      <c r="I9" s="2283"/>
      <c r="J9" s="2283"/>
      <c r="K9" s="2347"/>
    </row>
    <row r="10" spans="1:33" s="2269" customFormat="1" ht="13.5" customHeight="1">
      <c r="A10" s="766" t="s">
        <v>1151</v>
      </c>
      <c r="B10" s="2294" t="s">
        <v>1152</v>
      </c>
      <c r="C10" s="2295" t="s">
        <v>1159</v>
      </c>
      <c r="D10" s="2296" t="s">
        <v>1160</v>
      </c>
      <c r="E10" s="2296" t="s">
        <v>1161</v>
      </c>
      <c r="F10" s="2296" t="s">
        <v>1162</v>
      </c>
      <c r="G10" s="2294"/>
      <c r="H10" s="2297"/>
      <c r="I10" s="2297"/>
      <c r="J10" s="2297"/>
      <c r="K10" s="2352"/>
    </row>
    <row r="11" spans="1:33" s="2270" customFormat="1" ht="13.5" customHeight="1">
      <c r="A11" s="2298" t="s">
        <v>1070</v>
      </c>
      <c r="B11" s="2299" t="s">
        <v>1163</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1072</v>
      </c>
      <c r="B12" s="2299" t="s">
        <v>1164</v>
      </c>
      <c r="C12" s="201">
        <f ca="1">ROUND(C11*F12,0)</f>
        <v>0</v>
      </c>
      <c r="D12" s="2301"/>
      <c r="E12" s="212"/>
      <c r="F12" s="2303">
        <f>'数据-取费表'!B33</f>
        <v>0.03</v>
      </c>
      <c r="G12" s="2294" t="s">
        <v>1165</v>
      </c>
      <c r="H12" s="2297"/>
      <c r="I12" s="2297"/>
      <c r="J12" s="2297"/>
      <c r="K12" s="2352"/>
    </row>
    <row r="13" spans="1:33" s="2270" customFormat="1" ht="13.5" customHeight="1">
      <c r="A13" s="2298" t="s">
        <v>1166</v>
      </c>
      <c r="B13" s="2299" t="s">
        <v>1167</v>
      </c>
      <c r="C13" s="201">
        <f ca="1">ROUND(IF(C1="",SUMIF('数据-取费表'!C:C,"住宅",'数据-取费表'!P:P)*F13,IF(INDIRECT("'数据-取费表'!c"&amp;$K$1)="住宅",INDIRECT("'数据-取费表'!P"&amp;$K$1)*F13,0)),0)</f>
        <v>0</v>
      </c>
      <c r="D13" s="2304"/>
      <c r="E13" s="212"/>
      <c r="F13" s="2303">
        <f>'数据-取费表'!B34</f>
        <v>0</v>
      </c>
      <c r="G13" s="2294" t="s">
        <v>1168</v>
      </c>
      <c r="H13" s="2297"/>
      <c r="I13" s="2297"/>
      <c r="J13" s="2297"/>
      <c r="K13" s="2352"/>
    </row>
    <row r="14" spans="1:33" s="2271" customFormat="1" ht="13.5" customHeight="1">
      <c r="A14" s="2298" t="s">
        <v>1169</v>
      </c>
      <c r="B14" s="2299" t="s">
        <v>1170</v>
      </c>
      <c r="C14" s="201">
        <f ca="1">ROUND(D14*E14*F11/10000,0)</f>
        <v>0</v>
      </c>
      <c r="D14" s="2304">
        <f ca="1">IF(C1="",'数据-汇总表'!E3,INDIRECT("'数据-取费表'!K"&amp;$K$1)+INDIRECT("'数据-取费表'!S"&amp;$K$1))</f>
        <v>51096.2</v>
      </c>
      <c r="E14" s="201">
        <f>'数据-取费表'!B35</f>
        <v>200</v>
      </c>
      <c r="F14" s="2303"/>
      <c r="G14" s="2294" t="s">
        <v>1171</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1172</v>
      </c>
      <c r="B15" s="2299" t="s">
        <v>1173</v>
      </c>
      <c r="C15" s="2305">
        <f ca="1">ROUND(C11*F15,0)</f>
        <v>0</v>
      </c>
      <c r="D15" s="2306"/>
      <c r="E15" s="2305"/>
      <c r="F15" s="2307">
        <f>'数据-取费表'!B36</f>
        <v>1.4999999999999999E-2</v>
      </c>
      <c r="G15" s="208" t="s">
        <v>1174</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987</v>
      </c>
      <c r="B16" s="2299" t="s">
        <v>1175</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991</v>
      </c>
      <c r="B17" s="2299" t="s">
        <v>1176</v>
      </c>
      <c r="C17" s="201">
        <f ca="1">ROUND(D17*E17/10000,0)</f>
        <v>0</v>
      </c>
      <c r="D17" s="2304">
        <f ca="1">D14</f>
        <v>51096.2</v>
      </c>
      <c r="E17" s="201">
        <f>'数据-取费表'!B32</f>
        <v>0</v>
      </c>
      <c r="F17" s="2306"/>
      <c r="G17" s="208" t="s">
        <v>1177</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1178</v>
      </c>
      <c r="B18" s="2299" t="s">
        <v>1179</v>
      </c>
      <c r="C18" s="201">
        <f ca="1">C19+C20-IF(C1="",'数据-取费表'!B29,IF(G18="已全部缴纳",C19+C20,H18))</f>
        <v>836</v>
      </c>
      <c r="D18" s="2304"/>
      <c r="E18" s="201"/>
      <c r="F18" s="2303"/>
      <c r="G18" s="2309"/>
      <c r="H18" s="2310"/>
      <c r="I18" s="2353" t="s">
        <v>1180</v>
      </c>
      <c r="J18" s="323"/>
      <c r="K18" s="324"/>
    </row>
    <row r="19" spans="1:33" s="2270" customFormat="1" ht="13.5" customHeight="1">
      <c r="A19" s="2298" t="s">
        <v>1070</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1072</v>
      </c>
      <c r="B20" s="2299" t="s">
        <v>1181</v>
      </c>
      <c r="C20" s="201">
        <f ca="1">ROUND(D20*E20/10000,0)</f>
        <v>1022</v>
      </c>
      <c r="D20" s="2304">
        <f ca="1">IF(C1="",'数据-汇总表'!E6,IF(INDIRECT("'数据-取费表'!c"&amp;$K$1)="住宅",INDIRECT("'数据-取费表'!s"&amp;$K$1),INDIRECT("'数据-取费表'!k"&amp;$K$1)+INDIRECT("'数据-取费表'!s"&amp;$K$1)))</f>
        <v>51096.2</v>
      </c>
      <c r="E20" s="201">
        <f>'数据-取费表'!B28</f>
        <v>200</v>
      </c>
      <c r="F20" s="2303"/>
      <c r="G20" s="322"/>
      <c r="H20" s="875"/>
      <c r="I20" s="875"/>
      <c r="J20" s="875"/>
      <c r="K20" s="2354"/>
    </row>
    <row r="21" spans="1:33" s="2270" customFormat="1" ht="13.5" customHeight="1">
      <c r="A21" s="2287" t="s">
        <v>964</v>
      </c>
      <c r="B21" s="2312" t="s">
        <v>1182</v>
      </c>
      <c r="C21" s="2313">
        <f ca="1">C16+C17+C18</f>
        <v>836</v>
      </c>
      <c r="D21" s="2314"/>
      <c r="E21" s="2315"/>
      <c r="F21" s="2315"/>
      <c r="G21" s="208" t="s">
        <v>1183</v>
      </c>
      <c r="H21" s="323"/>
      <c r="I21" s="323"/>
      <c r="J21" s="323"/>
      <c r="K21" s="324"/>
    </row>
    <row r="22" spans="1:33" s="2270" customFormat="1" ht="13.5" customHeight="1">
      <c r="A22" s="2287" t="s">
        <v>968</v>
      </c>
      <c r="B22" s="2312" t="s">
        <v>1184</v>
      </c>
      <c r="C22" s="2313">
        <f ca="1">ROUND(C21*F22,0)</f>
        <v>13</v>
      </c>
      <c r="D22" s="2315"/>
      <c r="E22" s="2315"/>
      <c r="F22" s="2316">
        <f>'数据-取费表'!B37</f>
        <v>1.4999999999999999E-2</v>
      </c>
      <c r="G22" s="2294" t="s">
        <v>1185</v>
      </c>
      <c r="H22" s="2297"/>
      <c r="I22" s="2297"/>
      <c r="J22" s="2297"/>
      <c r="K22" s="2352"/>
    </row>
    <row r="23" spans="1:33" s="2270" customFormat="1" ht="13.5" customHeight="1">
      <c r="A23" s="2287" t="s">
        <v>1013</v>
      </c>
      <c r="B23" s="2312" t="s">
        <v>1186</v>
      </c>
      <c r="C23" s="2313">
        <f ca="1">ROUND(C4*F23*F11,0)</f>
        <v>0</v>
      </c>
      <c r="D23" s="2315"/>
      <c r="E23" s="2315"/>
      <c r="F23" s="2316">
        <f>'数据-取费表'!B38</f>
        <v>1.4999999999999999E-2</v>
      </c>
      <c r="G23" s="2294" t="s">
        <v>1187</v>
      </c>
      <c r="H23" s="2297"/>
      <c r="I23" s="2297"/>
      <c r="J23" s="2297"/>
      <c r="K23" s="2352"/>
    </row>
    <row r="24" spans="1:33" s="2270" customFormat="1" ht="13.5" customHeight="1">
      <c r="A24" s="2287" t="s">
        <v>1016</v>
      </c>
      <c r="B24" s="2312" t="s">
        <v>1188</v>
      </c>
      <c r="C24" s="2317">
        <f>ROUND(F24/(1+'数据-取费表'!C42),4)</f>
        <v>2.9000000000000001E-2</v>
      </c>
      <c r="D24" s="2315" t="s">
        <v>1189</v>
      </c>
      <c r="E24" s="2315"/>
      <c r="F24" s="2316">
        <f>IF(项目基本情况!B8="出让",0,'数据-取费表'!B48+'数据-取费表'!B49)</f>
        <v>3.0499999999999999E-2</v>
      </c>
      <c r="G24" s="2294" t="s">
        <v>1190</v>
      </c>
      <c r="H24" s="2318"/>
      <c r="I24" s="2318"/>
      <c r="J24" s="2318"/>
      <c r="K24" s="2355"/>
    </row>
    <row r="25" spans="1:33" s="2270" customFormat="1" ht="13.5" customHeight="1">
      <c r="A25" s="2287" t="s">
        <v>1020</v>
      </c>
      <c r="B25" s="2314" t="s">
        <v>1191</v>
      </c>
      <c r="C25" s="2319">
        <f ca="1">C27</f>
        <v>0</v>
      </c>
      <c r="D25" s="2317">
        <f>C26</f>
        <v>0</v>
      </c>
      <c r="E25" s="2320" t="s">
        <v>1189</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987</v>
      </c>
      <c r="B26" s="2322" t="s">
        <v>1192</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991</v>
      </c>
      <c r="B27" s="2322" t="s">
        <v>1193</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1021</v>
      </c>
      <c r="B28" s="2329" t="s">
        <v>1194</v>
      </c>
      <c r="C28" s="2330">
        <f ca="1">C30</f>
        <v>170</v>
      </c>
      <c r="D28" s="2317">
        <f ca="1">C29</f>
        <v>0</v>
      </c>
      <c r="E28" s="2320" t="s">
        <v>1189</v>
      </c>
      <c r="F28" s="1833">
        <f ca="1">IF(C1="",'数据-取费表'!Q16,INDIRECT("'数据-取费表'!q"&amp;$K$1))</f>
        <v>0.2</v>
      </c>
      <c r="G28" s="2331"/>
      <c r="H28" s="2318"/>
      <c r="I28" s="2318"/>
      <c r="J28" s="2318"/>
      <c r="K28" s="2355"/>
    </row>
    <row r="29" spans="1:33" s="2274" customFormat="1" ht="13.5" customHeight="1">
      <c r="A29" s="2298" t="s">
        <v>987</v>
      </c>
      <c r="B29" s="2332" t="s">
        <v>1195</v>
      </c>
      <c r="C29" s="2324">
        <f ca="1">ROUND((1+C24)*F28*'数据-取费表'!B24/'数据-取费表'!B20,4)</f>
        <v>0</v>
      </c>
      <c r="D29" s="2324"/>
      <c r="E29" s="2325"/>
      <c r="F29" s="2333"/>
      <c r="G29" s="208" t="s">
        <v>1196</v>
      </c>
      <c r="H29" s="323"/>
      <c r="I29" s="323"/>
      <c r="J29" s="323"/>
      <c r="K29" s="324"/>
    </row>
    <row r="30" spans="1:33" s="2274" customFormat="1" ht="13.5" customHeight="1">
      <c r="A30" s="2298" t="s">
        <v>991</v>
      </c>
      <c r="B30" s="2332" t="s">
        <v>1197</v>
      </c>
      <c r="C30" s="2334">
        <f ca="1">ROUND((C21+C22+C23)*F28,0)</f>
        <v>170</v>
      </c>
      <c r="D30" s="2324"/>
      <c r="E30" s="2325"/>
      <c r="F30" s="2333"/>
      <c r="G30" s="208"/>
      <c r="H30" s="323"/>
      <c r="I30" s="323"/>
      <c r="J30" s="323"/>
      <c r="K30" s="324"/>
    </row>
    <row r="31" spans="1:33" s="2270" customFormat="1" ht="13.5" customHeight="1">
      <c r="A31" s="2335" t="s">
        <v>1198</v>
      </c>
      <c r="B31" s="2336" t="s">
        <v>1199</v>
      </c>
      <c r="C31" s="2337">
        <f>ROUND(C4*F31/(1+'数据-取费表'!C42),0)</f>
        <v>0</v>
      </c>
      <c r="D31" s="2338"/>
      <c r="E31" s="2339"/>
      <c r="F31" s="2340">
        <f>'数据-取费表'!B41</f>
        <v>5.6000000000000001E-2</v>
      </c>
      <c r="G31" s="2341" t="s">
        <v>1200</v>
      </c>
      <c r="H31" s="2342"/>
      <c r="I31" s="2342"/>
      <c r="J31" s="2342"/>
      <c r="K31" s="2356"/>
    </row>
    <row r="32" spans="1:33" s="2269" customFormat="1" ht="13.5" customHeight="1">
      <c r="A32" s="557" t="s">
        <v>1201</v>
      </c>
      <c r="B32" s="2343"/>
      <c r="C32" s="2344">
        <f ca="1">ROUND((C4-C21-C22-C23-C25-C28-C31)/(1+C24+D25+D28),0)</f>
        <v>-990</v>
      </c>
      <c r="D32" s="2343"/>
      <c r="E32" s="2343"/>
      <c r="F32" s="2343"/>
      <c r="G32" s="2345" t="s">
        <v>1202</v>
      </c>
      <c r="H32" s="2343"/>
      <c r="I32" s="2343"/>
      <c r="J32" s="2343"/>
      <c r="K32" s="235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70" zoomScaleNormal="70" zoomScaleSheetLayoutView="70" workbookViewId="0">
      <selection activeCell="I37" sqref="I37"/>
    </sheetView>
  </sheetViews>
  <sheetFormatPr defaultColWidth="9" defaultRowHeight="13.8"/>
  <cols>
    <col min="1" max="1" width="10.44140625" style="423" customWidth="1"/>
    <col min="2" max="2" width="15.77734375" style="423" customWidth="1"/>
    <col min="3" max="3" width="15.6640625" style="423" customWidth="1"/>
    <col min="4" max="4" width="12.21875" style="423" customWidth="1"/>
    <col min="5" max="5" width="15.6640625" style="423" customWidth="1"/>
    <col min="6" max="6" width="12.21875" style="423" customWidth="1"/>
    <col min="7" max="7" width="16.44140625" style="423" customWidth="1"/>
    <col min="8" max="8" width="12.21875" style="423" customWidth="1"/>
    <col min="9" max="9" width="16.109375" style="423" customWidth="1"/>
    <col min="10" max="10" width="12.21875" style="423" customWidth="1"/>
    <col min="11" max="11" width="12.21875" style="424" customWidth="1"/>
    <col min="12" max="12" width="12.21875" style="425" customWidth="1"/>
    <col min="13" max="15" width="12.21875" style="423" customWidth="1"/>
    <col min="16" max="16" width="4.77734375" style="426"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1203</v>
      </c>
      <c r="B1" s="1914" t="s">
        <v>1204</v>
      </c>
      <c r="C1" s="429" t="s">
        <v>1205</v>
      </c>
      <c r="D1" s="430" t="s">
        <v>447</v>
      </c>
      <c r="E1" s="1892"/>
      <c r="F1" s="432" t="s">
        <v>1206</v>
      </c>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f>IF(C2="——",ROUND(C50*D3/10000,0),ROUND(C50*D3/10000,0)-D2)</f>
        <v>325012</v>
      </c>
      <c r="C2" s="436" t="s">
        <v>124</v>
      </c>
      <c r="D2" s="1951" t="e">
        <f ca="1">SUMIF(INDIRECT("'"&amp;F2&amp;"'"&amp;"!A:A"),"承租人权益价值",INDIRECT("'"&amp;F2&amp;"'"&amp;"!c:c"))</f>
        <v>#REF!</v>
      </c>
      <c r="E2" s="438" t="s">
        <v>1056</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f>IF(C2="——",C50,ROUND(B2*10000/D3,0))</f>
        <v>84170</v>
      </c>
      <c r="C3" s="442" t="s">
        <v>1208</v>
      </c>
      <c r="D3" s="2248">
        <f>'数据-汇总表'!F31</f>
        <v>38613.699999999997</v>
      </c>
      <c r="E3" s="1952"/>
      <c r="F3" s="1736"/>
      <c r="G3" s="440">
        <f>B2*10000/'数据-汇总表'!E3</f>
        <v>63607.861249955968</v>
      </c>
      <c r="H3" s="440"/>
      <c r="I3" s="440"/>
      <c r="J3" s="440"/>
      <c r="K3" s="588"/>
      <c r="L3" s="589"/>
      <c r="M3" s="590"/>
      <c r="N3" s="590"/>
      <c r="O3" s="590"/>
      <c r="P3" s="655"/>
      <c r="Q3" s="655"/>
      <c r="R3" s="655"/>
      <c r="S3" s="655"/>
      <c r="T3" s="655"/>
      <c r="U3" s="655"/>
      <c r="V3" s="655"/>
      <c r="W3" s="655"/>
      <c r="X3" s="655"/>
      <c r="Y3" s="655"/>
      <c r="Z3" s="655"/>
      <c r="AA3" s="655"/>
      <c r="AB3" s="655"/>
      <c r="AC3" s="135"/>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33" t="s">
        <v>1215</v>
      </c>
      <c r="Q4" s="3234"/>
      <c r="R4" s="3239" t="s">
        <v>1211</v>
      </c>
      <c r="S4" s="3240"/>
      <c r="T4" s="3239" t="s">
        <v>1212</v>
      </c>
      <c r="U4" s="3240"/>
      <c r="V4" s="3245" t="s">
        <v>1213</v>
      </c>
      <c r="W4" s="3245"/>
      <c r="X4" s="2259"/>
      <c r="Y4" s="3239" t="s">
        <v>1215</v>
      </c>
      <c r="Z4" s="3240"/>
      <c r="AA4" s="3227" t="s">
        <v>1211</v>
      </c>
      <c r="AB4" s="3227" t="s">
        <v>1212</v>
      </c>
      <c r="AC4" s="3230" t="s">
        <v>1213</v>
      </c>
    </row>
    <row r="5" spans="1:29">
      <c r="A5" s="448"/>
      <c r="B5" s="449"/>
      <c r="C5" s="3199" t="s">
        <v>1216</v>
      </c>
      <c r="D5" s="3200"/>
      <c r="E5" s="3201" t="str">
        <f>大宗!E11</f>
        <v>新世界燕京大厦</v>
      </c>
      <c r="F5" s="3202"/>
      <c r="G5" s="3203" t="str">
        <f>大宗!E17</f>
        <v>SK大厦</v>
      </c>
      <c r="H5" s="3200"/>
      <c r="I5" s="3201" t="s">
        <v>2856</v>
      </c>
      <c r="J5" s="3202"/>
      <c r="K5" s="592"/>
      <c r="L5" s="593"/>
      <c r="M5" s="536"/>
      <c r="N5" s="536"/>
      <c r="O5" s="536"/>
      <c r="P5" s="3235"/>
      <c r="Q5" s="3236"/>
      <c r="R5" s="3241"/>
      <c r="S5" s="3242"/>
      <c r="T5" s="3241"/>
      <c r="U5" s="3242"/>
      <c r="V5" s="3214"/>
      <c r="W5" s="3214"/>
      <c r="X5" s="658"/>
      <c r="Y5" s="3241"/>
      <c r="Z5" s="3242"/>
      <c r="AA5" s="3228"/>
      <c r="AB5" s="3228"/>
      <c r="AC5" s="3231"/>
    </row>
    <row r="6" spans="1:29" ht="15" thickBot="1">
      <c r="A6" s="450"/>
      <c r="B6" s="451"/>
      <c r="C6" s="3204" t="s">
        <v>1217</v>
      </c>
      <c r="D6" s="3205"/>
      <c r="E6" s="3206" t="s">
        <v>1217</v>
      </c>
      <c r="F6" s="3207"/>
      <c r="G6" s="3204" t="s">
        <v>1217</v>
      </c>
      <c r="H6" s="3205"/>
      <c r="I6" s="3204" t="s">
        <v>1217</v>
      </c>
      <c r="J6" s="3205"/>
      <c r="K6" s="592" t="s">
        <v>1218</v>
      </c>
      <c r="L6" s="593"/>
      <c r="M6" s="536"/>
      <c r="N6" s="536"/>
      <c r="O6" s="536"/>
      <c r="P6" s="3237"/>
      <c r="Q6" s="3238"/>
      <c r="R6" s="3241"/>
      <c r="S6" s="3242"/>
      <c r="T6" s="3243"/>
      <c r="U6" s="3244"/>
      <c r="V6" s="3214"/>
      <c r="W6" s="3214"/>
      <c r="X6" s="658"/>
      <c r="Y6" s="3243"/>
      <c r="Z6" s="3244"/>
      <c r="AA6" s="3229"/>
      <c r="AB6" s="3229"/>
      <c r="AC6" s="3232"/>
    </row>
    <row r="7" spans="1:29" s="418" customFormat="1" ht="14.4">
      <c r="A7" s="452" t="s">
        <v>1219</v>
      </c>
      <c r="B7" s="453"/>
      <c r="C7" s="454">
        <f>'数据-取费表'!B2</f>
        <v>44904</v>
      </c>
      <c r="D7" s="455">
        <v>100</v>
      </c>
      <c r="E7" s="456">
        <v>44256</v>
      </c>
      <c r="F7" s="457">
        <f>SUMIF(59:59,YEAR(E7)&amp;"-"&amp;MONTH(E7),60:60)</f>
        <v>99</v>
      </c>
      <c r="G7" s="456">
        <v>44317</v>
      </c>
      <c r="H7" s="455">
        <f>SUMIF(59:59,YEAR(G7)&amp;"-"&amp;MONTH(G7),60:60)</f>
        <v>99</v>
      </c>
      <c r="I7" s="456">
        <v>44166</v>
      </c>
      <c r="J7" s="455">
        <f>SUMIF(59:59,YEAR(I7)&amp;"-"&amp;MONTH(I7),60:60)</f>
        <v>98</v>
      </c>
      <c r="K7" s="594"/>
      <c r="L7" s="595"/>
      <c r="M7" s="596"/>
      <c r="N7" s="596"/>
      <c r="O7" s="596"/>
      <c r="P7" s="3208" t="s">
        <v>1220</v>
      </c>
      <c r="Q7" s="3209"/>
      <c r="R7" s="659" t="s">
        <v>1221</v>
      </c>
      <c r="S7" s="660">
        <f t="shared" ref="S7:S15" si="0">F7</f>
        <v>99</v>
      </c>
      <c r="T7" s="659" t="s">
        <v>1221</v>
      </c>
      <c r="U7" s="660">
        <f t="shared" ref="U7:U15" si="1">H7</f>
        <v>99</v>
      </c>
      <c r="V7" s="659" t="s">
        <v>1221</v>
      </c>
      <c r="W7" s="660">
        <f t="shared" ref="W7:W15" si="2">J7</f>
        <v>98</v>
      </c>
      <c r="X7" s="661"/>
      <c r="Y7" s="3210" t="s">
        <v>1220</v>
      </c>
      <c r="Z7" s="3211"/>
      <c r="AA7" s="677">
        <f>D7/F7</f>
        <v>1.0101010101010102</v>
      </c>
      <c r="AB7" s="677">
        <f>D7/H7</f>
        <v>1.0101010101010102</v>
      </c>
      <c r="AC7" s="2260">
        <f>D7/J7</f>
        <v>1.0204081632653061</v>
      </c>
    </row>
    <row r="8" spans="1:29" s="418" customFormat="1" ht="14.4">
      <c r="A8" s="452" t="s">
        <v>1222</v>
      </c>
      <c r="B8" s="453"/>
      <c r="C8" s="458" t="s">
        <v>1223</v>
      </c>
      <c r="D8" s="455">
        <v>100</v>
      </c>
      <c r="E8" s="458" t="s">
        <v>1223</v>
      </c>
      <c r="F8" s="457">
        <f>SUMIF(62:62,E8,63:63)-SUMIF(62:62,C8,63:63)+100</f>
        <v>100</v>
      </c>
      <c r="G8" s="458" t="s">
        <v>1223</v>
      </c>
      <c r="H8" s="455">
        <f>SUMIF(62:62,G8,63:63)-SUMIF(62:62,C8,63:63)+100</f>
        <v>100</v>
      </c>
      <c r="I8" s="458" t="s">
        <v>1223</v>
      </c>
      <c r="J8" s="455">
        <f>SUMIF(62:62,I8,63:63)-SUMIF(62:62,C8,63:63)+100</f>
        <v>100</v>
      </c>
      <c r="K8" s="594"/>
      <c r="L8" s="595"/>
      <c r="M8" s="596"/>
      <c r="N8" s="596"/>
      <c r="O8" s="596"/>
      <c r="P8" s="3208" t="s">
        <v>1224</v>
      </c>
      <c r="Q8" s="3211"/>
      <c r="R8" s="659" t="s">
        <v>1221</v>
      </c>
      <c r="S8" s="660">
        <f t="shared" si="0"/>
        <v>100</v>
      </c>
      <c r="T8" s="659" t="s">
        <v>1221</v>
      </c>
      <c r="U8" s="660">
        <f t="shared" si="1"/>
        <v>100</v>
      </c>
      <c r="V8" s="659" t="s">
        <v>1221</v>
      </c>
      <c r="W8" s="660">
        <f t="shared" si="2"/>
        <v>100</v>
      </c>
      <c r="X8" s="661"/>
      <c r="Y8" s="3210" t="s">
        <v>1224</v>
      </c>
      <c r="Z8" s="3211"/>
      <c r="AA8" s="677">
        <f t="shared" ref="AA8:AA47" si="3">D8/F8</f>
        <v>1</v>
      </c>
      <c r="AB8" s="677">
        <f t="shared" ref="AB8:AB47" si="4">D8/H8</f>
        <v>1</v>
      </c>
      <c r="AC8" s="2260">
        <f t="shared" ref="AC8:AC47" si="5">D8/J8</f>
        <v>1</v>
      </c>
    </row>
    <row r="9" spans="1:29" s="418" customFormat="1" ht="14.4">
      <c r="A9" s="1740" t="s">
        <v>1225</v>
      </c>
      <c r="B9" s="1741" t="s">
        <v>1226</v>
      </c>
      <c r="C9" s="2249" t="s">
        <v>447</v>
      </c>
      <c r="D9" s="462">
        <v>100</v>
      </c>
      <c r="E9" s="463" t="s">
        <v>1277</v>
      </c>
      <c r="F9" s="462">
        <f>SUMIF(64:64,E9,65:65)-SUMIF(64:64,C9,65:65)+100</f>
        <v>105</v>
      </c>
      <c r="G9" s="464" t="s">
        <v>447</v>
      </c>
      <c r="H9" s="462">
        <f>SUMIF(64:64,G9,65:65)-SUMIF(64:64,C9,65:65)+100</f>
        <v>100</v>
      </c>
      <c r="I9" s="464" t="s">
        <v>447</v>
      </c>
      <c r="J9" s="462">
        <f>SUMIF(64:64,I9,65:65)-SUMIF(64:64,C9,65:65)+100</f>
        <v>100</v>
      </c>
      <c r="K9" s="594"/>
      <c r="L9" s="595"/>
      <c r="M9" s="596"/>
      <c r="N9" s="596"/>
      <c r="O9" s="596"/>
      <c r="P9" s="3212" t="s">
        <v>1227</v>
      </c>
      <c r="Q9" s="663" t="str">
        <f t="shared" ref="Q9:Q15" si="6">B9</f>
        <v>用途</v>
      </c>
      <c r="R9" s="659" t="s">
        <v>1221</v>
      </c>
      <c r="S9" s="660">
        <f t="shared" si="0"/>
        <v>105</v>
      </c>
      <c r="T9" s="659" t="s">
        <v>1221</v>
      </c>
      <c r="U9" s="660">
        <f t="shared" si="1"/>
        <v>100</v>
      </c>
      <c r="V9" s="659" t="s">
        <v>1221</v>
      </c>
      <c r="W9" s="660">
        <f t="shared" si="2"/>
        <v>100</v>
      </c>
      <c r="X9" s="661"/>
      <c r="Y9" s="3186" t="s">
        <v>1228</v>
      </c>
      <c r="Z9" s="677" t="str">
        <f t="shared" ref="Z9:Z15" si="7">Q9</f>
        <v>用途</v>
      </c>
      <c r="AA9" s="677">
        <f t="shared" si="3"/>
        <v>0.95238095238095233</v>
      </c>
      <c r="AB9" s="677">
        <f t="shared" si="4"/>
        <v>1</v>
      </c>
      <c r="AC9" s="2260">
        <f t="shared" si="5"/>
        <v>1</v>
      </c>
    </row>
    <row r="10" spans="1:29" s="419" customFormat="1" ht="28.8">
      <c r="A10" s="1743"/>
      <c r="B10" s="1744" t="s">
        <v>1229</v>
      </c>
      <c r="C10" s="467" t="s">
        <v>1230</v>
      </c>
      <c r="D10" s="468">
        <v>100</v>
      </c>
      <c r="E10" s="467" t="s">
        <v>1231</v>
      </c>
      <c r="F10" s="468">
        <f>SUMIF(66:66,E10,67:67)-SUMIF(66:66,C10,67:67)+100</f>
        <v>98</v>
      </c>
      <c r="G10" s="469" t="s">
        <v>1230</v>
      </c>
      <c r="H10" s="468">
        <f>SUMIF(66:66,G10,67:67)-SUMIF(66:66,C10,67:67)+100</f>
        <v>100</v>
      </c>
      <c r="I10" s="467" t="s">
        <v>1230</v>
      </c>
      <c r="J10" s="468">
        <f>SUMIF(66:66,I10,67:67)-SUMIF(66:66,C10,67:67)+100</f>
        <v>100</v>
      </c>
      <c r="K10" s="599">
        <v>2</v>
      </c>
      <c r="L10" s="600"/>
      <c r="M10" s="601"/>
      <c r="N10" s="601"/>
      <c r="O10" s="601"/>
      <c r="P10" s="3212"/>
      <c r="Q10" s="663" t="str">
        <f t="shared" si="6"/>
        <v>土地使用年限（年）</v>
      </c>
      <c r="R10" s="659" t="s">
        <v>1221</v>
      </c>
      <c r="S10" s="660">
        <f t="shared" si="0"/>
        <v>98</v>
      </c>
      <c r="T10" s="659" t="s">
        <v>1221</v>
      </c>
      <c r="U10" s="660">
        <f t="shared" si="1"/>
        <v>100</v>
      </c>
      <c r="V10" s="659" t="s">
        <v>1221</v>
      </c>
      <c r="W10" s="660">
        <f t="shared" si="2"/>
        <v>100</v>
      </c>
      <c r="X10" s="661"/>
      <c r="Y10" s="3186"/>
      <c r="Z10" s="677" t="str">
        <f t="shared" si="7"/>
        <v>土地使用年限（年）</v>
      </c>
      <c r="AA10" s="677">
        <f t="shared" si="3"/>
        <v>1.0204081632653061</v>
      </c>
      <c r="AB10" s="677">
        <f t="shared" si="4"/>
        <v>1</v>
      </c>
      <c r="AC10" s="2260">
        <f t="shared" si="5"/>
        <v>1</v>
      </c>
    </row>
    <row r="11" spans="1:29" ht="15">
      <c r="A11" s="569"/>
      <c r="B11" s="1744" t="s">
        <v>1232</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12"/>
      <c r="Q11" s="663" t="str">
        <f t="shared" si="6"/>
        <v>容积率</v>
      </c>
      <c r="R11" s="659" t="s">
        <v>1221</v>
      </c>
      <c r="S11" s="660">
        <f t="shared" si="0"/>
        <v>100</v>
      </c>
      <c r="T11" s="659" t="s">
        <v>1221</v>
      </c>
      <c r="U11" s="660">
        <f t="shared" si="1"/>
        <v>100</v>
      </c>
      <c r="V11" s="659" t="s">
        <v>1221</v>
      </c>
      <c r="W11" s="660">
        <f t="shared" si="2"/>
        <v>100</v>
      </c>
      <c r="X11" s="661"/>
      <c r="Y11" s="3186"/>
      <c r="Z11" s="677" t="str">
        <f t="shared" si="7"/>
        <v>容积率</v>
      </c>
      <c r="AA11" s="677">
        <f t="shared" si="3"/>
        <v>1</v>
      </c>
      <c r="AB11" s="677">
        <f t="shared" si="4"/>
        <v>1</v>
      </c>
      <c r="AC11" s="2260">
        <f t="shared" si="5"/>
        <v>1</v>
      </c>
    </row>
    <row r="12" spans="1:29" s="418" customFormat="1" ht="1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12"/>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2260">
        <f t="shared" si="5"/>
        <v>1</v>
      </c>
    </row>
    <row r="13" spans="1:29" ht="1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12"/>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2260">
        <f t="shared" si="5"/>
        <v>1</v>
      </c>
    </row>
    <row r="14" spans="1:29" ht="1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12"/>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2260">
        <f t="shared" si="5"/>
        <v>1</v>
      </c>
    </row>
    <row r="15" spans="1:29" ht="69">
      <c r="A15" s="565" t="s">
        <v>1233</v>
      </c>
      <c r="B15" s="478" t="s">
        <v>1234</v>
      </c>
      <c r="C15" s="2251" t="str">
        <f>估价对象房地状况!C5</f>
        <v>估价对象位于XX商圈，周边办公楼项目较多，入驻率高，办公集聚程度较好</v>
      </c>
      <c r="D15" s="480">
        <v>100</v>
      </c>
      <c r="E15" s="483"/>
      <c r="F15" s="480">
        <f>SUMIF(77:77,E16,78:78)-SUMIF(77:77,C16,78:78)+100</f>
        <v>97</v>
      </c>
      <c r="G15" s="481"/>
      <c r="H15" s="480">
        <f>SUMIF(77:77,G16,78:78)-SUMIF(77:77,C16,78:78)+100</f>
        <v>100</v>
      </c>
      <c r="I15" s="481"/>
      <c r="J15" s="480">
        <f>SUMIF(77:77,I16,78:78)-SUMIF(77:77,C16,78:78)+100</f>
        <v>97</v>
      </c>
      <c r="K15" s="605">
        <v>3</v>
      </c>
      <c r="L15" s="604"/>
      <c r="M15" s="536"/>
      <c r="N15" s="536"/>
      <c r="O15" s="536"/>
      <c r="P15" s="3215" t="s">
        <v>1235</v>
      </c>
      <c r="Q15" s="598" t="str">
        <f t="shared" si="6"/>
        <v>办公集聚程度</v>
      </c>
      <c r="R15" s="664" t="s">
        <v>1221</v>
      </c>
      <c r="S15" s="665">
        <f t="shared" si="0"/>
        <v>97</v>
      </c>
      <c r="T15" s="664" t="s">
        <v>1221</v>
      </c>
      <c r="U15" s="665">
        <f t="shared" si="1"/>
        <v>100</v>
      </c>
      <c r="V15" s="664" t="s">
        <v>1221</v>
      </c>
      <c r="W15" s="665">
        <f t="shared" si="2"/>
        <v>97</v>
      </c>
      <c r="X15" s="658"/>
      <c r="Y15" s="3220" t="s">
        <v>1235</v>
      </c>
      <c r="Z15" s="657" t="str">
        <f t="shared" si="7"/>
        <v>办公集聚程度</v>
      </c>
      <c r="AA15" s="657">
        <f t="shared" si="3"/>
        <v>1.0309278350515463</v>
      </c>
      <c r="AB15" s="657">
        <f t="shared" si="4"/>
        <v>1</v>
      </c>
      <c r="AC15" s="2261">
        <f t="shared" si="5"/>
        <v>1.0309278350515463</v>
      </c>
    </row>
    <row r="16" spans="1:29" ht="15">
      <c r="A16" s="569"/>
      <c r="B16" s="1751"/>
      <c r="C16" s="1752" t="s">
        <v>1236</v>
      </c>
      <c r="D16" s="486"/>
      <c r="E16" s="485" t="s">
        <v>1237</v>
      </c>
      <c r="F16" s="486"/>
      <c r="G16" s="485" t="s">
        <v>1236</v>
      </c>
      <c r="H16" s="488"/>
      <c r="I16" s="485" t="s">
        <v>1237</v>
      </c>
      <c r="J16" s="486"/>
      <c r="K16" s="606"/>
      <c r="L16" s="604"/>
      <c r="M16" s="536"/>
      <c r="N16" s="536"/>
      <c r="O16" s="536"/>
      <c r="P16" s="3216"/>
      <c r="Q16" s="598"/>
      <c r="R16" s="664"/>
      <c r="S16" s="665"/>
      <c r="T16" s="664"/>
      <c r="U16" s="665"/>
      <c r="V16" s="664"/>
      <c r="W16" s="665"/>
      <c r="X16" s="658"/>
      <c r="Y16" s="3221"/>
      <c r="Z16" s="657"/>
      <c r="AA16" s="657">
        <v>1</v>
      </c>
      <c r="AB16" s="657">
        <v>1</v>
      </c>
      <c r="AC16" s="2261">
        <v>1</v>
      </c>
    </row>
    <row r="17" spans="1:29" ht="82.8">
      <c r="A17" s="569"/>
      <c r="B17" s="489" t="s">
        <v>1238</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16"/>
      <c r="Q17" s="598" t="str">
        <f>B17</f>
        <v>交通便捷度</v>
      </c>
      <c r="R17" s="664" t="s">
        <v>1221</v>
      </c>
      <c r="S17" s="665">
        <f>F17</f>
        <v>100</v>
      </c>
      <c r="T17" s="664" t="s">
        <v>1221</v>
      </c>
      <c r="U17" s="665">
        <f>H17</f>
        <v>100</v>
      </c>
      <c r="V17" s="664" t="s">
        <v>1221</v>
      </c>
      <c r="W17" s="665">
        <f>J17</f>
        <v>100</v>
      </c>
      <c r="X17" s="658"/>
      <c r="Y17" s="3221"/>
      <c r="Z17" s="657" t="str">
        <f>Q17</f>
        <v>交通便捷度</v>
      </c>
      <c r="AA17" s="657">
        <f t="shared" si="3"/>
        <v>1</v>
      </c>
      <c r="AB17" s="657">
        <f t="shared" si="4"/>
        <v>1</v>
      </c>
      <c r="AC17" s="2261">
        <f t="shared" si="5"/>
        <v>1</v>
      </c>
    </row>
    <row r="18" spans="1:29" ht="15">
      <c r="A18" s="569"/>
      <c r="B18" s="495"/>
      <c r="C18" s="2252" t="s">
        <v>1237</v>
      </c>
      <c r="D18" s="488"/>
      <c r="E18" s="2252" t="s">
        <v>1237</v>
      </c>
      <c r="F18" s="488"/>
      <c r="G18" s="2252" t="s">
        <v>1237</v>
      </c>
      <c r="H18" s="486"/>
      <c r="I18" s="2252" t="s">
        <v>1237</v>
      </c>
      <c r="J18" s="486"/>
      <c r="K18" s="606"/>
      <c r="L18" s="604"/>
      <c r="M18" s="536"/>
      <c r="N18" s="536"/>
      <c r="O18" s="536"/>
      <c r="P18" s="3216"/>
      <c r="Q18" s="598"/>
      <c r="R18" s="664"/>
      <c r="S18" s="665"/>
      <c r="T18" s="664"/>
      <c r="U18" s="665"/>
      <c r="V18" s="664"/>
      <c r="W18" s="665"/>
      <c r="X18" s="658"/>
      <c r="Y18" s="3221"/>
      <c r="Z18" s="657"/>
      <c r="AA18" s="657">
        <v>1</v>
      </c>
      <c r="AB18" s="657">
        <v>1</v>
      </c>
      <c r="AC18" s="2261">
        <v>1</v>
      </c>
    </row>
    <row r="19" spans="1:29" ht="41.4">
      <c r="A19" s="569"/>
      <c r="B19" s="489" t="s">
        <v>1239</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16"/>
      <c r="Q19" s="598" t="str">
        <f>B19</f>
        <v>公共配套设施</v>
      </c>
      <c r="R19" s="664" t="s">
        <v>1221</v>
      </c>
      <c r="S19" s="665">
        <f>F19</f>
        <v>100</v>
      </c>
      <c r="T19" s="664" t="s">
        <v>1221</v>
      </c>
      <c r="U19" s="665">
        <f>H19</f>
        <v>100</v>
      </c>
      <c r="V19" s="664" t="s">
        <v>1221</v>
      </c>
      <c r="W19" s="665">
        <f>J19</f>
        <v>100</v>
      </c>
      <c r="X19" s="658"/>
      <c r="Y19" s="3221"/>
      <c r="Z19" s="657" t="str">
        <f>Q19</f>
        <v>公共配套设施</v>
      </c>
      <c r="AA19" s="657">
        <f t="shared" si="3"/>
        <v>1</v>
      </c>
      <c r="AB19" s="657">
        <f t="shared" si="4"/>
        <v>1</v>
      </c>
      <c r="AC19" s="2261">
        <f t="shared" si="5"/>
        <v>1</v>
      </c>
    </row>
    <row r="20" spans="1:29" ht="15">
      <c r="A20" s="569"/>
      <c r="B20" s="495"/>
      <c r="C20" s="1752" t="s">
        <v>1237</v>
      </c>
      <c r="D20" s="486"/>
      <c r="E20" s="1752" t="s">
        <v>1237</v>
      </c>
      <c r="F20" s="486"/>
      <c r="G20" s="1752" t="s">
        <v>1237</v>
      </c>
      <c r="H20" s="486"/>
      <c r="I20" s="1752" t="s">
        <v>1237</v>
      </c>
      <c r="J20" s="486"/>
      <c r="K20" s="606"/>
      <c r="L20" s="604"/>
      <c r="M20" s="536"/>
      <c r="N20" s="536"/>
      <c r="O20" s="536"/>
      <c r="P20" s="3216"/>
      <c r="Q20" s="598"/>
      <c r="R20" s="664"/>
      <c r="S20" s="665"/>
      <c r="T20" s="664"/>
      <c r="U20" s="665"/>
      <c r="V20" s="664"/>
      <c r="W20" s="665"/>
      <c r="X20" s="658"/>
      <c r="Y20" s="3221"/>
      <c r="Z20" s="657"/>
      <c r="AA20" s="657">
        <v>1</v>
      </c>
      <c r="AB20" s="657">
        <v>1</v>
      </c>
      <c r="AC20" s="2261">
        <v>1</v>
      </c>
    </row>
    <row r="21" spans="1:29" ht="27.6">
      <c r="A21" s="569"/>
      <c r="B21" s="497" t="s">
        <v>1240</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2</v>
      </c>
      <c r="L21" s="604"/>
      <c r="M21" s="536"/>
      <c r="N21" s="536"/>
      <c r="O21" s="536"/>
      <c r="P21" s="3216"/>
      <c r="Q21" s="598" t="str">
        <f>B21</f>
        <v>基础设施水平</v>
      </c>
      <c r="R21" s="664" t="s">
        <v>1221</v>
      </c>
      <c r="S21" s="665">
        <f>F21</f>
        <v>100</v>
      </c>
      <c r="T21" s="664" t="s">
        <v>1221</v>
      </c>
      <c r="U21" s="665">
        <f>H21</f>
        <v>100</v>
      </c>
      <c r="V21" s="664" t="s">
        <v>1221</v>
      </c>
      <c r="W21" s="665">
        <f>J21</f>
        <v>100</v>
      </c>
      <c r="X21" s="658"/>
      <c r="Y21" s="3221"/>
      <c r="Z21" s="657" t="str">
        <f>Q21</f>
        <v>基础设施水平</v>
      </c>
      <c r="AA21" s="657">
        <f t="shared" ref="AA21" si="8">D21/F21</f>
        <v>1</v>
      </c>
      <c r="AB21" s="657">
        <f t="shared" ref="AB21" si="9">D21/H21</f>
        <v>1</v>
      </c>
      <c r="AC21" s="2261">
        <f t="shared" ref="AC21" si="10">D21/J21</f>
        <v>1</v>
      </c>
    </row>
    <row r="22" spans="1:29" ht="15">
      <c r="A22" s="569"/>
      <c r="B22" s="497"/>
      <c r="C22" s="2252" t="s">
        <v>238</v>
      </c>
      <c r="D22" s="486"/>
      <c r="E22" s="2252" t="s">
        <v>238</v>
      </c>
      <c r="F22" s="486"/>
      <c r="G22" s="2252" t="s">
        <v>238</v>
      </c>
      <c r="H22" s="486"/>
      <c r="I22" s="2252" t="s">
        <v>238</v>
      </c>
      <c r="J22" s="486"/>
      <c r="K22" s="607"/>
      <c r="L22" s="604"/>
      <c r="M22" s="536"/>
      <c r="N22" s="536"/>
      <c r="O22" s="536"/>
      <c r="P22" s="3216"/>
      <c r="Q22" s="598"/>
      <c r="R22" s="664"/>
      <c r="S22" s="665"/>
      <c r="T22" s="664"/>
      <c r="U22" s="665"/>
      <c r="V22" s="664"/>
      <c r="W22" s="665"/>
      <c r="X22" s="658"/>
      <c r="Y22" s="3221"/>
      <c r="Z22" s="657"/>
      <c r="AA22" s="657">
        <v>1</v>
      </c>
      <c r="AB22" s="657">
        <v>1</v>
      </c>
      <c r="AC22" s="2261">
        <v>1</v>
      </c>
    </row>
    <row r="23" spans="1:29" ht="55.2">
      <c r="A23" s="569"/>
      <c r="B23" s="489" t="s">
        <v>1241</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100</v>
      </c>
      <c r="K23" s="605">
        <v>3</v>
      </c>
      <c r="L23" s="604"/>
      <c r="M23" s="536"/>
      <c r="N23" s="536"/>
      <c r="O23" s="536"/>
      <c r="P23" s="3216"/>
      <c r="Q23" s="598" t="str">
        <f>B23</f>
        <v>环境质量</v>
      </c>
      <c r="R23" s="664" t="s">
        <v>1221</v>
      </c>
      <c r="S23" s="665">
        <f>F23</f>
        <v>100</v>
      </c>
      <c r="T23" s="664" t="s">
        <v>1221</v>
      </c>
      <c r="U23" s="665">
        <f>H23</f>
        <v>100</v>
      </c>
      <c r="V23" s="664" t="s">
        <v>1221</v>
      </c>
      <c r="W23" s="665">
        <f>J23</f>
        <v>100</v>
      </c>
      <c r="X23" s="658"/>
      <c r="Y23" s="3221"/>
      <c r="Z23" s="657" t="str">
        <f>Q23</f>
        <v>环境质量</v>
      </c>
      <c r="AA23" s="657">
        <f t="shared" si="3"/>
        <v>1</v>
      </c>
      <c r="AB23" s="657">
        <f t="shared" si="4"/>
        <v>1</v>
      </c>
      <c r="AC23" s="2261">
        <f t="shared" si="5"/>
        <v>1</v>
      </c>
    </row>
    <row r="24" spans="1:29" ht="15">
      <c r="A24" s="569"/>
      <c r="B24" s="497"/>
      <c r="C24" s="1752" t="s">
        <v>1237</v>
      </c>
      <c r="D24" s="486"/>
      <c r="E24" s="1752" t="s">
        <v>1237</v>
      </c>
      <c r="F24" s="486"/>
      <c r="G24" s="1752" t="s">
        <v>1237</v>
      </c>
      <c r="H24" s="486"/>
      <c r="I24" s="1752" t="s">
        <v>1237</v>
      </c>
      <c r="J24" s="486"/>
      <c r="K24" s="606"/>
      <c r="L24" s="604"/>
      <c r="M24" s="536"/>
      <c r="N24" s="536"/>
      <c r="O24" s="536"/>
      <c r="P24" s="3216"/>
      <c r="Q24" s="598"/>
      <c r="R24" s="664"/>
      <c r="S24" s="665"/>
      <c r="T24" s="664"/>
      <c r="U24" s="665"/>
      <c r="V24" s="664"/>
      <c r="W24" s="665"/>
      <c r="X24" s="658"/>
      <c r="Y24" s="3221"/>
      <c r="Z24" s="657"/>
      <c r="AA24" s="657">
        <v>1</v>
      </c>
      <c r="AB24" s="657">
        <v>1</v>
      </c>
      <c r="AC24" s="2261">
        <v>1</v>
      </c>
    </row>
    <row r="25" spans="1:29" ht="28.8">
      <c r="A25" s="448"/>
      <c r="B25" s="489" t="s">
        <v>1242</v>
      </c>
      <c r="C25" s="1979"/>
      <c r="D25" s="477">
        <v>100</v>
      </c>
      <c r="E25" s="476"/>
      <c r="F25" s="477">
        <f>SUMIF(87:87,E26,88:88)-SUMIF(87:87,C26,88:88)+100</f>
        <v>100</v>
      </c>
      <c r="G25" s="1979"/>
      <c r="H25" s="477">
        <f>SUMIF(87:87,G26,88:88)-SUMIF(87:87,C26,88:88)+100</f>
        <v>100</v>
      </c>
      <c r="I25" s="476"/>
      <c r="J25" s="477">
        <f>SUMIF(87:87,I26,88:88)-SUMIF(87:87,C26,88:88)+100</f>
        <v>100</v>
      </c>
      <c r="K25" s="605"/>
      <c r="L25" s="604"/>
      <c r="M25" s="536"/>
      <c r="N25" s="536"/>
      <c r="O25" s="536"/>
      <c r="P25" s="3216"/>
      <c r="Q25" s="598" t="str">
        <f>B25</f>
        <v>毗邻道路的类型与等级</v>
      </c>
      <c r="R25" s="664" t="s">
        <v>1221</v>
      </c>
      <c r="S25" s="665">
        <f>F25</f>
        <v>100</v>
      </c>
      <c r="T25" s="664" t="s">
        <v>1221</v>
      </c>
      <c r="U25" s="665">
        <f>H25</f>
        <v>100</v>
      </c>
      <c r="V25" s="664" t="s">
        <v>1221</v>
      </c>
      <c r="W25" s="665">
        <f>J25</f>
        <v>100</v>
      </c>
      <c r="X25" s="658"/>
      <c r="Y25" s="3221"/>
      <c r="Z25" s="657" t="str">
        <f>Q25</f>
        <v>毗邻道路的类型与等级</v>
      </c>
      <c r="AA25" s="657">
        <f t="shared" si="3"/>
        <v>1</v>
      </c>
      <c r="AB25" s="657">
        <f t="shared" si="4"/>
        <v>1</v>
      </c>
      <c r="AC25" s="2261">
        <f t="shared" si="5"/>
        <v>1</v>
      </c>
    </row>
    <row r="26" spans="1:29" ht="15">
      <c r="A26" s="448"/>
      <c r="B26" s="495"/>
      <c r="C26" s="1755"/>
      <c r="D26" s="477"/>
      <c r="E26" s="501"/>
      <c r="F26" s="477"/>
      <c r="G26" s="1755"/>
      <c r="H26" s="477"/>
      <c r="I26" s="501"/>
      <c r="J26" s="477"/>
      <c r="K26" s="606"/>
      <c r="L26" s="604"/>
      <c r="M26" s="536"/>
      <c r="N26" s="536"/>
      <c r="O26" s="536"/>
      <c r="P26" s="3216"/>
      <c r="Q26" s="598"/>
      <c r="R26" s="664"/>
      <c r="S26" s="665"/>
      <c r="T26" s="664"/>
      <c r="U26" s="665"/>
      <c r="V26" s="664"/>
      <c r="W26" s="665"/>
      <c r="X26" s="658"/>
      <c r="Y26" s="3221"/>
      <c r="Z26" s="657"/>
      <c r="AA26" s="657">
        <v>1</v>
      </c>
      <c r="AB26" s="657">
        <v>1</v>
      </c>
      <c r="AC26" s="2261">
        <v>1</v>
      </c>
    </row>
    <row r="27" spans="1:29" ht="15">
      <c r="A27" s="569"/>
      <c r="B27" s="495" t="s">
        <v>1243</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16"/>
      <c r="Q27" s="598" t="str">
        <f t="shared" ref="Q27:Q47" si="11">B27</f>
        <v>楼层</v>
      </c>
      <c r="R27" s="664" t="s">
        <v>1221</v>
      </c>
      <c r="S27" s="665">
        <f>F27</f>
        <v>100</v>
      </c>
      <c r="T27" s="664" t="s">
        <v>1221</v>
      </c>
      <c r="U27" s="665">
        <f>H27</f>
        <v>100</v>
      </c>
      <c r="V27" s="664" t="s">
        <v>1221</v>
      </c>
      <c r="W27" s="665">
        <f>J27</f>
        <v>100</v>
      </c>
      <c r="X27" s="658"/>
      <c r="Y27" s="3221"/>
      <c r="Z27" s="657" t="str">
        <f>Q27</f>
        <v>楼层</v>
      </c>
      <c r="AA27" s="657">
        <f t="shared" si="3"/>
        <v>1</v>
      </c>
      <c r="AB27" s="657">
        <f t="shared" si="4"/>
        <v>1</v>
      </c>
      <c r="AC27" s="2261">
        <f t="shared" si="5"/>
        <v>1</v>
      </c>
    </row>
    <row r="28" spans="1:29" s="418" customFormat="1" ht="15">
      <c r="A28" s="683"/>
      <c r="B28" s="489" t="s">
        <v>1244</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16"/>
      <c r="Q28" s="663" t="str">
        <f t="shared" si="11"/>
        <v>朝向</v>
      </c>
      <c r="R28" s="659" t="s">
        <v>1221</v>
      </c>
      <c r="S28" s="660">
        <f>F28</f>
        <v>100</v>
      </c>
      <c r="T28" s="659" t="s">
        <v>1221</v>
      </c>
      <c r="U28" s="660">
        <f>H28</f>
        <v>100</v>
      </c>
      <c r="V28" s="659" t="s">
        <v>1221</v>
      </c>
      <c r="W28" s="660">
        <f>J28</f>
        <v>100</v>
      </c>
      <c r="X28" s="661"/>
      <c r="Y28" s="3221"/>
      <c r="Z28" s="677" t="str">
        <f>Q28</f>
        <v>朝向</v>
      </c>
      <c r="AA28" s="657">
        <f t="shared" si="3"/>
        <v>1</v>
      </c>
      <c r="AB28" s="657">
        <f t="shared" si="4"/>
        <v>1</v>
      </c>
      <c r="AC28" s="2261">
        <f t="shared" si="5"/>
        <v>1</v>
      </c>
    </row>
    <row r="29" spans="1:29" ht="1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16"/>
      <c r="Q29" s="598">
        <f t="shared" si="11"/>
        <v>111</v>
      </c>
      <c r="R29" s="664" t="s">
        <v>1221</v>
      </c>
      <c r="S29" s="665">
        <f t="shared" ref="S29:S47" si="12">F29</f>
        <v>100</v>
      </c>
      <c r="T29" s="664" t="s">
        <v>1221</v>
      </c>
      <c r="U29" s="665">
        <f t="shared" ref="U29:U47" si="13">H29</f>
        <v>100</v>
      </c>
      <c r="V29" s="664" t="s">
        <v>1221</v>
      </c>
      <c r="W29" s="665">
        <f t="shared" ref="W29:W47" si="14">J29</f>
        <v>100</v>
      </c>
      <c r="X29" s="658"/>
      <c r="Y29" s="3221"/>
      <c r="Z29" s="657">
        <f t="shared" ref="Z29:Z47" si="15">Q29</f>
        <v>111</v>
      </c>
      <c r="AA29" s="657">
        <f t="shared" si="3"/>
        <v>1</v>
      </c>
      <c r="AB29" s="657">
        <f t="shared" si="4"/>
        <v>1</v>
      </c>
      <c r="AC29" s="2261">
        <f t="shared" si="5"/>
        <v>1</v>
      </c>
    </row>
    <row r="30" spans="1:29" ht="1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16"/>
      <c r="Q30" s="598">
        <f t="shared" si="11"/>
        <v>111</v>
      </c>
      <c r="R30" s="664" t="s">
        <v>1221</v>
      </c>
      <c r="S30" s="665">
        <f t="shared" si="12"/>
        <v>100</v>
      </c>
      <c r="T30" s="664" t="s">
        <v>1221</v>
      </c>
      <c r="U30" s="665">
        <f t="shared" si="13"/>
        <v>100</v>
      </c>
      <c r="V30" s="664" t="s">
        <v>1221</v>
      </c>
      <c r="W30" s="665">
        <f t="shared" si="14"/>
        <v>100</v>
      </c>
      <c r="X30" s="658"/>
      <c r="Y30" s="3221"/>
      <c r="Z30" s="657">
        <f t="shared" si="15"/>
        <v>111</v>
      </c>
      <c r="AA30" s="657">
        <f t="shared" si="3"/>
        <v>1</v>
      </c>
      <c r="AB30" s="657">
        <f t="shared" si="4"/>
        <v>1</v>
      </c>
      <c r="AC30" s="2261">
        <f t="shared" si="5"/>
        <v>1</v>
      </c>
    </row>
    <row r="31" spans="1:29" ht="1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16"/>
      <c r="Q31" s="598">
        <f t="shared" si="11"/>
        <v>111</v>
      </c>
      <c r="R31" s="664" t="s">
        <v>1221</v>
      </c>
      <c r="S31" s="665">
        <f t="shared" si="12"/>
        <v>100</v>
      </c>
      <c r="T31" s="664" t="s">
        <v>1221</v>
      </c>
      <c r="U31" s="665">
        <f t="shared" si="13"/>
        <v>100</v>
      </c>
      <c r="V31" s="664" t="s">
        <v>1221</v>
      </c>
      <c r="W31" s="665">
        <f t="shared" si="14"/>
        <v>100</v>
      </c>
      <c r="X31" s="658"/>
      <c r="Y31" s="3221"/>
      <c r="Z31" s="657">
        <f t="shared" si="15"/>
        <v>111</v>
      </c>
      <c r="AA31" s="657">
        <f t="shared" si="3"/>
        <v>1</v>
      </c>
      <c r="AB31" s="657">
        <f t="shared" si="4"/>
        <v>1</v>
      </c>
      <c r="AC31" s="2261">
        <f t="shared" si="5"/>
        <v>1</v>
      </c>
    </row>
    <row r="32" spans="1:29" ht="1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16"/>
      <c r="Q32" s="598">
        <f t="shared" si="11"/>
        <v>111</v>
      </c>
      <c r="R32" s="664" t="s">
        <v>1221</v>
      </c>
      <c r="S32" s="665">
        <f t="shared" si="12"/>
        <v>100</v>
      </c>
      <c r="T32" s="664" t="s">
        <v>1221</v>
      </c>
      <c r="U32" s="665">
        <f t="shared" si="13"/>
        <v>100</v>
      </c>
      <c r="V32" s="664" t="s">
        <v>1221</v>
      </c>
      <c r="W32" s="665">
        <f t="shared" si="14"/>
        <v>100</v>
      </c>
      <c r="X32" s="658"/>
      <c r="Y32" s="3221"/>
      <c r="Z32" s="657">
        <f t="shared" si="15"/>
        <v>111</v>
      </c>
      <c r="AA32" s="657">
        <f t="shared" si="3"/>
        <v>1</v>
      </c>
      <c r="AB32" s="657">
        <f t="shared" si="4"/>
        <v>1</v>
      </c>
      <c r="AC32" s="2261">
        <f t="shared" si="5"/>
        <v>1</v>
      </c>
    </row>
    <row r="33" spans="1:29" ht="15">
      <c r="A33" s="565" t="s">
        <v>1245</v>
      </c>
      <c r="B33" s="1741" t="s">
        <v>1246</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17" t="s">
        <v>1247</v>
      </c>
      <c r="Q33" s="598" t="str">
        <f t="shared" si="11"/>
        <v>建筑类型</v>
      </c>
      <c r="R33" s="664" t="s">
        <v>1221</v>
      </c>
      <c r="S33" s="665">
        <f t="shared" si="12"/>
        <v>100</v>
      </c>
      <c r="T33" s="664" t="s">
        <v>1221</v>
      </c>
      <c r="U33" s="665">
        <f t="shared" si="13"/>
        <v>100</v>
      </c>
      <c r="V33" s="664" t="s">
        <v>1221</v>
      </c>
      <c r="W33" s="665">
        <f t="shared" si="14"/>
        <v>100</v>
      </c>
      <c r="X33" s="658"/>
      <c r="Y33" s="3222" t="s">
        <v>1247</v>
      </c>
      <c r="Z33" s="657" t="str">
        <f t="shared" si="15"/>
        <v>建筑类型</v>
      </c>
      <c r="AA33" s="657">
        <f t="shared" si="3"/>
        <v>1</v>
      </c>
      <c r="AB33" s="657">
        <f t="shared" si="4"/>
        <v>1</v>
      </c>
      <c r="AC33" s="2261">
        <f t="shared" si="5"/>
        <v>1</v>
      </c>
    </row>
    <row r="34" spans="1:29" s="420" customFormat="1" ht="15">
      <c r="A34" s="687"/>
      <c r="B34" s="1744" t="s">
        <v>1248</v>
      </c>
      <c r="C34" s="516">
        <f>'数据-汇总表'!E3</f>
        <v>51096.2</v>
      </c>
      <c r="D34" s="468">
        <v>100</v>
      </c>
      <c r="E34" s="516">
        <f>大宗!O11</f>
        <v>32414</v>
      </c>
      <c r="F34" s="1744">
        <f>LOOKUP(E34,104:104,105:105)-LOOKUP(C34,104:104,105:105)+100</f>
        <v>101</v>
      </c>
      <c r="G34" s="516">
        <f>大宗!O17</f>
        <v>122430.06</v>
      </c>
      <c r="H34" s="468">
        <f>LOOKUP(G34,104:104,105:105)-LOOKUP(C34,104:104,105:105)+100</f>
        <v>99</v>
      </c>
      <c r="I34" s="516">
        <v>39145.39</v>
      </c>
      <c r="J34" s="468">
        <f>LOOKUP(I34,104:104,105:105)-LOOKUP(C34,104:104,105:105)+100</f>
        <v>101</v>
      </c>
      <c r="K34" s="602"/>
      <c r="L34" s="603"/>
      <c r="M34" s="608"/>
      <c r="N34" s="608"/>
      <c r="O34" s="608"/>
      <c r="P34" s="3218"/>
      <c r="Q34" s="666" t="str">
        <f t="shared" si="11"/>
        <v>项目建筑规模</v>
      </c>
      <c r="R34" s="667" t="s">
        <v>1221</v>
      </c>
      <c r="S34" s="668">
        <f t="shared" si="12"/>
        <v>101</v>
      </c>
      <c r="T34" s="667" t="s">
        <v>1221</v>
      </c>
      <c r="U34" s="668">
        <f t="shared" si="13"/>
        <v>99</v>
      </c>
      <c r="V34" s="667" t="s">
        <v>1221</v>
      </c>
      <c r="W34" s="668">
        <f t="shared" si="14"/>
        <v>101</v>
      </c>
      <c r="X34" s="669"/>
      <c r="Y34" s="3222"/>
      <c r="Z34" s="678" t="str">
        <f t="shared" si="15"/>
        <v>项目建筑规模</v>
      </c>
      <c r="AA34" s="657">
        <f t="shared" si="3"/>
        <v>0.99009900990099009</v>
      </c>
      <c r="AB34" s="657">
        <f t="shared" si="4"/>
        <v>1.0101010101010102</v>
      </c>
      <c r="AC34" s="2261">
        <f t="shared" si="5"/>
        <v>0.99009900990099009</v>
      </c>
    </row>
    <row r="35" spans="1:29" ht="15">
      <c r="A35" s="685"/>
      <c r="B35" s="1744" t="s">
        <v>1249</v>
      </c>
      <c r="C35" s="515" t="s">
        <v>1250</v>
      </c>
      <c r="D35" s="477">
        <v>100</v>
      </c>
      <c r="E35" s="515" t="s">
        <v>1250</v>
      </c>
      <c r="F35" s="502">
        <f>SUMIF(106:106,E35,107:107)-SUMIF(106:106,C35,107:107)+100</f>
        <v>100</v>
      </c>
      <c r="G35" s="515" t="s">
        <v>1250</v>
      </c>
      <c r="H35" s="477">
        <f>SUMIF(106:106,G35,107:107)-SUMIF(106:106,C35,107:107)+100</f>
        <v>100</v>
      </c>
      <c r="I35" s="515" t="s">
        <v>1250</v>
      </c>
      <c r="J35" s="477">
        <f>SUMIF(106:106,I35,107:107)-SUMIF(106:106,C35,107:107)+100</f>
        <v>100</v>
      </c>
      <c r="K35" s="599">
        <v>2</v>
      </c>
      <c r="L35" s="604"/>
      <c r="M35" s="536"/>
      <c r="N35" s="536"/>
      <c r="O35" s="536"/>
      <c r="P35" s="3218"/>
      <c r="Q35" s="598" t="str">
        <f t="shared" si="11"/>
        <v>建筑结构</v>
      </c>
      <c r="R35" s="664" t="s">
        <v>1221</v>
      </c>
      <c r="S35" s="665">
        <f t="shared" si="12"/>
        <v>100</v>
      </c>
      <c r="T35" s="664" t="s">
        <v>1221</v>
      </c>
      <c r="U35" s="665">
        <f t="shared" si="13"/>
        <v>100</v>
      </c>
      <c r="V35" s="664" t="s">
        <v>1221</v>
      </c>
      <c r="W35" s="665">
        <f t="shared" si="14"/>
        <v>100</v>
      </c>
      <c r="X35" s="658"/>
      <c r="Y35" s="3222"/>
      <c r="Z35" s="657" t="str">
        <f t="shared" si="15"/>
        <v>建筑结构</v>
      </c>
      <c r="AA35" s="657">
        <f t="shared" si="3"/>
        <v>1</v>
      </c>
      <c r="AB35" s="657">
        <f t="shared" si="4"/>
        <v>1</v>
      </c>
      <c r="AC35" s="2261">
        <f t="shared" si="5"/>
        <v>1</v>
      </c>
    </row>
    <row r="36" spans="1:29" ht="15">
      <c r="A36" s="685"/>
      <c r="B36" s="1744" t="s">
        <v>1251</v>
      </c>
      <c r="C36" s="515" t="s">
        <v>1252</v>
      </c>
      <c r="D36" s="477">
        <v>100</v>
      </c>
      <c r="E36" s="515" t="s">
        <v>1252</v>
      </c>
      <c r="F36" s="502">
        <f>SUMIF(108:108,E36,109:109)-SUMIF(108:108,C36,109:109)+100</f>
        <v>100</v>
      </c>
      <c r="G36" s="515" t="s">
        <v>1252</v>
      </c>
      <c r="H36" s="477">
        <f>SUMIF(108:108,G36,109:109)-SUMIF(108:108,C36,109:109)+100</f>
        <v>100</v>
      </c>
      <c r="I36" s="515" t="s">
        <v>1252</v>
      </c>
      <c r="J36" s="477">
        <f>SUMIF(108:108,I36,109:109)-SUMIF(108:108,C36,109:109)+100</f>
        <v>100</v>
      </c>
      <c r="K36" s="599">
        <v>2</v>
      </c>
      <c r="L36" s="604"/>
      <c r="M36" s="536"/>
      <c r="N36" s="536"/>
      <c r="O36" s="536"/>
      <c r="P36" s="3218"/>
      <c r="Q36" s="598" t="str">
        <f t="shared" si="11"/>
        <v>公共部分装修</v>
      </c>
      <c r="R36" s="664" t="s">
        <v>1221</v>
      </c>
      <c r="S36" s="665">
        <f t="shared" si="12"/>
        <v>100</v>
      </c>
      <c r="T36" s="664" t="s">
        <v>1221</v>
      </c>
      <c r="U36" s="665">
        <f t="shared" si="13"/>
        <v>100</v>
      </c>
      <c r="V36" s="664" t="s">
        <v>1221</v>
      </c>
      <c r="W36" s="665">
        <f t="shared" si="14"/>
        <v>100</v>
      </c>
      <c r="X36" s="658"/>
      <c r="Y36" s="3222"/>
      <c r="Z36" s="657" t="str">
        <f t="shared" si="15"/>
        <v>公共部分装修</v>
      </c>
      <c r="AA36" s="657">
        <f t="shared" si="3"/>
        <v>1</v>
      </c>
      <c r="AB36" s="657">
        <f t="shared" si="4"/>
        <v>1</v>
      </c>
      <c r="AC36" s="2261">
        <f t="shared" si="5"/>
        <v>1</v>
      </c>
    </row>
    <row r="37" spans="1:29" ht="15">
      <c r="A37" s="685"/>
      <c r="B37" s="1744" t="s">
        <v>697</v>
      </c>
      <c r="C37" s="1898">
        <f>'数据-取费表'!N16</f>
        <v>0.81</v>
      </c>
      <c r="D37" s="477">
        <v>100</v>
      </c>
      <c r="E37" s="1898">
        <f>51/60</f>
        <v>0.85</v>
      </c>
      <c r="F37" s="502">
        <f>LOOKUP(E37,111:111,112:112)-LOOKUP(C37,111:111,112:112)+100</f>
        <v>100</v>
      </c>
      <c r="G37" s="1898">
        <f>C37</f>
        <v>0.81</v>
      </c>
      <c r="H37" s="502">
        <f>LOOKUP(G37,111:111,112:112)-LOOKUP(C37,111:111,112:112)+100</f>
        <v>100</v>
      </c>
      <c r="I37" s="1898">
        <v>0.9</v>
      </c>
      <c r="J37" s="477">
        <f>LOOKUP(I37,111:111,112:112)-LOOKUP(C37,111:111,112:112)+100</f>
        <v>101</v>
      </c>
      <c r="K37" s="599">
        <v>1</v>
      </c>
      <c r="L37" s="604"/>
      <c r="M37" s="536"/>
      <c r="N37" s="536"/>
      <c r="O37" s="536"/>
      <c r="P37" s="3218"/>
      <c r="Q37" s="598" t="str">
        <f t="shared" si="11"/>
        <v>成新度</v>
      </c>
      <c r="R37" s="664" t="s">
        <v>1221</v>
      </c>
      <c r="S37" s="665">
        <f t="shared" si="12"/>
        <v>100</v>
      </c>
      <c r="T37" s="664" t="s">
        <v>1221</v>
      </c>
      <c r="U37" s="665">
        <f t="shared" si="13"/>
        <v>100</v>
      </c>
      <c r="V37" s="664" t="s">
        <v>1221</v>
      </c>
      <c r="W37" s="665">
        <f t="shared" si="14"/>
        <v>101</v>
      </c>
      <c r="X37" s="658"/>
      <c r="Y37" s="3222"/>
      <c r="Z37" s="657" t="str">
        <f t="shared" si="15"/>
        <v>成新度</v>
      </c>
      <c r="AA37" s="657">
        <f t="shared" si="3"/>
        <v>1</v>
      </c>
      <c r="AB37" s="657">
        <f t="shared" si="4"/>
        <v>1</v>
      </c>
      <c r="AC37" s="2261">
        <f t="shared" si="5"/>
        <v>0.99009900990099009</v>
      </c>
    </row>
    <row r="38" spans="1:29" s="418" customFormat="1" ht="15">
      <c r="A38" s="1770"/>
      <c r="B38" s="1744" t="s">
        <v>1253</v>
      </c>
      <c r="C38" s="515" t="s">
        <v>1254</v>
      </c>
      <c r="D38" s="468">
        <v>100</v>
      </c>
      <c r="E38" s="515" t="s">
        <v>1254</v>
      </c>
      <c r="F38" s="502">
        <f>SUMIF(113:113,E38,114:114)-SUMIF(113:113,C38,114:114)+100</f>
        <v>100</v>
      </c>
      <c r="G38" s="515" t="s">
        <v>1254</v>
      </c>
      <c r="H38" s="477">
        <f>SUMIF(113:113,G38,114:114)-SUMIF(113:113,C38,114:114)+100</f>
        <v>100</v>
      </c>
      <c r="I38" s="515" t="s">
        <v>1254</v>
      </c>
      <c r="J38" s="477">
        <f>SUMIF(113:113,I38,114:114)-SUMIF(113:113,C38,114:114)+100</f>
        <v>100</v>
      </c>
      <c r="K38" s="599">
        <v>2</v>
      </c>
      <c r="L38" s="595"/>
      <c r="M38" s="596"/>
      <c r="N38" s="596"/>
      <c r="O38" s="596"/>
      <c r="P38" s="3218"/>
      <c r="Q38" s="663" t="str">
        <f t="shared" si="11"/>
        <v>写字楼等级</v>
      </c>
      <c r="R38" s="659" t="s">
        <v>1221</v>
      </c>
      <c r="S38" s="660">
        <f t="shared" si="12"/>
        <v>100</v>
      </c>
      <c r="T38" s="659" t="s">
        <v>1221</v>
      </c>
      <c r="U38" s="660">
        <f t="shared" si="13"/>
        <v>100</v>
      </c>
      <c r="V38" s="659" t="s">
        <v>1221</v>
      </c>
      <c r="W38" s="660">
        <f t="shared" si="14"/>
        <v>100</v>
      </c>
      <c r="X38" s="661"/>
      <c r="Y38" s="3222"/>
      <c r="Z38" s="677" t="str">
        <f t="shared" si="15"/>
        <v>写字楼等级</v>
      </c>
      <c r="AA38" s="677">
        <f t="shared" si="3"/>
        <v>1</v>
      </c>
      <c r="AB38" s="677">
        <f t="shared" si="4"/>
        <v>1</v>
      </c>
      <c r="AC38" s="2260">
        <f t="shared" si="5"/>
        <v>1</v>
      </c>
    </row>
    <row r="39" spans="1:29" ht="15">
      <c r="A39" s="685"/>
      <c r="B39" s="1744" t="s">
        <v>1255</v>
      </c>
      <c r="C39" s="515" t="s">
        <v>1256</v>
      </c>
      <c r="D39" s="477">
        <v>100</v>
      </c>
      <c r="E39" s="515" t="s">
        <v>1256</v>
      </c>
      <c r="F39" s="502">
        <f>SUMIF(115:115,E39,116:116)-SUMIF(115:115,C39,116:116)+100</f>
        <v>100</v>
      </c>
      <c r="G39" s="515" t="s">
        <v>1256</v>
      </c>
      <c r="H39" s="477">
        <f>SUMIF(115:115,G39,116:116)-SUMIF(115:115,C39,116:116)+100</f>
        <v>100</v>
      </c>
      <c r="I39" s="515" t="s">
        <v>1256</v>
      </c>
      <c r="J39" s="477">
        <f>SUMIF(115:115,I39,116:116)-SUMIF(115:115,C39,116:116)+100</f>
        <v>100</v>
      </c>
      <c r="K39" s="599">
        <v>2</v>
      </c>
      <c r="L39" s="604"/>
      <c r="M39" s="536"/>
      <c r="N39" s="536"/>
      <c r="O39" s="536"/>
      <c r="P39" s="3218" t="s">
        <v>1247</v>
      </c>
      <c r="Q39" s="598" t="str">
        <f t="shared" si="11"/>
        <v>物业管理</v>
      </c>
      <c r="R39" s="664" t="s">
        <v>1221</v>
      </c>
      <c r="S39" s="665">
        <f t="shared" si="12"/>
        <v>100</v>
      </c>
      <c r="T39" s="664" t="s">
        <v>1221</v>
      </c>
      <c r="U39" s="665">
        <f t="shared" si="13"/>
        <v>100</v>
      </c>
      <c r="V39" s="664" t="s">
        <v>1221</v>
      </c>
      <c r="W39" s="665">
        <f t="shared" si="14"/>
        <v>100</v>
      </c>
      <c r="X39" s="658"/>
      <c r="Y39" s="3222" t="s">
        <v>1247</v>
      </c>
      <c r="Z39" s="657" t="str">
        <f t="shared" si="15"/>
        <v>物业管理</v>
      </c>
      <c r="AA39" s="657">
        <f t="shared" si="3"/>
        <v>1</v>
      </c>
      <c r="AB39" s="657">
        <f t="shared" si="4"/>
        <v>1</v>
      </c>
      <c r="AC39" s="2261">
        <f t="shared" si="5"/>
        <v>1</v>
      </c>
    </row>
    <row r="40" spans="1:29" ht="15">
      <c r="A40" s="685"/>
      <c r="B40" s="1744" t="s">
        <v>1257</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2</v>
      </c>
      <c r="L40" s="604"/>
      <c r="M40" s="536"/>
      <c r="N40" s="536"/>
      <c r="O40" s="536"/>
      <c r="P40" s="3218"/>
      <c r="Q40" s="598" t="str">
        <f t="shared" si="11"/>
        <v>市政基础设施</v>
      </c>
      <c r="R40" s="664" t="s">
        <v>1221</v>
      </c>
      <c r="S40" s="665">
        <f t="shared" si="12"/>
        <v>100</v>
      </c>
      <c r="T40" s="664" t="s">
        <v>1221</v>
      </c>
      <c r="U40" s="665">
        <f t="shared" si="13"/>
        <v>100</v>
      </c>
      <c r="V40" s="664" t="s">
        <v>1221</v>
      </c>
      <c r="W40" s="665">
        <f t="shared" si="14"/>
        <v>100</v>
      </c>
      <c r="X40" s="658"/>
      <c r="Y40" s="3222"/>
      <c r="Z40" s="657" t="str">
        <f t="shared" si="15"/>
        <v>市政基础设施</v>
      </c>
      <c r="AA40" s="657">
        <f t="shared" si="3"/>
        <v>1</v>
      </c>
      <c r="AB40" s="657">
        <f t="shared" si="4"/>
        <v>1</v>
      </c>
      <c r="AC40" s="2261">
        <f t="shared" si="5"/>
        <v>1</v>
      </c>
    </row>
    <row r="41" spans="1:29" ht="15">
      <c r="A41" s="685"/>
      <c r="B41" s="1744" t="s">
        <v>1258</v>
      </c>
      <c r="C41" s="501" t="s">
        <v>1259</v>
      </c>
      <c r="D41" s="477">
        <v>100</v>
      </c>
      <c r="E41" s="501" t="s">
        <v>1259</v>
      </c>
      <c r="F41" s="502">
        <f>SUMIF(119:119,E41,120:120)-SUMIF(119:119,C41,120:120)+100</f>
        <v>100</v>
      </c>
      <c r="G41" s="501" t="s">
        <v>1259</v>
      </c>
      <c r="H41" s="477">
        <f>SUMIF(119:119,G41,120:120)-SUMIF(119:119,C41,120:120)+100</f>
        <v>100</v>
      </c>
      <c r="I41" s="501" t="s">
        <v>1259</v>
      </c>
      <c r="J41" s="477">
        <f>SUMIF(119:119,I41,120:120)-SUMIF(119:119,C41,120:120)+100</f>
        <v>100</v>
      </c>
      <c r="K41" s="599">
        <v>2</v>
      </c>
      <c r="L41" s="604"/>
      <c r="M41" s="536"/>
      <c r="N41" s="536"/>
      <c r="O41" s="536"/>
      <c r="P41" s="3218"/>
      <c r="Q41" s="598" t="str">
        <f t="shared" si="11"/>
        <v>层高</v>
      </c>
      <c r="R41" s="664" t="s">
        <v>1221</v>
      </c>
      <c r="S41" s="665">
        <f t="shared" si="12"/>
        <v>100</v>
      </c>
      <c r="T41" s="664" t="s">
        <v>1221</v>
      </c>
      <c r="U41" s="665">
        <f t="shared" si="13"/>
        <v>100</v>
      </c>
      <c r="V41" s="664" t="s">
        <v>1221</v>
      </c>
      <c r="W41" s="665">
        <f t="shared" si="14"/>
        <v>100</v>
      </c>
      <c r="X41" s="658"/>
      <c r="Y41" s="3222"/>
      <c r="Z41" s="657" t="str">
        <f t="shared" si="15"/>
        <v>层高</v>
      </c>
      <c r="AA41" s="657">
        <f t="shared" si="3"/>
        <v>1</v>
      </c>
      <c r="AB41" s="657">
        <f t="shared" si="4"/>
        <v>1</v>
      </c>
      <c r="AC41" s="2261">
        <f t="shared" si="5"/>
        <v>1</v>
      </c>
    </row>
    <row r="42" spans="1:29" s="420" customFormat="1" ht="15">
      <c r="A42" s="687"/>
      <c r="B42" s="502" t="s">
        <v>1260</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18"/>
      <c r="Q42" s="666" t="str">
        <f t="shared" si="11"/>
        <v>单套建筑面积</v>
      </c>
      <c r="R42" s="667" t="s">
        <v>1221</v>
      </c>
      <c r="S42" s="668">
        <f t="shared" si="12"/>
        <v>100</v>
      </c>
      <c r="T42" s="667" t="s">
        <v>1221</v>
      </c>
      <c r="U42" s="668">
        <f t="shared" si="13"/>
        <v>100</v>
      </c>
      <c r="V42" s="667" t="s">
        <v>1221</v>
      </c>
      <c r="W42" s="668">
        <f t="shared" si="14"/>
        <v>100</v>
      </c>
      <c r="X42" s="669"/>
      <c r="Y42" s="3222"/>
      <c r="Z42" s="678" t="str">
        <f t="shared" si="15"/>
        <v>单套建筑面积</v>
      </c>
      <c r="AA42" s="657">
        <f t="shared" si="3"/>
        <v>1</v>
      </c>
      <c r="AB42" s="657">
        <f t="shared" si="4"/>
        <v>1</v>
      </c>
      <c r="AC42" s="2261">
        <f t="shared" si="5"/>
        <v>1</v>
      </c>
    </row>
    <row r="43" spans="1:29" ht="15">
      <c r="A43" s="685"/>
      <c r="B43" s="1744" t="s">
        <v>1261</v>
      </c>
      <c r="C43" s="515" t="s">
        <v>1252</v>
      </c>
      <c r="D43" s="477">
        <v>100</v>
      </c>
      <c r="E43" s="515" t="s">
        <v>1252</v>
      </c>
      <c r="F43" s="502">
        <f>SUMIF(123:123,E43,124:124)-SUMIF(123:123,C43,124:124)+100</f>
        <v>100</v>
      </c>
      <c r="G43" s="515" t="s">
        <v>1252</v>
      </c>
      <c r="H43" s="477">
        <f>SUMIF(123:123,G43,124:124)-SUMIF(123:123,C43,124:124)+100</f>
        <v>100</v>
      </c>
      <c r="I43" s="515" t="s">
        <v>1252</v>
      </c>
      <c r="J43" s="477">
        <f>SUMIF(123:123,I43,124:124)-SUMIF(123:123,C43,124:124)+100</f>
        <v>100</v>
      </c>
      <c r="K43" s="599">
        <v>2</v>
      </c>
      <c r="L43" s="604"/>
      <c r="M43" s="536"/>
      <c r="N43" s="536"/>
      <c r="O43" s="536"/>
      <c r="P43" s="3218"/>
      <c r="Q43" s="598" t="str">
        <f t="shared" si="11"/>
        <v>内部装修</v>
      </c>
      <c r="R43" s="664" t="s">
        <v>1221</v>
      </c>
      <c r="S43" s="665">
        <f t="shared" si="12"/>
        <v>100</v>
      </c>
      <c r="T43" s="664" t="s">
        <v>1221</v>
      </c>
      <c r="U43" s="665">
        <f t="shared" si="13"/>
        <v>100</v>
      </c>
      <c r="V43" s="664" t="s">
        <v>1221</v>
      </c>
      <c r="W43" s="665">
        <f t="shared" si="14"/>
        <v>100</v>
      </c>
      <c r="X43" s="658"/>
      <c r="Y43" s="3222"/>
      <c r="Z43" s="657" t="str">
        <f t="shared" si="15"/>
        <v>内部装修</v>
      </c>
      <c r="AA43" s="657">
        <f t="shared" si="3"/>
        <v>1</v>
      </c>
      <c r="AB43" s="657">
        <f t="shared" si="4"/>
        <v>1</v>
      </c>
      <c r="AC43" s="2261">
        <f t="shared" si="5"/>
        <v>1</v>
      </c>
    </row>
    <row r="44" spans="1:29" ht="28.8">
      <c r="A44" s="685"/>
      <c r="B44" s="1744" t="s">
        <v>1262</v>
      </c>
      <c r="C44" s="515" t="s">
        <v>1237</v>
      </c>
      <c r="D44" s="477">
        <v>100</v>
      </c>
      <c r="E44" s="515" t="s">
        <v>1237</v>
      </c>
      <c r="F44" s="502">
        <f>SUMIF(125:125,E44,126:126)-SUMIF(125:125,C44,126:126)+100</f>
        <v>100</v>
      </c>
      <c r="G44" s="515" t="s">
        <v>1237</v>
      </c>
      <c r="H44" s="477">
        <f>SUMIF(125:125,G44,126:126)-SUMIF(125:125,C44,126:126)+100</f>
        <v>100</v>
      </c>
      <c r="I44" s="515" t="s">
        <v>1237</v>
      </c>
      <c r="J44" s="477">
        <f>SUMIF(125:125,I44,126:126)-SUMIF(125:125,C44,126:126)+100</f>
        <v>100</v>
      </c>
      <c r="K44" s="599">
        <v>2</v>
      </c>
      <c r="L44" s="604"/>
      <c r="M44" s="536"/>
      <c r="N44" s="536"/>
      <c r="O44" s="536"/>
      <c r="P44" s="3218"/>
      <c r="Q44" s="598" t="str">
        <f t="shared" si="11"/>
        <v>内部装修维护情况</v>
      </c>
      <c r="R44" s="664" t="s">
        <v>1221</v>
      </c>
      <c r="S44" s="665">
        <f t="shared" si="12"/>
        <v>100</v>
      </c>
      <c r="T44" s="664" t="s">
        <v>1221</v>
      </c>
      <c r="U44" s="665">
        <f t="shared" si="13"/>
        <v>100</v>
      </c>
      <c r="V44" s="664" t="s">
        <v>1221</v>
      </c>
      <c r="W44" s="665">
        <f t="shared" si="14"/>
        <v>100</v>
      </c>
      <c r="X44" s="658"/>
      <c r="Y44" s="3222"/>
      <c r="Z44" s="657" t="str">
        <f t="shared" si="15"/>
        <v>内部装修维护情况</v>
      </c>
      <c r="AA44" s="657">
        <f t="shared" si="3"/>
        <v>1</v>
      </c>
      <c r="AB44" s="657">
        <f t="shared" si="4"/>
        <v>1</v>
      </c>
      <c r="AC44" s="2261">
        <f t="shared" si="5"/>
        <v>1</v>
      </c>
    </row>
    <row r="45" spans="1:29" s="418" customFormat="1" ht="15">
      <c r="A45" s="1770"/>
      <c r="B45" s="2254" t="s">
        <v>1263</v>
      </c>
      <c r="C45" s="2255" t="s">
        <v>1264</v>
      </c>
      <c r="D45" s="468">
        <v>100</v>
      </c>
      <c r="E45" s="2256" t="s">
        <v>1265</v>
      </c>
      <c r="F45" s="1744">
        <f>SUMIF(127:127,E45,128:128)-SUMIF(127:127,C45,128:128)+100</f>
        <v>94</v>
      </c>
      <c r="G45" s="580" t="s">
        <v>1266</v>
      </c>
      <c r="H45" s="468">
        <f>SUMIF(127:127,G45,128:128)-SUMIF(127:127,C45,128:128)+100</f>
        <v>103</v>
      </c>
      <c r="I45" s="2255" t="s">
        <v>1264</v>
      </c>
      <c r="J45" s="468">
        <f>SUMIF(127:127,I45,128:128)-SUMIF(127:127,C45,128:128)+100</f>
        <v>100</v>
      </c>
      <c r="K45" s="602"/>
      <c r="L45" s="595"/>
      <c r="M45" s="596"/>
      <c r="N45" s="596"/>
      <c r="O45" s="596"/>
      <c r="P45" s="3218"/>
      <c r="Q45" s="663" t="str">
        <f t="shared" si="11"/>
        <v>地下面积占比</v>
      </c>
      <c r="R45" s="659" t="s">
        <v>1221</v>
      </c>
      <c r="S45" s="660">
        <f t="shared" si="12"/>
        <v>94</v>
      </c>
      <c r="T45" s="659" t="s">
        <v>1221</v>
      </c>
      <c r="U45" s="660">
        <f t="shared" si="13"/>
        <v>103</v>
      </c>
      <c r="V45" s="659" t="s">
        <v>1221</v>
      </c>
      <c r="W45" s="660">
        <f t="shared" si="14"/>
        <v>100</v>
      </c>
      <c r="X45" s="661"/>
      <c r="Y45" s="3222"/>
      <c r="Z45" s="677" t="str">
        <f t="shared" si="15"/>
        <v>地下面积占比</v>
      </c>
      <c r="AA45" s="677">
        <f t="shared" si="3"/>
        <v>1.0638297872340425</v>
      </c>
      <c r="AB45" s="677">
        <f t="shared" si="4"/>
        <v>0.970873786407767</v>
      </c>
      <c r="AC45" s="2260">
        <f t="shared" si="5"/>
        <v>1</v>
      </c>
    </row>
    <row r="46" spans="1:29" ht="15">
      <c r="A46" s="685"/>
      <c r="B46" s="1849">
        <v>111</v>
      </c>
      <c r="C46" s="2257">
        <f>'数据-汇总表'!G31/'数据-汇总表'!E31</f>
        <v>0.24429409623416223</v>
      </c>
      <c r="D46" s="477">
        <v>100</v>
      </c>
      <c r="E46" s="2257">
        <f>大宗!N11</f>
        <v>0.46</v>
      </c>
      <c r="F46" s="502">
        <f>SUMIF(129:129,E46,130:130)-SUMIF(129:129,C46,130:130)+100</f>
        <v>100</v>
      </c>
      <c r="G46" s="2257">
        <f>大宗!N17</f>
        <v>0.12</v>
      </c>
      <c r="H46" s="477">
        <f>SUMIF(129:129,G46,130:130)-SUMIF(129:129,C46,130:130)+100</f>
        <v>100</v>
      </c>
      <c r="I46" s="3003">
        <f>(39145.39-30000)/39145.39</f>
        <v>0.23362623287186562</v>
      </c>
      <c r="J46" s="477">
        <f>SUMIF(129:129,I46,130:130)-SUMIF(129:129,C46,130:130)+100</f>
        <v>100</v>
      </c>
      <c r="K46" s="602"/>
      <c r="L46" s="604"/>
      <c r="M46" s="536"/>
      <c r="N46" s="536"/>
      <c r="O46" s="536"/>
      <c r="P46" s="3218"/>
      <c r="Q46" s="598">
        <f t="shared" si="11"/>
        <v>111</v>
      </c>
      <c r="R46" s="664" t="s">
        <v>1221</v>
      </c>
      <c r="S46" s="665">
        <f t="shared" si="12"/>
        <v>100</v>
      </c>
      <c r="T46" s="664" t="s">
        <v>1221</v>
      </c>
      <c r="U46" s="665">
        <f t="shared" si="13"/>
        <v>100</v>
      </c>
      <c r="V46" s="664" t="s">
        <v>1221</v>
      </c>
      <c r="W46" s="665">
        <f t="shared" si="14"/>
        <v>100</v>
      </c>
      <c r="X46" s="658"/>
      <c r="Y46" s="3222"/>
      <c r="Z46" s="657">
        <f t="shared" si="15"/>
        <v>111</v>
      </c>
      <c r="AA46" s="657">
        <f t="shared" si="3"/>
        <v>1</v>
      </c>
      <c r="AB46" s="657">
        <f t="shared" si="4"/>
        <v>1</v>
      </c>
      <c r="AC46" s="2261">
        <f t="shared" si="5"/>
        <v>1</v>
      </c>
    </row>
    <row r="47" spans="1:29" ht="15">
      <c r="A47" s="1901"/>
      <c r="B47" s="2254"/>
      <c r="C47" s="3002"/>
      <c r="D47" s="1750">
        <v>100</v>
      </c>
      <c r="E47" s="3002"/>
      <c r="F47" s="1902">
        <f>SUMIF(131:131,E47,132:132)-SUMIF(131:131,C47,132:132)+100</f>
        <v>100</v>
      </c>
      <c r="G47" s="3002"/>
      <c r="H47" s="1750">
        <f>SUMIF(131:131,G47,132:132)-SUMIF(131:131,C47,132:132)+100</f>
        <v>100</v>
      </c>
      <c r="I47" s="3002"/>
      <c r="J47" s="1750">
        <f>SUMIF(131:131,I47,132:132)-SUMIF(131:131,C47,132:132)+100</f>
        <v>100</v>
      </c>
      <c r="K47" s="602"/>
      <c r="L47" s="604"/>
      <c r="M47" s="536"/>
      <c r="N47" s="536"/>
      <c r="O47" s="536"/>
      <c r="P47" s="3219"/>
      <c r="Q47" s="598">
        <f t="shared" si="11"/>
        <v>0</v>
      </c>
      <c r="R47" s="664" t="s">
        <v>1221</v>
      </c>
      <c r="S47" s="665">
        <f t="shared" si="12"/>
        <v>100</v>
      </c>
      <c r="T47" s="664" t="s">
        <v>1221</v>
      </c>
      <c r="U47" s="665">
        <f t="shared" si="13"/>
        <v>100</v>
      </c>
      <c r="V47" s="664" t="s">
        <v>1221</v>
      </c>
      <c r="W47" s="665">
        <f t="shared" si="14"/>
        <v>100</v>
      </c>
      <c r="X47" s="658"/>
      <c r="Y47" s="3223"/>
      <c r="Z47" s="657">
        <f t="shared" si="15"/>
        <v>0</v>
      </c>
      <c r="AA47" s="657">
        <f t="shared" si="3"/>
        <v>1</v>
      </c>
      <c r="AB47" s="657">
        <f t="shared" si="4"/>
        <v>1</v>
      </c>
      <c r="AC47" s="2261">
        <f t="shared" si="5"/>
        <v>1</v>
      </c>
    </row>
    <row r="48" spans="1:29" ht="14.4">
      <c r="A48" s="520" t="s">
        <v>1267</v>
      </c>
      <c r="B48" s="1903"/>
      <c r="C48" s="522" t="s">
        <v>124</v>
      </c>
      <c r="D48" s="523"/>
      <c r="E48" s="524">
        <f>大宗!P11</f>
        <v>85370</v>
      </c>
      <c r="F48" s="525"/>
      <c r="G48" s="526">
        <f>大宗!P17</f>
        <v>84180</v>
      </c>
      <c r="H48" s="527"/>
      <c r="I48" s="524">
        <v>75758</v>
      </c>
      <c r="J48" s="527"/>
      <c r="K48" s="1821"/>
      <c r="L48" s="610"/>
      <c r="M48" s="536"/>
      <c r="N48" s="536"/>
      <c r="O48" s="536"/>
      <c r="P48" s="3212" t="str">
        <f>A48</f>
        <v>成交单价（元/平方米）</v>
      </c>
      <c r="Q48" s="3213"/>
      <c r="R48" s="3214">
        <f>E48</f>
        <v>85370</v>
      </c>
      <c r="S48" s="3214"/>
      <c r="T48" s="3214">
        <f>G48</f>
        <v>84180</v>
      </c>
      <c r="U48" s="3214"/>
      <c r="V48" s="3214">
        <f>I48</f>
        <v>75758</v>
      </c>
      <c r="W48" s="3214"/>
      <c r="X48" s="670"/>
      <c r="Y48" s="679"/>
      <c r="Z48" s="670"/>
      <c r="AA48" s="670"/>
      <c r="AB48" s="670"/>
      <c r="AC48" s="1751"/>
    </row>
    <row r="49" spans="1:29" ht="14.4">
      <c r="A49" s="528" t="s">
        <v>1268</v>
      </c>
      <c r="B49" s="529"/>
      <c r="C49" s="530">
        <f>R50</f>
        <v>84170</v>
      </c>
      <c r="D49" s="531" t="s">
        <v>1269</v>
      </c>
      <c r="E49" s="532">
        <f>R49</f>
        <v>90998</v>
      </c>
      <c r="F49" s="533"/>
      <c r="G49" s="530">
        <f>T49</f>
        <v>83388</v>
      </c>
      <c r="H49" s="533"/>
      <c r="I49" s="532">
        <f>V49</f>
        <v>78125</v>
      </c>
      <c r="J49" s="533"/>
      <c r="K49" s="611">
        <f>F49+H49+J49</f>
        <v>0</v>
      </c>
      <c r="L49" s="610"/>
      <c r="M49" s="536"/>
      <c r="N49" s="536"/>
      <c r="O49" s="536"/>
      <c r="P49" s="3212" t="str">
        <f>A49</f>
        <v>比较价值（元/平方米）</v>
      </c>
      <c r="Q49" s="3213"/>
      <c r="R49" s="3214">
        <f>IF(F1="售价",ROUND(PRODUCT(R48,AA7:AA47),0),ROUND(PRODUCT(R48,AA7:AA47),1))</f>
        <v>90998</v>
      </c>
      <c r="S49" s="3214"/>
      <c r="T49" s="3214">
        <f>IF(F1="售价",ROUND(PRODUCT(T48,AB7:AB47),0),ROUND(PRODUCT(T48,AB7:AB47),1))</f>
        <v>83388</v>
      </c>
      <c r="U49" s="3214"/>
      <c r="V49" s="3214">
        <f>IF(F1="售价",ROUND(PRODUCT(V48,AC7:AC47),0),ROUND(PRODUCT(V48,AC7:AC47),1))</f>
        <v>78125</v>
      </c>
      <c r="W49" s="3214"/>
      <c r="X49" s="670"/>
      <c r="Y49" s="670"/>
      <c r="Z49" s="670"/>
      <c r="AA49" s="670"/>
      <c r="AB49" s="670"/>
      <c r="AC49" s="1751"/>
    </row>
    <row r="50" spans="1:29" ht="14.4">
      <c r="A50" s="534" t="s">
        <v>1270</v>
      </c>
      <c r="B50" s="535"/>
      <c r="C50" s="451">
        <f>R50</f>
        <v>84170</v>
      </c>
      <c r="D50" s="451"/>
      <c r="E50" s="451"/>
      <c r="F50" s="451"/>
      <c r="G50" s="451"/>
      <c r="H50" s="451"/>
      <c r="I50" s="451"/>
      <c r="J50" s="1779"/>
      <c r="K50" s="1822"/>
      <c r="L50" s="610"/>
      <c r="M50" s="536"/>
      <c r="N50" s="536"/>
      <c r="O50" s="536"/>
      <c r="P50" s="3224" t="str">
        <f>A50</f>
        <v>估价对象XX用房的比较价值（楼面单价，元/平方米）</v>
      </c>
      <c r="Q50" s="3225"/>
      <c r="R50" s="3226">
        <f>IF(F1="售价",ROUND(IF(D49="简单平均",AVERAGE(R49:V49),R49*F49+T49*H49+V49*J49),0),ROUND(IF(D49="简单平均",AVERAGE(R49:V49),R49*F49+T49*H49+V49*J49),1))</f>
        <v>84170</v>
      </c>
      <c r="S50" s="3226"/>
      <c r="T50" s="3226"/>
      <c r="U50" s="3226"/>
      <c r="V50" s="3226"/>
      <c r="W50" s="3226"/>
      <c r="X50" s="2040"/>
      <c r="Y50" s="2040"/>
      <c r="Z50" s="2040"/>
      <c r="AA50" s="2040"/>
      <c r="AB50" s="2040"/>
      <c r="AC50" s="2041"/>
    </row>
    <row r="51" spans="1:29">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29">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29" ht="13.5" customHeight="1">
      <c r="A53" s="536"/>
      <c r="B53" s="536"/>
      <c r="C53" s="538" t="s">
        <v>1271</v>
      </c>
      <c r="D53" s="539"/>
      <c r="E53" s="540">
        <f>IF(E48&lt;E49,E49/E48-1,E48/E49-1)</f>
        <v>6.5924797938385904E-2</v>
      </c>
      <c r="F53" s="541" t="str">
        <f>IF(OR(E53&gt;=0.3,E53&lt;=-0.3),"超过30%","")</f>
        <v/>
      </c>
      <c r="G53" s="540">
        <f>IF(G48&lt;G49,G49/G48-1,G48/G49-1)</f>
        <v>9.4977694632321086E-3</v>
      </c>
      <c r="H53" s="541" t="str">
        <f>IF(OR(G53&gt;=0.3,G53&lt;=-0.3),"超过30%","")</f>
        <v/>
      </c>
      <c r="I53" s="540">
        <f>IF(I48&lt;I49,I49/I48-1,I48/I49-1)</f>
        <v>3.1244225032339923E-2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29" ht="13.5" customHeight="1">
      <c r="A54" s="536"/>
      <c r="B54" s="536"/>
      <c r="C54" s="538" t="s">
        <v>1272</v>
      </c>
      <c r="D54" s="542"/>
      <c r="E54" s="540">
        <f>IF(E49&lt;G49,G49/E49-1,E49/G49-1)</f>
        <v>9.12601333525207E-2</v>
      </c>
      <c r="F54" s="541" t="str">
        <f>IF(OR(E54&gt;=0.2,E54&lt;=-0.2),"超过20%","")</f>
        <v/>
      </c>
      <c r="G54" s="540">
        <f>IF(G49&lt;I49,I49/G49-1,G49/I49-1)</f>
        <v>6.7366400000000048E-2</v>
      </c>
      <c r="H54" s="541" t="str">
        <f>IF(OR(G54&gt;=0.2,G54&lt;=-0.2),"超过20%","")</f>
        <v/>
      </c>
      <c r="I54" s="540">
        <f>IF(I49&lt;E49,E49/I49-1,I49/E49-1)</f>
        <v>0.16477439999999999</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29" s="421" customFormat="1" ht="13.5" customHeight="1">
      <c r="A55" s="543"/>
      <c r="B55" s="543"/>
      <c r="C55" s="538" t="s">
        <v>1273</v>
      </c>
      <c r="D55" s="542"/>
      <c r="E55" s="540">
        <f>IF(E48&lt;G48,G48/E48-1,E48/G48-1)</f>
        <v>1.4136374435733012E-2</v>
      </c>
      <c r="F55" s="541" t="str">
        <f>IF(OR(E55&gt;=0.3,E55&lt;=-0.3),"超过30%","")</f>
        <v/>
      </c>
      <c r="G55" s="540">
        <f>IF(G48&lt;I48,I48/G48-1,G48/I48-1)</f>
        <v>0.11116977744924639</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29"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29">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29" ht="22.2" thickBot="1">
      <c r="A58" s="1807" t="s">
        <v>1274</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29" s="422" customFormat="1" ht="14.4">
      <c r="A59" s="550" t="s">
        <v>1219</v>
      </c>
      <c r="B59" s="551"/>
      <c r="C59" s="552" t="str">
        <f>YEAR(C7)&amp;"-"&amp;MONTH(C7)</f>
        <v>2022-12</v>
      </c>
      <c r="D59" s="553">
        <f>EDATE(C59,-1)</f>
        <v>44866</v>
      </c>
      <c r="E59" s="553">
        <f>EDATE(D59,-1)</f>
        <v>44835</v>
      </c>
      <c r="F59" s="553">
        <f t="shared" ref="F59:O59" si="16">EDATE(E59,-1)</f>
        <v>44805</v>
      </c>
      <c r="G59" s="553">
        <f t="shared" si="16"/>
        <v>44774</v>
      </c>
      <c r="H59" s="553">
        <f t="shared" si="16"/>
        <v>44743</v>
      </c>
      <c r="I59" s="553">
        <f t="shared" si="16"/>
        <v>44713</v>
      </c>
      <c r="J59" s="553">
        <f t="shared" si="16"/>
        <v>44682</v>
      </c>
      <c r="K59" s="553">
        <f t="shared" si="16"/>
        <v>44652</v>
      </c>
      <c r="L59" s="553">
        <f t="shared" si="16"/>
        <v>44621</v>
      </c>
      <c r="M59" s="553">
        <f t="shared" si="16"/>
        <v>44593</v>
      </c>
      <c r="N59" s="553">
        <f t="shared" si="16"/>
        <v>44562</v>
      </c>
      <c r="O59" s="553">
        <f t="shared" si="16"/>
        <v>44531</v>
      </c>
      <c r="P59" s="553">
        <f t="shared" ref="P59" si="17">EDATE(O59,-1)</f>
        <v>44501</v>
      </c>
      <c r="Q59" s="553">
        <f t="shared" ref="Q59" si="18">EDATE(P59,-1)</f>
        <v>44470</v>
      </c>
      <c r="R59" s="553">
        <f t="shared" ref="R59" si="19">EDATE(Q59,-1)</f>
        <v>44440</v>
      </c>
      <c r="S59" s="553">
        <f t="shared" ref="S59" si="20">EDATE(R59,-1)</f>
        <v>44409</v>
      </c>
      <c r="T59" s="553">
        <f t="shared" ref="T59" si="21">EDATE(S59,-1)</f>
        <v>44378</v>
      </c>
      <c r="U59" s="553">
        <f t="shared" ref="U59" si="22">EDATE(T59,-1)</f>
        <v>44348</v>
      </c>
      <c r="V59" s="553">
        <f t="shared" ref="V59" si="23">EDATE(U59,-1)</f>
        <v>44317</v>
      </c>
      <c r="W59" s="553">
        <f t="shared" ref="W59" si="24">EDATE(V59,-1)</f>
        <v>44287</v>
      </c>
      <c r="X59" s="553">
        <f t="shared" ref="X59" si="25">EDATE(W59,-1)</f>
        <v>44256</v>
      </c>
      <c r="Y59" s="553">
        <f t="shared" ref="Y59" si="26">EDATE(X59,-1)</f>
        <v>44228</v>
      </c>
      <c r="Z59" s="553">
        <f t="shared" ref="Z59:AA59" si="27">EDATE(Y59,-1)</f>
        <v>44197</v>
      </c>
      <c r="AA59" s="553">
        <f t="shared" si="27"/>
        <v>44166</v>
      </c>
      <c r="AB59" s="672"/>
      <c r="AC59" s="672"/>
    </row>
    <row r="60" spans="1:29" s="418" customFormat="1">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596"/>
      <c r="AC60" s="596"/>
    </row>
    <row r="61" spans="1:29" s="418" customFormat="1" ht="14.4">
      <c r="A61" s="557" t="s">
        <v>1275</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596"/>
      <c r="AC61" s="596"/>
    </row>
    <row r="62" spans="1:29" s="418" customFormat="1" ht="14.4">
      <c r="A62" s="561" t="s">
        <v>1222</v>
      </c>
      <c r="B62" s="554"/>
      <c r="C62" s="562" t="s">
        <v>1223</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29" s="418" customFormat="1">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29" ht="14.4">
      <c r="A64" s="565" t="s">
        <v>1276</v>
      </c>
      <c r="B64" s="566" t="s">
        <v>1226</v>
      </c>
      <c r="C64" s="567" t="str">
        <f>C9</f>
        <v>办公</v>
      </c>
      <c r="D64" s="2258" t="s">
        <v>1277</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c r="A65" s="569"/>
      <c r="B65" s="570"/>
      <c r="C65" s="571">
        <v>100</v>
      </c>
      <c r="D65" s="571">
        <v>105</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8.8">
      <c r="A66" s="569"/>
      <c r="B66" s="572" t="s">
        <v>1229</v>
      </c>
      <c r="C66" s="573" t="s">
        <v>1278</v>
      </c>
      <c r="D66" s="573" t="s">
        <v>1279</v>
      </c>
      <c r="E66" s="573" t="s">
        <v>1280</v>
      </c>
      <c r="F66" s="573" t="s">
        <v>1281</v>
      </c>
      <c r="G66" s="573" t="s">
        <v>1282</v>
      </c>
      <c r="H66" s="573" t="s">
        <v>1283</v>
      </c>
      <c r="I66" s="573" t="s">
        <v>1284</v>
      </c>
      <c r="J66" s="573"/>
      <c r="K66" s="638"/>
      <c r="L66" s="639"/>
      <c r="M66" s="640"/>
      <c r="N66" s="634"/>
      <c r="O66" s="634"/>
      <c r="P66" s="635"/>
      <c r="Q66" s="671"/>
      <c r="R66" s="536"/>
      <c r="S66" s="536"/>
      <c r="T66" s="536"/>
      <c r="U66" s="536"/>
      <c r="V66" s="536"/>
      <c r="W66" s="536"/>
      <c r="X66" s="536"/>
      <c r="Y66" s="536"/>
      <c r="Z66" s="536"/>
      <c r="AA66" s="536"/>
      <c r="AB66" s="536"/>
      <c r="AC66" s="536"/>
    </row>
    <row r="67" spans="1:29">
      <c r="A67" s="569"/>
      <c r="B67" s="574"/>
      <c r="C67" s="575" t="s">
        <v>1285</v>
      </c>
      <c r="D67" s="575" t="s">
        <v>1285</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ht="14.4">
      <c r="A68" s="569"/>
      <c r="B68" s="681" t="s">
        <v>1232</v>
      </c>
      <c r="C68" s="1835" t="str">
        <f>C69&amp;"（含）"&amp;"-"&amp;D69</f>
        <v>0（含）-1</v>
      </c>
      <c r="D68" s="1835" t="str">
        <f t="shared" ref="D68:L68" si="28">D69&amp;"（含）"&amp;"-"&amp;E69</f>
        <v>1（含）-2</v>
      </c>
      <c r="E68" s="1835" t="str">
        <f t="shared" si="28"/>
        <v>2（含）-3</v>
      </c>
      <c r="F68" s="1835" t="str">
        <f t="shared" si="28"/>
        <v>3（含）-4</v>
      </c>
      <c r="G68" s="1835" t="str">
        <f t="shared" si="28"/>
        <v>4（含）-</v>
      </c>
      <c r="H68" s="1835" t="str">
        <f t="shared" si="28"/>
        <v>（含）-</v>
      </c>
      <c r="I68" s="1835" t="str">
        <f t="shared" si="28"/>
        <v>（含）-</v>
      </c>
      <c r="J68" s="1835" t="str">
        <f t="shared" si="28"/>
        <v>（含）-</v>
      </c>
      <c r="K68" s="1835" t="str">
        <f t="shared" si="28"/>
        <v>（含）-</v>
      </c>
      <c r="L68" s="1835" t="str">
        <f t="shared" si="28"/>
        <v>（含）-</v>
      </c>
      <c r="M68" s="486" t="str">
        <f>M69&amp;"（含）"&amp;"-"&amp;P69</f>
        <v>（含）-</v>
      </c>
      <c r="N68" s="637"/>
      <c r="O68" s="637"/>
      <c r="P68" s="635"/>
      <c r="Q68" s="671"/>
      <c r="R68" s="536"/>
      <c r="S68" s="536"/>
      <c r="T68" s="536"/>
      <c r="U68" s="536"/>
      <c r="V68" s="536"/>
      <c r="W68" s="536"/>
      <c r="X68" s="536"/>
      <c r="Y68" s="536"/>
      <c r="Z68" s="536"/>
      <c r="AA68" s="536"/>
      <c r="AB68" s="536"/>
      <c r="AC68" s="536"/>
    </row>
    <row r="69" spans="1:29">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c r="A70" s="569"/>
      <c r="B70" s="570"/>
      <c r="C70" s="575">
        <v>100</v>
      </c>
      <c r="D70" s="575">
        <f t="shared" ref="D70:M70" si="29">C70-$K11</f>
        <v>100</v>
      </c>
      <c r="E70" s="575">
        <f t="shared" si="29"/>
        <v>100</v>
      </c>
      <c r="F70" s="575">
        <f t="shared" si="29"/>
        <v>100</v>
      </c>
      <c r="G70" s="575">
        <f t="shared" si="29"/>
        <v>100</v>
      </c>
      <c r="H70" s="575">
        <f t="shared" si="29"/>
        <v>100</v>
      </c>
      <c r="I70" s="575">
        <f t="shared" si="29"/>
        <v>100</v>
      </c>
      <c r="J70" s="575">
        <f t="shared" si="29"/>
        <v>100</v>
      </c>
      <c r="K70" s="575">
        <f t="shared" si="29"/>
        <v>100</v>
      </c>
      <c r="L70" s="575">
        <f t="shared" si="29"/>
        <v>100</v>
      </c>
      <c r="M70" s="641">
        <f t="shared" si="29"/>
        <v>100</v>
      </c>
      <c r="N70" s="637"/>
      <c r="O70" s="637"/>
      <c r="P70" s="635"/>
      <c r="Q70" s="671"/>
      <c r="R70" s="536"/>
      <c r="S70" s="536"/>
      <c r="T70" s="536"/>
      <c r="U70" s="536"/>
      <c r="V70" s="536"/>
      <c r="W70" s="536"/>
      <c r="X70" s="536"/>
      <c r="Y70" s="536"/>
      <c r="Z70" s="536"/>
      <c r="AA70" s="536"/>
      <c r="AB70" s="536"/>
      <c r="AC70" s="536"/>
    </row>
    <row r="71" spans="1:29" s="420" customFormat="1">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ht="14.4">
      <c r="A77" s="565" t="s">
        <v>1233</v>
      </c>
      <c r="B77" s="566" t="s">
        <v>1234</v>
      </c>
      <c r="C77" s="583" t="s">
        <v>1286</v>
      </c>
      <c r="D77" s="583" t="s">
        <v>1287</v>
      </c>
      <c r="E77" s="583" t="s">
        <v>1288</v>
      </c>
      <c r="F77" s="583" t="s">
        <v>1289</v>
      </c>
      <c r="G77" s="583" t="s">
        <v>1290</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c r="A78" s="569"/>
      <c r="B78" s="574"/>
      <c r="C78" s="575">
        <v>100</v>
      </c>
      <c r="D78" s="575">
        <f>C78-$K15</f>
        <v>97</v>
      </c>
      <c r="E78" s="575">
        <f>D78-$K15</f>
        <v>94</v>
      </c>
      <c r="F78" s="575">
        <f>E78-$K15</f>
        <v>91</v>
      </c>
      <c r="G78" s="575">
        <f>F78-$K15</f>
        <v>88</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ht="14.4">
      <c r="A79" s="569"/>
      <c r="B79" s="572" t="s">
        <v>1238</v>
      </c>
      <c r="C79" s="680" t="s">
        <v>1286</v>
      </c>
      <c r="D79" s="680" t="s">
        <v>1287</v>
      </c>
      <c r="E79" s="680" t="s">
        <v>1288</v>
      </c>
      <c r="F79" s="680" t="s">
        <v>1289</v>
      </c>
      <c r="G79" s="680" t="s">
        <v>1290</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ht="14.4">
      <c r="A81" s="569"/>
      <c r="B81" s="572" t="s">
        <v>1239</v>
      </c>
      <c r="C81" s="680" t="s">
        <v>1286</v>
      </c>
      <c r="D81" s="680" t="s">
        <v>1287</v>
      </c>
      <c r="E81" s="680" t="s">
        <v>1288</v>
      </c>
      <c r="F81" s="680" t="s">
        <v>1289</v>
      </c>
      <c r="G81" s="680" t="s">
        <v>1290</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ht="14.4">
      <c r="A83" s="569"/>
      <c r="B83" s="681" t="s">
        <v>1240</v>
      </c>
      <c r="C83" s="576" t="s">
        <v>1291</v>
      </c>
      <c r="D83" s="576" t="s">
        <v>1292</v>
      </c>
      <c r="E83" s="576" t="s">
        <v>1293</v>
      </c>
      <c r="F83" s="576" t="s">
        <v>1294</v>
      </c>
      <c r="G83" s="576" t="s">
        <v>1295</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c r="A84" s="569"/>
      <c r="B84" s="681"/>
      <c r="C84" s="575">
        <v>100</v>
      </c>
      <c r="D84" s="575">
        <f>C84-$K21</f>
        <v>98</v>
      </c>
      <c r="E84" s="575">
        <f>D84-$K21</f>
        <v>96</v>
      </c>
      <c r="F84" s="575">
        <f>E84-$K21</f>
        <v>94</v>
      </c>
      <c r="G84" s="575">
        <f>F84-$K21</f>
        <v>92</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ht="14.4">
      <c r="A85" s="569"/>
      <c r="B85" s="572" t="s">
        <v>1241</v>
      </c>
      <c r="C85" s="680" t="s">
        <v>1286</v>
      </c>
      <c r="D85" s="680" t="s">
        <v>1287</v>
      </c>
      <c r="E85" s="680" t="s">
        <v>1288</v>
      </c>
      <c r="F85" s="680" t="s">
        <v>1289</v>
      </c>
      <c r="G85" s="680" t="s">
        <v>1290</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c r="A86" s="569"/>
      <c r="B86" s="574"/>
      <c r="C86" s="575">
        <v>100</v>
      </c>
      <c r="D86" s="575">
        <f>C86-$K23</f>
        <v>97</v>
      </c>
      <c r="E86" s="575">
        <f>D86-$K23</f>
        <v>94</v>
      </c>
      <c r="F86" s="575">
        <f>E86-$K23</f>
        <v>91</v>
      </c>
      <c r="G86" s="575">
        <f>F86-$K23</f>
        <v>88</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8.8">
      <c r="A87" s="683"/>
      <c r="B87" s="572" t="s">
        <v>1242</v>
      </c>
      <c r="C87" s="580"/>
      <c r="D87" s="580"/>
      <c r="E87" s="580"/>
      <c r="F87" s="580"/>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c r="A88" s="683"/>
      <c r="B88" s="574"/>
      <c r="C88" s="686">
        <v>100</v>
      </c>
      <c r="D88" s="575">
        <f t="shared" ref="D88:M88" si="30">C88-$K25</f>
        <v>100</v>
      </c>
      <c r="E88" s="575">
        <f t="shared" si="30"/>
        <v>100</v>
      </c>
      <c r="F88" s="575">
        <f t="shared" si="30"/>
        <v>100</v>
      </c>
      <c r="G88" s="575">
        <f t="shared" si="30"/>
        <v>100</v>
      </c>
      <c r="H88" s="575">
        <f t="shared" si="30"/>
        <v>100</v>
      </c>
      <c r="I88" s="575">
        <f t="shared" si="30"/>
        <v>100</v>
      </c>
      <c r="J88" s="575">
        <f t="shared" si="30"/>
        <v>100</v>
      </c>
      <c r="K88" s="575">
        <f t="shared" si="30"/>
        <v>100</v>
      </c>
      <c r="L88" s="575">
        <f t="shared" si="30"/>
        <v>100</v>
      </c>
      <c r="M88" s="575">
        <f t="shared" si="30"/>
        <v>100</v>
      </c>
      <c r="N88" s="637"/>
      <c r="O88" s="637"/>
      <c r="P88" s="635"/>
      <c r="Q88" s="671"/>
      <c r="R88" s="596"/>
      <c r="S88" s="596"/>
      <c r="T88" s="596"/>
      <c r="U88" s="596"/>
      <c r="V88" s="596"/>
      <c r="W88" s="596"/>
      <c r="X88" s="596"/>
      <c r="Y88" s="596"/>
      <c r="Z88" s="596"/>
      <c r="AA88" s="596"/>
      <c r="AB88" s="596"/>
      <c r="AC88" s="596"/>
    </row>
    <row r="89" spans="1:29" s="418" customFormat="1">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c r="A90" s="683"/>
      <c r="B90" s="574"/>
      <c r="C90" s="686">
        <v>100</v>
      </c>
      <c r="D90" s="575">
        <f>C90-$K27</f>
        <v>100</v>
      </c>
      <c r="E90" s="575">
        <f t="shared" ref="E90:M90" si="31">D90-$K27</f>
        <v>100</v>
      </c>
      <c r="F90" s="575">
        <f t="shared" si="31"/>
        <v>100</v>
      </c>
      <c r="G90" s="575">
        <f t="shared" si="31"/>
        <v>100</v>
      </c>
      <c r="H90" s="575">
        <f t="shared" si="31"/>
        <v>100</v>
      </c>
      <c r="I90" s="575">
        <f t="shared" si="31"/>
        <v>100</v>
      </c>
      <c r="J90" s="575">
        <f t="shared" si="31"/>
        <v>100</v>
      </c>
      <c r="K90" s="575">
        <f t="shared" si="31"/>
        <v>100</v>
      </c>
      <c r="L90" s="575">
        <f t="shared" si="31"/>
        <v>100</v>
      </c>
      <c r="M90" s="575">
        <f t="shared" si="31"/>
        <v>100</v>
      </c>
      <c r="N90" s="637"/>
      <c r="O90" s="637"/>
      <c r="P90" s="635"/>
      <c r="Q90" s="671"/>
      <c r="R90" s="596"/>
      <c r="S90" s="596"/>
      <c r="T90" s="596"/>
      <c r="U90" s="596"/>
      <c r="V90" s="596"/>
      <c r="W90" s="596"/>
      <c r="X90" s="596"/>
      <c r="Y90" s="596"/>
      <c r="Z90" s="596"/>
      <c r="AA90" s="596"/>
      <c r="AB90" s="596"/>
      <c r="AC90" s="596"/>
    </row>
    <row r="91" spans="1:29" s="420" customFormat="1">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c r="A92" s="579"/>
      <c r="B92" s="574"/>
      <c r="C92" s="686">
        <v>100</v>
      </c>
      <c r="D92" s="575">
        <f t="shared" ref="D92:M92" si="32">C92-$K28</f>
        <v>100</v>
      </c>
      <c r="E92" s="575">
        <f t="shared" si="32"/>
        <v>100</v>
      </c>
      <c r="F92" s="575">
        <f t="shared" si="32"/>
        <v>100</v>
      </c>
      <c r="G92" s="575">
        <f t="shared" si="32"/>
        <v>100</v>
      </c>
      <c r="H92" s="575">
        <f t="shared" si="32"/>
        <v>100</v>
      </c>
      <c r="I92" s="575">
        <f t="shared" si="32"/>
        <v>100</v>
      </c>
      <c r="J92" s="575">
        <f t="shared" si="32"/>
        <v>100</v>
      </c>
      <c r="K92" s="575">
        <f t="shared" si="32"/>
        <v>100</v>
      </c>
      <c r="L92" s="575">
        <f t="shared" si="32"/>
        <v>100</v>
      </c>
      <c r="M92" s="575">
        <f t="shared" si="32"/>
        <v>100</v>
      </c>
      <c r="N92" s="647"/>
      <c r="O92" s="647"/>
      <c r="P92" s="648"/>
      <c r="Q92" s="673"/>
      <c r="R92" s="608"/>
      <c r="S92" s="608"/>
      <c r="T92" s="608"/>
      <c r="U92" s="608"/>
      <c r="V92" s="608"/>
      <c r="W92" s="608"/>
      <c r="X92" s="608"/>
      <c r="Y92" s="608"/>
      <c r="Z92" s="608"/>
      <c r="AA92" s="608"/>
      <c r="AB92" s="608"/>
      <c r="AC92" s="608"/>
    </row>
    <row r="93" spans="1:29">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ht="14.4">
      <c r="A101" s="565" t="s">
        <v>1245</v>
      </c>
      <c r="B101" s="566" t="s">
        <v>1246</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c r="A102" s="569"/>
      <c r="B102" s="574"/>
      <c r="C102" s="575">
        <v>100</v>
      </c>
      <c r="D102" s="575">
        <f t="shared" ref="D102:M102" si="33">C102-$K33</f>
        <v>100</v>
      </c>
      <c r="E102" s="575">
        <f t="shared" si="33"/>
        <v>100</v>
      </c>
      <c r="F102" s="575">
        <f t="shared" si="33"/>
        <v>100</v>
      </c>
      <c r="G102" s="575">
        <f t="shared" si="33"/>
        <v>100</v>
      </c>
      <c r="H102" s="575">
        <f t="shared" si="33"/>
        <v>100</v>
      </c>
      <c r="I102" s="575">
        <f t="shared" si="33"/>
        <v>100</v>
      </c>
      <c r="J102" s="575">
        <f t="shared" si="33"/>
        <v>100</v>
      </c>
      <c r="K102" s="575">
        <f t="shared" si="33"/>
        <v>100</v>
      </c>
      <c r="L102" s="575">
        <f t="shared" si="33"/>
        <v>100</v>
      </c>
      <c r="M102" s="641">
        <f t="shared" si="33"/>
        <v>100</v>
      </c>
      <c r="N102" s="637"/>
      <c r="O102" s="637"/>
      <c r="P102" s="635"/>
      <c r="Q102" s="671"/>
      <c r="R102" s="536"/>
      <c r="S102" s="536"/>
      <c r="T102" s="536"/>
      <c r="U102" s="536"/>
      <c r="V102" s="536"/>
      <c r="W102" s="536"/>
      <c r="X102" s="536"/>
      <c r="Y102" s="536"/>
      <c r="Z102" s="536"/>
      <c r="AA102" s="536"/>
      <c r="AB102" s="536"/>
      <c r="AC102" s="536"/>
    </row>
    <row r="103" spans="1:29" ht="27.6">
      <c r="A103" s="569"/>
      <c r="B103" s="572" t="s">
        <v>1248</v>
      </c>
      <c r="C103" s="680" t="str">
        <f>C104&amp;"(含)"&amp;"-"&amp;D104</f>
        <v>0(含)-30000</v>
      </c>
      <c r="D103" s="680" t="str">
        <f t="shared" ref="D103:L103" si="34">D104&amp;"(含)"&amp;"-"&amp;E104</f>
        <v>30000(含)-50000</v>
      </c>
      <c r="E103" s="680" t="str">
        <f t="shared" si="34"/>
        <v>50000(含)-100000</v>
      </c>
      <c r="F103" s="680" t="str">
        <f t="shared" si="34"/>
        <v>100000(含)-150000</v>
      </c>
      <c r="G103" s="680" t="str">
        <f t="shared" si="34"/>
        <v>150000(含)-</v>
      </c>
      <c r="H103" s="680" t="str">
        <f t="shared" si="34"/>
        <v>(含)-</v>
      </c>
      <c r="I103" s="680" t="str">
        <f t="shared" si="34"/>
        <v>(含)-</v>
      </c>
      <c r="J103" s="680" t="str">
        <f t="shared" si="34"/>
        <v>(含)-</v>
      </c>
      <c r="K103" s="680" t="str">
        <f t="shared" si="34"/>
        <v>(含)-</v>
      </c>
      <c r="L103" s="680" t="str">
        <f t="shared" si="34"/>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50000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c r="A105" s="579"/>
      <c r="B105" s="574"/>
      <c r="C105" s="578">
        <v>101</v>
      </c>
      <c r="D105" s="571">
        <v>100</v>
      </c>
      <c r="E105" s="571">
        <v>99</v>
      </c>
      <c r="F105" s="571">
        <v>98</v>
      </c>
      <c r="G105" s="571">
        <v>97</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ht="14.4">
      <c r="A106" s="685"/>
      <c r="B106" s="572" t="s">
        <v>1249</v>
      </c>
      <c r="C106" s="580" t="s">
        <v>1250</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c r="A107" s="569"/>
      <c r="B107" s="574"/>
      <c r="C107" s="575">
        <v>100</v>
      </c>
      <c r="D107" s="575">
        <f t="shared" ref="D107:M107" si="35">C107-$K35</f>
        <v>98</v>
      </c>
      <c r="E107" s="575">
        <f t="shared" si="35"/>
        <v>96</v>
      </c>
      <c r="F107" s="575">
        <f t="shared" si="35"/>
        <v>94</v>
      </c>
      <c r="G107" s="575">
        <f t="shared" si="35"/>
        <v>92</v>
      </c>
      <c r="H107" s="575">
        <f t="shared" si="35"/>
        <v>90</v>
      </c>
      <c r="I107" s="575">
        <f t="shared" si="35"/>
        <v>88</v>
      </c>
      <c r="J107" s="575">
        <f t="shared" si="35"/>
        <v>86</v>
      </c>
      <c r="K107" s="575">
        <f t="shared" si="35"/>
        <v>84</v>
      </c>
      <c r="L107" s="575">
        <f t="shared" si="35"/>
        <v>82</v>
      </c>
      <c r="M107" s="641">
        <f t="shared" si="35"/>
        <v>80</v>
      </c>
      <c r="N107" s="637"/>
      <c r="O107" s="637"/>
      <c r="P107" s="635"/>
      <c r="Q107" s="671"/>
      <c r="R107" s="536"/>
      <c r="S107" s="536"/>
      <c r="T107" s="536"/>
      <c r="U107" s="536"/>
      <c r="V107" s="536"/>
      <c r="W107" s="536"/>
      <c r="X107" s="536"/>
      <c r="Y107" s="536"/>
      <c r="Z107" s="536"/>
      <c r="AA107" s="536"/>
      <c r="AB107" s="536"/>
      <c r="AC107" s="536"/>
    </row>
    <row r="108" spans="1:29" ht="14.4">
      <c r="A108" s="685"/>
      <c r="B108" s="572" t="s">
        <v>1251</v>
      </c>
      <c r="C108" s="580" t="s">
        <v>1252</v>
      </c>
      <c r="D108" s="580" t="s">
        <v>1296</v>
      </c>
      <c r="E108" s="580" t="s">
        <v>1297</v>
      </c>
      <c r="F108" s="682" t="s">
        <v>1298</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c r="A109" s="569"/>
      <c r="B109" s="574"/>
      <c r="C109" s="575">
        <v>100</v>
      </c>
      <c r="D109" s="575">
        <f t="shared" ref="D109:M109" si="36">C109-$K36</f>
        <v>98</v>
      </c>
      <c r="E109" s="575">
        <f t="shared" si="36"/>
        <v>96</v>
      </c>
      <c r="F109" s="575">
        <f t="shared" si="36"/>
        <v>94</v>
      </c>
      <c r="G109" s="575">
        <f t="shared" si="36"/>
        <v>92</v>
      </c>
      <c r="H109" s="575">
        <f t="shared" si="36"/>
        <v>90</v>
      </c>
      <c r="I109" s="575">
        <f t="shared" si="36"/>
        <v>88</v>
      </c>
      <c r="J109" s="575">
        <f t="shared" si="36"/>
        <v>86</v>
      </c>
      <c r="K109" s="575">
        <f t="shared" si="36"/>
        <v>84</v>
      </c>
      <c r="L109" s="575">
        <f t="shared" si="36"/>
        <v>82</v>
      </c>
      <c r="M109" s="641">
        <f t="shared" si="36"/>
        <v>80</v>
      </c>
      <c r="N109" s="637"/>
      <c r="O109" s="637"/>
      <c r="P109" s="635"/>
      <c r="Q109" s="671"/>
      <c r="R109" s="536"/>
      <c r="S109" s="536"/>
      <c r="T109" s="536"/>
      <c r="U109" s="536"/>
      <c r="V109" s="536"/>
      <c r="W109" s="536"/>
      <c r="X109" s="536"/>
      <c r="Y109" s="536"/>
      <c r="Z109" s="536"/>
      <c r="AA109" s="536"/>
      <c r="AB109" s="536"/>
      <c r="AC109" s="536"/>
    </row>
    <row r="110" spans="1:29" ht="14.4">
      <c r="A110" s="685"/>
      <c r="B110" s="572" t="s">
        <v>697</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c r="A112" s="569"/>
      <c r="B112" s="574"/>
      <c r="C112" s="686">
        <v>100</v>
      </c>
      <c r="D112" s="575">
        <f>C112+$K37</f>
        <v>101</v>
      </c>
      <c r="E112" s="575">
        <f t="shared" ref="E112:M112" si="37">D112+$K37</f>
        <v>102</v>
      </c>
      <c r="F112" s="575">
        <f t="shared" si="37"/>
        <v>103</v>
      </c>
      <c r="G112" s="575">
        <f t="shared" si="37"/>
        <v>104</v>
      </c>
      <c r="H112" s="575">
        <f t="shared" si="37"/>
        <v>105</v>
      </c>
      <c r="I112" s="575">
        <f t="shared" si="37"/>
        <v>106</v>
      </c>
      <c r="J112" s="575">
        <f t="shared" si="37"/>
        <v>107</v>
      </c>
      <c r="K112" s="575">
        <f t="shared" si="37"/>
        <v>108</v>
      </c>
      <c r="L112" s="575">
        <f t="shared" si="37"/>
        <v>109</v>
      </c>
      <c r="M112" s="575">
        <f t="shared" si="37"/>
        <v>110</v>
      </c>
      <c r="N112" s="637"/>
      <c r="O112" s="637"/>
      <c r="P112" s="635"/>
      <c r="Q112" s="671"/>
      <c r="R112" s="536"/>
      <c r="S112" s="536"/>
      <c r="T112" s="536"/>
      <c r="U112" s="536"/>
      <c r="V112" s="536"/>
      <c r="W112" s="536"/>
      <c r="X112" s="536"/>
      <c r="Y112" s="536"/>
      <c r="Z112" s="536"/>
      <c r="AA112" s="536"/>
      <c r="AB112" s="536"/>
      <c r="AC112" s="536"/>
    </row>
    <row r="113" spans="1:29" s="420" customFormat="1" ht="14.4">
      <c r="A113" s="687"/>
      <c r="B113" s="572" t="s">
        <v>1253</v>
      </c>
      <c r="C113" s="2262" t="s">
        <v>1254</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c r="A114" s="579"/>
      <c r="B114" s="574"/>
      <c r="C114" s="575">
        <v>100</v>
      </c>
      <c r="D114" s="575">
        <f>C114-$K38</f>
        <v>98</v>
      </c>
      <c r="E114" s="575">
        <f t="shared" ref="E114:M114" si="38">D114-$K38</f>
        <v>96</v>
      </c>
      <c r="F114" s="575">
        <f t="shared" si="38"/>
        <v>94</v>
      </c>
      <c r="G114" s="575">
        <f t="shared" si="38"/>
        <v>92</v>
      </c>
      <c r="H114" s="575">
        <f t="shared" si="38"/>
        <v>90</v>
      </c>
      <c r="I114" s="575">
        <f t="shared" si="38"/>
        <v>88</v>
      </c>
      <c r="J114" s="575">
        <f t="shared" si="38"/>
        <v>86</v>
      </c>
      <c r="K114" s="575">
        <f t="shared" si="38"/>
        <v>84</v>
      </c>
      <c r="L114" s="575">
        <f t="shared" si="38"/>
        <v>82</v>
      </c>
      <c r="M114" s="575">
        <f t="shared" si="38"/>
        <v>80</v>
      </c>
      <c r="N114" s="647"/>
      <c r="O114" s="647"/>
      <c r="P114" s="648"/>
      <c r="Q114" s="673"/>
      <c r="R114" s="608"/>
      <c r="S114" s="608"/>
      <c r="T114" s="608"/>
      <c r="U114" s="608"/>
      <c r="V114" s="608"/>
      <c r="W114" s="608"/>
      <c r="X114" s="608"/>
      <c r="Y114" s="608"/>
      <c r="Z114" s="608"/>
      <c r="AA114" s="608"/>
      <c r="AB114" s="608"/>
      <c r="AC114" s="608"/>
    </row>
    <row r="115" spans="1:29" ht="14.4">
      <c r="A115" s="685"/>
      <c r="B115" s="572" t="s">
        <v>1255</v>
      </c>
      <c r="C115" s="2262" t="s">
        <v>1256</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c r="A116" s="569"/>
      <c r="B116" s="574"/>
      <c r="C116" s="575">
        <v>100</v>
      </c>
      <c r="D116" s="575">
        <f t="shared" ref="D116:M116" si="39">C116-$K39</f>
        <v>98</v>
      </c>
      <c r="E116" s="575">
        <f t="shared" si="39"/>
        <v>96</v>
      </c>
      <c r="F116" s="575">
        <f t="shared" si="39"/>
        <v>94</v>
      </c>
      <c r="G116" s="575">
        <f t="shared" si="39"/>
        <v>92</v>
      </c>
      <c r="H116" s="575">
        <f t="shared" si="39"/>
        <v>90</v>
      </c>
      <c r="I116" s="575">
        <f t="shared" si="39"/>
        <v>88</v>
      </c>
      <c r="J116" s="575">
        <f t="shared" si="39"/>
        <v>86</v>
      </c>
      <c r="K116" s="575">
        <f t="shared" si="39"/>
        <v>84</v>
      </c>
      <c r="L116" s="575">
        <f t="shared" si="39"/>
        <v>82</v>
      </c>
      <c r="M116" s="641">
        <f t="shared" si="39"/>
        <v>80</v>
      </c>
      <c r="N116" s="637"/>
      <c r="O116" s="637"/>
      <c r="P116" s="635"/>
      <c r="Q116" s="671"/>
      <c r="R116" s="536"/>
      <c r="S116" s="536"/>
      <c r="T116" s="536"/>
      <c r="U116" s="536"/>
      <c r="V116" s="536"/>
      <c r="W116" s="536"/>
      <c r="X116" s="536"/>
      <c r="Y116" s="536"/>
      <c r="Z116" s="536"/>
      <c r="AA116" s="536"/>
      <c r="AB116" s="536"/>
      <c r="AC116" s="536"/>
    </row>
    <row r="117" spans="1:29" ht="14.4">
      <c r="A117" s="685"/>
      <c r="B117" s="572" t="s">
        <v>1257</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c r="A118" s="569"/>
      <c r="B118" s="574"/>
      <c r="C118" s="575">
        <v>100</v>
      </c>
      <c r="D118" s="575">
        <f>C118-$K40</f>
        <v>98</v>
      </c>
      <c r="E118" s="575">
        <f>D118-$K40</f>
        <v>96</v>
      </c>
      <c r="F118" s="575">
        <f>E118-$K40</f>
        <v>94</v>
      </c>
      <c r="G118" s="575">
        <f>F118-$K40</f>
        <v>92</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ht="14.4">
      <c r="A119" s="685"/>
      <c r="B119" s="689" t="s">
        <v>1299</v>
      </c>
      <c r="C119" s="2263" t="s">
        <v>1259</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c r="A120" s="569"/>
      <c r="B120" s="574"/>
      <c r="C120" s="686">
        <v>100</v>
      </c>
      <c r="D120" s="575">
        <f>C120-$K41</f>
        <v>98</v>
      </c>
      <c r="E120" s="575">
        <f t="shared" ref="E120:M120" si="40">D120-$K41</f>
        <v>96</v>
      </c>
      <c r="F120" s="575">
        <f t="shared" si="40"/>
        <v>94</v>
      </c>
      <c r="G120" s="575">
        <f t="shared" si="40"/>
        <v>92</v>
      </c>
      <c r="H120" s="575">
        <f t="shared" si="40"/>
        <v>90</v>
      </c>
      <c r="I120" s="575">
        <f t="shared" si="40"/>
        <v>88</v>
      </c>
      <c r="J120" s="575">
        <f t="shared" si="40"/>
        <v>86</v>
      </c>
      <c r="K120" s="575">
        <f t="shared" si="40"/>
        <v>84</v>
      </c>
      <c r="L120" s="575">
        <f t="shared" si="40"/>
        <v>82</v>
      </c>
      <c r="M120" s="575">
        <f t="shared" si="40"/>
        <v>80</v>
      </c>
      <c r="N120" s="637"/>
      <c r="O120" s="637"/>
      <c r="P120" s="635"/>
      <c r="Q120" s="671"/>
      <c r="R120" s="536"/>
      <c r="S120" s="536"/>
      <c r="T120" s="536"/>
      <c r="U120" s="536"/>
      <c r="V120" s="536"/>
      <c r="W120" s="536"/>
      <c r="X120" s="536"/>
      <c r="Y120" s="536"/>
      <c r="Z120" s="536"/>
      <c r="AA120" s="536"/>
      <c r="AB120" s="536"/>
      <c r="AC120" s="536"/>
    </row>
    <row r="121" spans="1:29" s="420" customFormat="1" ht="14.4">
      <c r="A121" s="687"/>
      <c r="B121" s="572" t="s">
        <v>1300</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ht="14.4">
      <c r="A123" s="685"/>
      <c r="B123" s="572" t="s">
        <v>1261</v>
      </c>
      <c r="C123" s="580" t="s">
        <v>1252</v>
      </c>
      <c r="D123" s="580" t="s">
        <v>1296</v>
      </c>
      <c r="E123" s="580" t="s">
        <v>1297</v>
      </c>
      <c r="F123" s="682" t="s">
        <v>1298</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c r="A124" s="569"/>
      <c r="B124" s="574"/>
      <c r="C124" s="575">
        <v>100</v>
      </c>
      <c r="D124" s="575">
        <f t="shared" ref="D124:M124" si="41">C124-$K43</f>
        <v>98</v>
      </c>
      <c r="E124" s="575">
        <f t="shared" si="41"/>
        <v>96</v>
      </c>
      <c r="F124" s="575">
        <f t="shared" si="41"/>
        <v>94</v>
      </c>
      <c r="G124" s="575">
        <f t="shared" si="41"/>
        <v>92</v>
      </c>
      <c r="H124" s="575">
        <f t="shared" si="41"/>
        <v>90</v>
      </c>
      <c r="I124" s="575">
        <f t="shared" si="41"/>
        <v>88</v>
      </c>
      <c r="J124" s="575">
        <f t="shared" si="41"/>
        <v>86</v>
      </c>
      <c r="K124" s="575">
        <f t="shared" si="41"/>
        <v>84</v>
      </c>
      <c r="L124" s="575">
        <f t="shared" si="41"/>
        <v>82</v>
      </c>
      <c r="M124" s="641">
        <f t="shared" si="41"/>
        <v>80</v>
      </c>
      <c r="N124" s="637"/>
      <c r="O124" s="637"/>
      <c r="P124" s="635"/>
      <c r="Q124" s="671"/>
      <c r="R124" s="536"/>
      <c r="S124" s="536"/>
      <c r="T124" s="536"/>
      <c r="U124" s="536"/>
      <c r="V124" s="536"/>
      <c r="W124" s="536"/>
      <c r="X124" s="536"/>
      <c r="Y124" s="536"/>
      <c r="Z124" s="536"/>
      <c r="AA124" s="536"/>
      <c r="AB124" s="536"/>
      <c r="AC124" s="536"/>
    </row>
    <row r="125" spans="1:29" ht="28.8">
      <c r="A125" s="685"/>
      <c r="B125" s="572" t="s">
        <v>1262</v>
      </c>
      <c r="C125" s="680" t="s">
        <v>1286</v>
      </c>
      <c r="D125" s="680" t="s">
        <v>1287</v>
      </c>
      <c r="E125" s="680" t="s">
        <v>1288</v>
      </c>
      <c r="F125" s="680" t="s">
        <v>1289</v>
      </c>
      <c r="G125" s="680" t="s">
        <v>1290</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8.8">
      <c r="A127" s="687"/>
      <c r="B127" s="572" t="str">
        <f>B45</f>
        <v>地下面积占比</v>
      </c>
      <c r="C127" s="580" t="s">
        <v>1266</v>
      </c>
      <c r="D127" s="2255" t="s">
        <v>1264</v>
      </c>
      <c r="E127" s="2255" t="s">
        <v>1301</v>
      </c>
      <c r="F127" s="2256" t="s">
        <v>1265</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c r="A128" s="579"/>
      <c r="B128" s="574"/>
      <c r="C128" s="578">
        <v>100</v>
      </c>
      <c r="D128" s="571">
        <f>C128-3</f>
        <v>97</v>
      </c>
      <c r="E128" s="571">
        <f t="shared" ref="E128:F128" si="42">D128-3</f>
        <v>94</v>
      </c>
      <c r="F128" s="571">
        <f t="shared" si="42"/>
        <v>91</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4.4"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5" thickTop="1">
      <c r="A131" s="685"/>
      <c r="B131" s="681">
        <f>B47</f>
        <v>0</v>
      </c>
      <c r="C131" s="2255" t="s">
        <v>2854</v>
      </c>
      <c r="D131" s="2255" t="s">
        <v>2855</v>
      </c>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4.4" thickBot="1">
      <c r="A132" s="1748"/>
      <c r="B132" s="1839"/>
      <c r="C132" s="578">
        <v>100</v>
      </c>
      <c r="D132" s="571">
        <v>97</v>
      </c>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4" zoomScaleNormal="70" workbookViewId="0">
      <selection activeCell="H48" sqref="H48"/>
    </sheetView>
  </sheetViews>
  <sheetFormatPr defaultColWidth="9" defaultRowHeight="13.2"/>
  <cols>
    <col min="1" max="1" width="9" style="36" customWidth="1"/>
    <col min="2" max="2" width="20.6640625" style="132" customWidth="1"/>
    <col min="3" max="3" width="11.88671875" style="132" customWidth="1"/>
    <col min="4" max="4" width="40.44140625" style="36" customWidth="1"/>
    <col min="5" max="5" width="15.77734375" style="36" customWidth="1"/>
    <col min="6" max="6" width="10.6640625" style="36" customWidth="1"/>
    <col min="7" max="7" width="4.88671875" style="36" customWidth="1"/>
    <col min="8" max="8" width="8.44140625" style="36" customWidth="1"/>
    <col min="9" max="9" width="21.21875" style="36" customWidth="1"/>
    <col min="10" max="10" width="12.21875" style="36" customWidth="1"/>
    <col min="11" max="11" width="45.109375" style="133" customWidth="1"/>
    <col min="12" max="12" width="16.33203125" style="36" customWidth="1"/>
    <col min="13" max="13" width="13" style="36" customWidth="1"/>
    <col min="14" max="14" width="13.77734375" style="131" customWidth="1"/>
    <col min="15" max="15" width="5.109375" style="131" customWidth="1"/>
    <col min="16" max="16" width="25.77734375" style="131" customWidth="1"/>
    <col min="17" max="17" width="13.77734375" style="131" customWidth="1"/>
    <col min="18" max="18" width="20.44140625" style="131" customWidth="1"/>
    <col min="19" max="19" width="13.21875" style="131" customWidth="1"/>
    <col min="20" max="37" width="9" style="131"/>
    <col min="38" max="16384" width="9" style="36"/>
  </cols>
  <sheetData>
    <row r="1" spans="1:37" s="129" customFormat="1" ht="21.6">
      <c r="A1" s="134" t="s">
        <v>1302</v>
      </c>
      <c r="B1" s="135"/>
      <c r="C1" s="136" t="s">
        <v>447</v>
      </c>
      <c r="D1" s="137" t="s">
        <v>124</v>
      </c>
      <c r="E1" s="138" t="s">
        <v>1303</v>
      </c>
      <c r="F1" s="139">
        <f ca="1">J53</f>
        <v>30.31</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f ca="1">C40+J29+L46</f>
        <v>245580</v>
      </c>
      <c r="C2" s="144" t="s">
        <v>1305</v>
      </c>
      <c r="D2" s="144"/>
      <c r="E2" s="145"/>
      <c r="F2" s="146"/>
      <c r="G2" s="147"/>
      <c r="H2" s="148"/>
      <c r="I2" s="148"/>
      <c r="J2" s="148"/>
      <c r="K2" s="312"/>
      <c r="L2" s="148"/>
      <c r="M2" s="148"/>
    </row>
    <row r="3" spans="1:37" ht="18" customHeight="1">
      <c r="A3" s="149" t="s">
        <v>1306</v>
      </c>
      <c r="B3" s="150">
        <f ca="1">IF(ISERROR(B2*10000/F43),0,ROUND(B2*10000/F43,0))</f>
        <v>48977</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14861</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ROUND(F6*F8*F7*(1-F9)/10000,0)</f>
        <v>14824</v>
      </c>
      <c r="D6" s="164" t="s">
        <v>1317</v>
      </c>
      <c r="E6" s="165" t="s">
        <v>1318</v>
      </c>
      <c r="F6" s="166">
        <f ca="1">INDIRECT("'数据-取费表'!u"&amp;$G$1)</f>
        <v>9</v>
      </c>
      <c r="G6" s="131"/>
      <c r="H6" s="162" t="s">
        <v>964</v>
      </c>
      <c r="I6" s="3248" t="s">
        <v>1316</v>
      </c>
      <c r="J6" s="241">
        <f ca="1">ROUND(M6*M8*M7*(1-M9)/10000,0)</f>
        <v>0</v>
      </c>
      <c r="K6" s="164" t="s">
        <v>1319</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50141.899999999994</v>
      </c>
      <c r="G7" s="131"/>
      <c r="H7" s="171"/>
      <c r="I7" s="3249"/>
      <c r="J7" s="172"/>
      <c r="K7" s="169"/>
      <c r="L7" s="165" t="s">
        <v>1320</v>
      </c>
      <c r="M7" s="166">
        <f ca="1">F7</f>
        <v>50141.899999999994</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0.1</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37</v>
      </c>
      <c r="D10" s="176" t="s">
        <v>1324</v>
      </c>
      <c r="E10" s="177" t="s">
        <v>1325</v>
      </c>
      <c r="F10" s="178" t="s">
        <v>1326</v>
      </c>
      <c r="G10" s="131"/>
      <c r="H10" s="162" t="s">
        <v>968</v>
      </c>
      <c r="I10" s="174" t="s">
        <v>1323</v>
      </c>
      <c r="J10" s="241">
        <f ca="1">ROUND(IF(M10="押一",J6/12*M11,IF(M10="押二",J6/12*2*M11,IF(M10="押三",J6/12*3*M11,J11*M11))),0)</f>
        <v>0</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29826</v>
      </c>
      <c r="D13" s="194" t="s">
        <v>1332</v>
      </c>
      <c r="E13" s="194" t="s">
        <v>1333</v>
      </c>
      <c r="F13" s="195">
        <f ca="1">INDIRECT("'数据-取费表'!y"&amp;$G$1)</f>
        <v>0.81</v>
      </c>
      <c r="G13" s="131"/>
      <c r="H13" s="191">
        <v>2</v>
      </c>
      <c r="I13" s="192" t="s">
        <v>1331</v>
      </c>
      <c r="J13" s="319">
        <f ca="1">ROUND(J14*J15,0)</f>
        <v>0</v>
      </c>
      <c r="K13" s="219" t="s">
        <v>1332</v>
      </c>
      <c r="L13" s="320"/>
      <c r="M13" s="321"/>
    </row>
    <row r="14" spans="1:37" ht="18" customHeight="1">
      <c r="A14" s="196" t="s">
        <v>987</v>
      </c>
      <c r="B14" s="165" t="s">
        <v>1334</v>
      </c>
      <c r="C14" s="197">
        <f ca="1">INDIRECT("'数据-取费表'!m"&amp;$G$1)+INDIRECT("'数据-取费表'!t"&amp;$G$1)</f>
        <v>24526</v>
      </c>
      <c r="D14" s="198" t="s">
        <v>1335</v>
      </c>
      <c r="E14" s="199"/>
      <c r="F14" s="200"/>
      <c r="G14" s="131"/>
      <c r="H14" s="196" t="s">
        <v>964</v>
      </c>
      <c r="I14" s="165" t="s">
        <v>1336</v>
      </c>
      <c r="J14" s="201">
        <f ca="1">C29</f>
        <v>36822</v>
      </c>
      <c r="K14" s="322"/>
      <c r="L14" s="323"/>
      <c r="M14" s="324"/>
    </row>
    <row r="15" spans="1:37" s="130" customFormat="1" ht="18" customHeight="1">
      <c r="A15" s="196" t="s">
        <v>991</v>
      </c>
      <c r="B15" s="165" t="s">
        <v>1164</v>
      </c>
      <c r="C15" s="201">
        <f ca="1">ROUND(C14*F15,0)</f>
        <v>736</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ROUND(INDIRECT("'数据-取费表'!m"&amp;$G$1)*F16,0)</f>
        <v>0</v>
      </c>
      <c r="D16" s="165" t="s">
        <v>1337</v>
      </c>
      <c r="E16" s="165" t="s">
        <v>1338</v>
      </c>
      <c r="F16" s="206">
        <f ca="1">IF(INDIRECT("'数据-取费表'!c"&amp;$G$1)="住宅",'数据-取费表'!B34,0)</f>
        <v>0</v>
      </c>
      <c r="G16" s="131"/>
      <c r="H16" s="191" t="s">
        <v>467</v>
      </c>
      <c r="I16" s="192" t="s">
        <v>1339</v>
      </c>
      <c r="J16" s="193">
        <f ca="1">ROUND(J17+J22+J23+J24,0)</f>
        <v>702</v>
      </c>
      <c r="K16" s="219" t="s">
        <v>1340</v>
      </c>
      <c r="L16" s="220"/>
      <c r="M16" s="161"/>
    </row>
    <row r="17" spans="1:37" s="130" customFormat="1" ht="18" customHeight="1">
      <c r="A17" s="196" t="s">
        <v>1341</v>
      </c>
      <c r="B17" s="165" t="s">
        <v>1342</v>
      </c>
      <c r="C17" s="201">
        <f ca="1">ROUND(F17*(F43+INDIRECT("'数据-取费表'!S"&amp;$G$1))/10000,0)</f>
        <v>1022</v>
      </c>
      <c r="D17" s="165" t="s">
        <v>1343</v>
      </c>
      <c r="E17" s="165" t="s">
        <v>1344</v>
      </c>
      <c r="F17" s="207">
        <f>'数据-取费表'!B35</f>
        <v>200</v>
      </c>
      <c r="G17" s="204"/>
      <c r="H17" s="196" t="s">
        <v>964</v>
      </c>
      <c r="I17" s="165" t="s">
        <v>1345</v>
      </c>
      <c r="J17" s="222">
        <f ca="1">ROUND(IF(AND(项目基本情况!B11="自然人",项目基本情况!B10="北京市"),J6*M17/(1+'数据-取费表'!C42),J18+J19+J20),0)</f>
        <v>334</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368</v>
      </c>
      <c r="D18" s="165" t="s">
        <v>1337</v>
      </c>
      <c r="E18" s="165" t="s">
        <v>1338</v>
      </c>
      <c r="F18" s="206">
        <f>'数据-取费表'!B36</f>
        <v>1.4999999999999999E-2</v>
      </c>
      <c r="G18" s="204"/>
      <c r="H18" s="196" t="s">
        <v>987</v>
      </c>
      <c r="I18" s="165" t="s">
        <v>1349</v>
      </c>
      <c r="J18" s="201">
        <f ca="1">ROUND(J6*M18/(1+'数据-取费表'!C42),2)</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26652</v>
      </c>
      <c r="D19" s="208" t="s">
        <v>1352</v>
      </c>
      <c r="E19" s="209"/>
      <c r="F19" s="207"/>
      <c r="G19" s="131"/>
      <c r="H19" s="196" t="s">
        <v>991</v>
      </c>
      <c r="I19" s="165" t="s">
        <v>1353</v>
      </c>
      <c r="J19" s="201">
        <f ca="1">IF(K19="按租金收入计税",ROUND(J6*M19/(1+'数据-取费表'!C42),2),ROUND(C29*M19*0.7,2))</f>
        <v>309.3</v>
      </c>
      <c r="K19" s="226" t="s">
        <v>1354</v>
      </c>
      <c r="L19" s="165" t="s">
        <v>1338</v>
      </c>
      <c r="M19" s="206">
        <f>IF(K19="按租金收入计税",'数据-取费表'!B51,'数据-取费表'!B50)</f>
        <v>1.2E-2</v>
      </c>
    </row>
    <row r="20" spans="1:37" s="130" customFormat="1" ht="18" customHeight="1">
      <c r="A20" s="196" t="s">
        <v>968</v>
      </c>
      <c r="B20" s="165" t="s">
        <v>1355</v>
      </c>
      <c r="C20" s="201">
        <f ca="1">ROUND(C19*F20,0)</f>
        <v>400</v>
      </c>
      <c r="D20" s="210" t="s">
        <v>1356</v>
      </c>
      <c r="E20" s="165" t="s">
        <v>1338</v>
      </c>
      <c r="F20" s="206">
        <f>'数据-取费表'!B37</f>
        <v>1.4999999999999999E-2</v>
      </c>
      <c r="G20" s="204"/>
      <c r="H20" s="196" t="s">
        <v>994</v>
      </c>
      <c r="I20" s="164" t="s">
        <v>1357</v>
      </c>
      <c r="J20" s="228">
        <f ca="1">ROUND(M20*M21/10000,2)</f>
        <v>24.53</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8176.44</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ROUND(J14*M22,1)</f>
        <v>368.2</v>
      </c>
      <c r="K22" s="223" t="s">
        <v>1366</v>
      </c>
      <c r="L22" s="165" t="s">
        <v>1338</v>
      </c>
      <c r="M22" s="235">
        <f ca="1">INDIRECT("'数据-取费表'!Ak"&amp;$G$1)</f>
        <v>0.01</v>
      </c>
    </row>
    <row r="23" spans="1:37" s="130" customFormat="1" ht="18" customHeight="1">
      <c r="A23" s="196" t="s">
        <v>987</v>
      </c>
      <c r="B23" s="165" t="s">
        <v>1367</v>
      </c>
      <c r="C23" s="201">
        <f ca="1">IF('数据-取费表'!B22&lt;=1,ROUND(C19*F24*F23/2,0)+ROUND(C20*F24*F23/2,0),ROUND(C19*(POWER((1+F24),F23/2)-1),0)+ROUND(C20*(POWER((1+F24),F23/2)-1),0))</f>
        <v>1701</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ROUND(J13*M23,1)</f>
        <v>0</v>
      </c>
      <c r="K23" s="223" t="s">
        <v>1370</v>
      </c>
      <c r="L23" s="165" t="s">
        <v>1338</v>
      </c>
      <c r="M23" s="236">
        <f ca="1">INDIRECT("'数据-取费表'!Al"&amp;$G$1)</f>
        <v>1E-3</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ROUND(J5*M24,1)</f>
        <v>0</v>
      </c>
      <c r="K24" s="216" t="s">
        <v>1373</v>
      </c>
      <c r="L24" s="189" t="s">
        <v>1338</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f ca="1">J5-J16</f>
        <v>-702</v>
      </c>
      <c r="K25" s="238" t="s">
        <v>1377</v>
      </c>
      <c r="L25" s="239"/>
      <c r="M25" s="240"/>
    </row>
    <row r="26" spans="1:37">
      <c r="A26" s="196" t="s">
        <v>987</v>
      </c>
      <c r="B26" s="165" t="s">
        <v>1378</v>
      </c>
      <c r="C26" s="201">
        <f ca="1">ROUND((C19+C20)*F26,0)</f>
        <v>5410</v>
      </c>
      <c r="D26" s="210" t="s">
        <v>1379</v>
      </c>
      <c r="E26" s="177" t="s">
        <v>1380</v>
      </c>
      <c r="F26" s="173">
        <f ca="1">INDIRECT("'数据-取费表'!q"&amp;$G$1)</f>
        <v>0.2</v>
      </c>
      <c r="G26" s="131"/>
      <c r="H26" s="156" t="s">
        <v>476</v>
      </c>
      <c r="I26" s="157" t="s">
        <v>1381</v>
      </c>
      <c r="J26" s="241">
        <f ca="1">IF(J5&lt;&gt;0,ROUND(J25*(1-((1+M28)/(1+M26))^M27)/(M26-M28),0),0)</f>
        <v>0</v>
      </c>
      <c r="K26" s="229" t="s">
        <v>1382</v>
      </c>
      <c r="L26" s="165" t="s">
        <v>1383</v>
      </c>
      <c r="M26" s="173">
        <f ca="1">INDIRECT("'数据-取费表'!I"&amp;$G$1)</f>
        <v>5.5E-2</v>
      </c>
    </row>
    <row r="27" spans="1:37" ht="18" customHeight="1">
      <c r="A27" s="196" t="s">
        <v>991</v>
      </c>
      <c r="B27" s="165" t="s">
        <v>1384</v>
      </c>
      <c r="C27" s="201">
        <f ca="1">ROUND(F21*F26,4)</f>
        <v>3.0000000000000001E-3</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36822</v>
      </c>
      <c r="D29" s="216"/>
      <c r="E29" s="189"/>
      <c r="F29" s="217"/>
      <c r="G29" s="204"/>
      <c r="H29" s="218" t="s">
        <v>1392</v>
      </c>
      <c r="I29" s="248" t="s">
        <v>1393</v>
      </c>
      <c r="J29" s="249">
        <f ca="1">ROUND(J26/(1+F40)^F41,0)</f>
        <v>0</v>
      </c>
      <c r="K29" s="250" t="s">
        <v>1394</v>
      </c>
      <c r="L29" s="251"/>
      <c r="M29" s="252">
        <f ca="1">INDIRECT("'数据-取费表'!k"&amp;$G$1)</f>
        <v>50141.899999999994</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3056</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2509</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IF(项目基本情况!B11="自然人","——",ROUND(C6*F32/(1+'数据-取费表'!C42),2))</f>
        <v>790.61</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IF(项目基本情况!B11="自然人","——",IF(D33="按租金收入计税",ROUND(C6*F33/(1+'数据-取费表'!C42),2),IF(D33="按房产原值计税",ROUND(C29*F33*0.7,2),INDIRECT("'数据-取费表'!Aj"&amp;$G$1))))</f>
        <v>1694.17</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f ca="1">IF(项目基本情况!B11="自然人","——",ROUND(F34*F35/10000,2))</f>
        <v>24.53</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8176.44</v>
      </c>
      <c r="G35" s="131"/>
      <c r="H35" s="221"/>
      <c r="I35" s="329"/>
      <c r="J35" s="330"/>
      <c r="K35" s="333"/>
      <c r="L35" s="227"/>
      <c r="M35" s="227"/>
    </row>
    <row r="36" spans="1:18" ht="18" customHeight="1">
      <c r="A36" s="234" t="s">
        <v>968</v>
      </c>
      <c r="B36" s="165" t="s">
        <v>1365</v>
      </c>
      <c r="C36" s="201">
        <f ca="1">ROUND(C29*F36,1)</f>
        <v>368.2</v>
      </c>
      <c r="D36" s="223" t="s">
        <v>1397</v>
      </c>
      <c r="E36" s="165" t="s">
        <v>1338</v>
      </c>
      <c r="F36" s="235">
        <f ca="1">INDIRECT("'数据-取费表'!Ak"&amp;$G$1)</f>
        <v>0.01</v>
      </c>
      <c r="G36" s="131"/>
      <c r="H36" s="227"/>
      <c r="I36" s="329"/>
      <c r="J36" s="330"/>
      <c r="K36" s="336"/>
      <c r="L36" s="227"/>
      <c r="M36" s="227"/>
    </row>
    <row r="37" spans="1:18" ht="18" customHeight="1">
      <c r="A37" s="196" t="s">
        <v>1013</v>
      </c>
      <c r="B37" s="165" t="s">
        <v>1369</v>
      </c>
      <c r="C37" s="201">
        <f ca="1">ROUND(C13*F37,1)</f>
        <v>29.8</v>
      </c>
      <c r="D37" s="223" t="s">
        <v>1370</v>
      </c>
      <c r="E37" s="165" t="s">
        <v>1338</v>
      </c>
      <c r="F37" s="236">
        <f ca="1">INDIRECT("'数据-取费表'!Al"&amp;$G$1)</f>
        <v>1E-3</v>
      </c>
      <c r="G37" s="131"/>
      <c r="H37" s="227"/>
      <c r="I37" s="329"/>
      <c r="J37" s="330"/>
      <c r="K37" s="336"/>
      <c r="L37" s="227"/>
      <c r="M37" s="227"/>
    </row>
    <row r="38" spans="1:18" ht="18" customHeight="1">
      <c r="A38" s="205" t="s">
        <v>1016</v>
      </c>
      <c r="B38" s="189" t="s">
        <v>1355</v>
      </c>
      <c r="C38" s="215">
        <f ca="1">ROUND(C5*F38,1)</f>
        <v>148.6</v>
      </c>
      <c r="D38" s="216" t="s">
        <v>1373</v>
      </c>
      <c r="E38" s="189" t="s">
        <v>1338</v>
      </c>
      <c r="F38" s="190">
        <f ca="1">INDIRECT("'数据-取费表'!Am"&amp;$G$1)</f>
        <v>0.01</v>
      </c>
      <c r="G38" s="131"/>
      <c r="H38" s="227"/>
      <c r="I38" s="329"/>
      <c r="J38" s="330"/>
      <c r="K38" s="331"/>
      <c r="L38" s="227"/>
      <c r="M38" s="227"/>
    </row>
    <row r="39" spans="1:18" ht="24.6" customHeight="1">
      <c r="A39" s="191" t="s">
        <v>470</v>
      </c>
      <c r="B39" s="237" t="s">
        <v>1376</v>
      </c>
      <c r="C39" s="193">
        <f ca="1">C5-C30</f>
        <v>11805</v>
      </c>
      <c r="D39" s="238" t="s">
        <v>1377</v>
      </c>
      <c r="E39" s="239"/>
      <c r="F39" s="240"/>
      <c r="G39" s="131"/>
      <c r="H39" s="227"/>
      <c r="I39" s="329"/>
      <c r="J39" s="330"/>
      <c r="K39" s="331"/>
      <c r="L39" s="227"/>
      <c r="M39" s="227"/>
    </row>
    <row r="40" spans="1:18" ht="18" customHeight="1">
      <c r="A40" s="156" t="s">
        <v>476</v>
      </c>
      <c r="B40" s="157" t="s">
        <v>1398</v>
      </c>
      <c r="C40" s="241">
        <f ca="1">ROUND(C39*(1-((1+F42)/(1+F40))^F41)/(F40-F42),0)</f>
        <v>243935</v>
      </c>
      <c r="D40" s="229" t="s">
        <v>1382</v>
      </c>
      <c r="E40" s="165" t="s">
        <v>1383</v>
      </c>
      <c r="F40" s="173">
        <f ca="1">INDIRECT("'数据-取费表'!I"&amp;$G$1)</f>
        <v>5.5E-2</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30.31</v>
      </c>
      <c r="G41" s="131"/>
      <c r="H41" s="246"/>
      <c r="I41" s="329"/>
      <c r="J41" s="330"/>
      <c r="K41" s="336"/>
      <c r="L41" s="246"/>
      <c r="M41" s="246"/>
    </row>
    <row r="42" spans="1:18" ht="18" customHeight="1">
      <c r="A42" s="179"/>
      <c r="B42" s="247"/>
      <c r="C42" s="193"/>
      <c r="D42" s="233"/>
      <c r="E42" s="165" t="s">
        <v>1390</v>
      </c>
      <c r="F42" s="173">
        <f ca="1">INDIRECT("'数据-取费表'!v"&amp;$G$1)</f>
        <v>0.03</v>
      </c>
      <c r="G42" s="131"/>
      <c r="H42" s="246"/>
      <c r="I42" s="329"/>
      <c r="J42" s="330"/>
      <c r="K42" s="336"/>
      <c r="L42" s="246"/>
      <c r="M42" s="246"/>
    </row>
    <row r="43" spans="1:18" ht="18" customHeight="1">
      <c r="A43" s="218" t="s">
        <v>1392</v>
      </c>
      <c r="B43" s="248" t="s">
        <v>1399</v>
      </c>
      <c r="C43" s="249">
        <f ca="1">ROUND(C40*10000/F43,0)</f>
        <v>48649</v>
      </c>
      <c r="D43" s="250" t="s">
        <v>1400</v>
      </c>
      <c r="E43" s="251" t="s">
        <v>1401</v>
      </c>
      <c r="F43" s="252">
        <f ca="1">INDIRECT("'数据-取费表'!k"&amp;$G$1)</f>
        <v>50141.899999999994</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c r="A46" s="255" t="s">
        <v>1403</v>
      </c>
      <c r="C46" s="256">
        <f ca="1">C68-C40</f>
        <v>-295247</v>
      </c>
      <c r="D46" s="257" t="str">
        <f>C2</f>
        <v>万元</v>
      </c>
      <c r="E46" s="253"/>
      <c r="F46" s="253"/>
      <c r="I46" s="340" t="s">
        <v>1404</v>
      </c>
      <c r="J46" s="341"/>
      <c r="K46" s="342"/>
      <c r="L46" s="343">
        <f ca="1">IF(M47="住宅",0,IF(L48&gt;J51,L60,J60))</f>
        <v>1645</v>
      </c>
      <c r="O46" s="344" t="s">
        <v>1405</v>
      </c>
      <c r="P46" s="345" t="s">
        <v>1406</v>
      </c>
      <c r="Q46" s="389" t="s">
        <v>1407</v>
      </c>
      <c r="R46" s="389" t="s">
        <v>1408</v>
      </c>
    </row>
    <row r="47" spans="1:18" s="131" customFormat="1">
      <c r="A47" s="258" t="s">
        <v>1309</v>
      </c>
      <c r="B47" s="259" t="s">
        <v>1310</v>
      </c>
      <c r="C47" s="260" t="s">
        <v>1311</v>
      </c>
      <c r="D47" s="259" t="s">
        <v>1312</v>
      </c>
      <c r="E47" s="261" t="s">
        <v>1313</v>
      </c>
      <c r="F47" s="262"/>
      <c r="G47" s="263"/>
      <c r="I47" s="346" t="s">
        <v>1409</v>
      </c>
      <c r="J47" s="347" t="s">
        <v>1250</v>
      </c>
      <c r="K47" s="348" t="s">
        <v>1410</v>
      </c>
      <c r="L47" s="349">
        <f ca="1">INDIRECT("'数据-取费表'!d"&amp;$G$1)</f>
        <v>50</v>
      </c>
      <c r="M47" s="350" t="str">
        <f>IF(ISNUMBER(FIND("住宅",C1)),"住宅","非住宅")</f>
        <v>非住宅</v>
      </c>
      <c r="O47" s="351" t="s">
        <v>1070</v>
      </c>
      <c r="P47" s="352" t="s">
        <v>1411</v>
      </c>
      <c r="Q47" s="390">
        <f ca="1">C40+J29</f>
        <v>243935</v>
      </c>
      <c r="R47" s="390" t="s">
        <v>1412</v>
      </c>
    </row>
    <row r="48" spans="1:18" s="131" customFormat="1" ht="39.6">
      <c r="A48" s="264" t="s">
        <v>1413</v>
      </c>
      <c r="B48" s="157" t="s">
        <v>1314</v>
      </c>
      <c r="C48" s="265">
        <f ca="1">C49+C53+C55</f>
        <v>0</v>
      </c>
      <c r="D48" s="266"/>
      <c r="E48" s="267"/>
      <c r="F48" s="268"/>
      <c r="G48" s="263"/>
      <c r="H48" s="269"/>
      <c r="I48" s="353" t="s">
        <v>1414</v>
      </c>
      <c r="J48" s="354" t="s">
        <v>1415</v>
      </c>
      <c r="K48" s="355" t="s">
        <v>1416</v>
      </c>
      <c r="L48" s="356">
        <f ca="1">INDIRECT("'数据-取费表'!f"&amp;$G$1)</f>
        <v>30.31</v>
      </c>
      <c r="O48" s="351" t="s">
        <v>1072</v>
      </c>
      <c r="P48" s="352" t="s">
        <v>1417</v>
      </c>
      <c r="Q48" s="390">
        <f ca="1">J60</f>
        <v>1645</v>
      </c>
      <c r="R48" s="390" t="s">
        <v>1418</v>
      </c>
    </row>
    <row r="49" spans="1:18" s="131" customFormat="1">
      <c r="A49" s="270" t="s">
        <v>1419</v>
      </c>
      <c r="B49" s="271" t="s">
        <v>1420</v>
      </c>
      <c r="C49" s="272">
        <f ca="1">ROUND(F49*F51*F50*(1-F52)/10000,0)</f>
        <v>0</v>
      </c>
      <c r="D49" s="273" t="s">
        <v>1319</v>
      </c>
      <c r="E49" s="274" t="s">
        <v>1421</v>
      </c>
      <c r="F49" s="275"/>
      <c r="H49" s="269"/>
      <c r="I49" s="353" t="s">
        <v>1422</v>
      </c>
      <c r="J49" s="357">
        <v>2005</v>
      </c>
      <c r="K49" s="355" t="s">
        <v>1423</v>
      </c>
      <c r="L49" s="358"/>
      <c r="O49" s="359" t="s">
        <v>1424</v>
      </c>
      <c r="P49" s="352" t="s">
        <v>1425</v>
      </c>
      <c r="Q49" s="390">
        <f ca="1">C29</f>
        <v>36822</v>
      </c>
      <c r="R49" s="390" t="s">
        <v>1412</v>
      </c>
    </row>
    <row r="50" spans="1:18" s="131" customFormat="1">
      <c r="A50" s="276"/>
      <c r="B50" s="277"/>
      <c r="C50" s="278"/>
      <c r="D50" s="279"/>
      <c r="E50" s="280" t="s">
        <v>1320</v>
      </c>
      <c r="F50" s="281">
        <f ca="1">F7</f>
        <v>50141.899999999994</v>
      </c>
      <c r="H50" s="269"/>
      <c r="I50" s="353" t="s">
        <v>1426</v>
      </c>
      <c r="J50" s="360">
        <f>SUMPRODUCT((I63:I65=J47)*(J62:L62=J48)*(J63:L65))</f>
        <v>60</v>
      </c>
      <c r="K50" s="355" t="s">
        <v>1427</v>
      </c>
      <c r="L50" s="358">
        <f>[3]基准地价修正!$E$33</f>
        <v>408</v>
      </c>
      <c r="M50" s="361"/>
      <c r="O50" s="359" t="s">
        <v>1428</v>
      </c>
      <c r="P50" s="352" t="s">
        <v>1429</v>
      </c>
      <c r="Q50" s="391">
        <f ca="1">J58</f>
        <v>0.4</v>
      </c>
      <c r="R50" s="390"/>
    </row>
    <row r="51" spans="1:18" s="131" customFormat="1">
      <c r="A51" s="282"/>
      <c r="B51" s="277"/>
      <c r="C51" s="283"/>
      <c r="D51" s="279"/>
      <c r="E51" s="284" t="s">
        <v>1321</v>
      </c>
      <c r="F51" s="166">
        <f ca="1">F8</f>
        <v>365</v>
      </c>
      <c r="I51" s="362" t="s">
        <v>1430</v>
      </c>
      <c r="J51" s="356">
        <f>IF(J49="",J50,J49+J50-YEAR('数据-取费表'!B2))</f>
        <v>43</v>
      </c>
      <c r="K51" s="363" t="s">
        <v>1431</v>
      </c>
      <c r="L51" s="364">
        <f ca="1">ROUND(-PV(INDIRECT("'数据-取费表'!h"&amp;$G$1),J51,(C39-C13*C76),0),0)</f>
        <v>174960</v>
      </c>
      <c r="M51" s="365"/>
      <c r="O51" s="359" t="s">
        <v>1432</v>
      </c>
      <c r="P51" s="352" t="s">
        <v>1433</v>
      </c>
      <c r="Q51" s="391">
        <f ca="1">J52</f>
        <v>7.4999999999999997E-2</v>
      </c>
      <c r="R51" s="390"/>
    </row>
    <row r="52" spans="1:18" s="131" customFormat="1">
      <c r="A52" s="282"/>
      <c r="B52" s="277"/>
      <c r="C52" s="283"/>
      <c r="D52" s="279"/>
      <c r="E52" s="284" t="s">
        <v>1322</v>
      </c>
      <c r="F52" s="285"/>
      <c r="I52" s="366" t="s">
        <v>1434</v>
      </c>
      <c r="J52" s="2247">
        <f ca="1">F40+2%</f>
        <v>7.4999999999999997E-2</v>
      </c>
      <c r="K52" s="366" t="s">
        <v>1435</v>
      </c>
      <c r="L52" s="367">
        <v>0.05</v>
      </c>
      <c r="O52" s="359" t="s">
        <v>1436</v>
      </c>
      <c r="P52" s="352" t="s">
        <v>1437</v>
      </c>
      <c r="Q52" s="390">
        <f ca="1">J53</f>
        <v>30.31</v>
      </c>
      <c r="R52" s="390" t="s">
        <v>1438</v>
      </c>
    </row>
    <row r="53" spans="1:18" s="131" customFormat="1" ht="36">
      <c r="A53" s="286" t="s">
        <v>1439</v>
      </c>
      <c r="B53" s="287" t="s">
        <v>1323</v>
      </c>
      <c r="C53" s="175">
        <f ca="1">ROUND(IF(F53="押一",C49/12*F11,IF(F53="押二",C49/12*2*F11,IF(F53="押三",C49/12*3*F11,C54*F11))),0)</f>
        <v>0</v>
      </c>
      <c r="D53" s="176" t="s">
        <v>1324</v>
      </c>
      <c r="E53" s="177" t="s">
        <v>1325</v>
      </c>
      <c r="F53" s="178"/>
      <c r="I53" s="368" t="s">
        <v>1440</v>
      </c>
      <c r="J53" s="369">
        <f ca="1">IF(M47="住宅",IF(D1="——",MAX(J51,L48),MAX(J51,L48-'数据-取费表'!B24)),IF(D1="——",MIN(J51,L48),MIN(J51,L48-'数据-取费表'!B24)))</f>
        <v>30.31</v>
      </c>
      <c r="K53" s="3246" t="s">
        <v>1441</v>
      </c>
      <c r="L53" s="3247"/>
      <c r="O53" s="351" t="s">
        <v>1166</v>
      </c>
      <c r="P53" s="352" t="s">
        <v>1442</v>
      </c>
      <c r="Q53" s="390">
        <f ca="1">Q47+Q48</f>
        <v>245580</v>
      </c>
      <c r="R53" s="390" t="s">
        <v>1443</v>
      </c>
    </row>
    <row r="54" spans="1:18" s="131" customFormat="1" ht="24">
      <c r="A54" s="288"/>
      <c r="B54" s="180" t="s">
        <v>1328</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1444</v>
      </c>
      <c r="P54" s="144"/>
      <c r="Q54" s="144"/>
      <c r="R54" s="144"/>
    </row>
    <row r="55" spans="1:18" s="131" customFormat="1">
      <c r="A55" s="185" t="s">
        <v>1013</v>
      </c>
      <c r="B55" s="186" t="s">
        <v>1330</v>
      </c>
      <c r="C55" s="187"/>
      <c r="D55" s="176"/>
      <c r="E55" s="289"/>
      <c r="F55" s="290"/>
      <c r="I55" s="373" t="s">
        <v>1445</v>
      </c>
      <c r="J55" s="374">
        <f ca="1">ROUND(IF(J47="钢混",J57/J50,1-(1-2%)*(J50-J57)/J50),3)</f>
        <v>0.21199999999999999</v>
      </c>
      <c r="K55" s="375" t="s">
        <v>1446</v>
      </c>
      <c r="L55" s="376" t="s">
        <v>1447</v>
      </c>
      <c r="O55" s="344" t="s">
        <v>1405</v>
      </c>
      <c r="P55" s="345" t="s">
        <v>1406</v>
      </c>
      <c r="Q55" s="389" t="s">
        <v>1407</v>
      </c>
      <c r="R55" s="389" t="s">
        <v>1408</v>
      </c>
    </row>
    <row r="56" spans="1:18" s="131" customFormat="1" ht="36">
      <c r="A56" s="291">
        <v>2</v>
      </c>
      <c r="B56" s="292" t="s">
        <v>1331</v>
      </c>
      <c r="C56" s="82">
        <f ca="1">C13</f>
        <v>29826</v>
      </c>
      <c r="D56" s="293"/>
      <c r="E56" s="294"/>
      <c r="F56" s="290"/>
      <c r="I56" s="377" t="s">
        <v>1448</v>
      </c>
      <c r="J56" s="378" t="s">
        <v>374</v>
      </c>
      <c r="K56" s="353" t="s">
        <v>1449</v>
      </c>
      <c r="L56" s="356" t="str">
        <f ca="1">IF(L48&lt;J51,"——",L48-J53)</f>
        <v>——</v>
      </c>
      <c r="O56" s="351" t="s">
        <v>1070</v>
      </c>
      <c r="P56" s="352" t="s">
        <v>1411</v>
      </c>
      <c r="Q56" s="390">
        <f ca="1">C40+J29</f>
        <v>243935</v>
      </c>
      <c r="R56" s="390" t="s">
        <v>1412</v>
      </c>
    </row>
    <row r="57" spans="1:18" s="131" customFormat="1" ht="24">
      <c r="A57" s="295"/>
      <c r="B57" s="296" t="s">
        <v>1391</v>
      </c>
      <c r="C57" s="91">
        <f ca="1">C29</f>
        <v>36822</v>
      </c>
      <c r="D57" s="297"/>
      <c r="E57" s="298"/>
      <c r="F57" s="299"/>
      <c r="I57" s="379" t="s">
        <v>1450</v>
      </c>
      <c r="J57" s="380">
        <f ca="1">IF(OR(M47="住宅",J51&lt;L48,J56="是"),"——",J51-L48)</f>
        <v>12.690000000000001</v>
      </c>
      <c r="K57" s="353" t="s">
        <v>1451</v>
      </c>
      <c r="L57" s="356" t="str">
        <f ca="1">IF(L48&lt;J51,"——",IF(L55="比较法",L49,IF(L55="基准地价",L50,L51)))</f>
        <v>——</v>
      </c>
      <c r="O57" s="351" t="s">
        <v>1072</v>
      </c>
      <c r="P57" s="352" t="s">
        <v>1452</v>
      </c>
      <c r="Q57" s="390">
        <f ca="1">L60</f>
        <v>0</v>
      </c>
      <c r="R57" s="390" t="s">
        <v>1453</v>
      </c>
    </row>
    <row r="58" spans="1:18" s="131" customFormat="1" ht="24">
      <c r="A58" s="300" t="s">
        <v>467</v>
      </c>
      <c r="B58" s="292" t="s">
        <v>1339</v>
      </c>
      <c r="C58" s="175">
        <f ca="1">ROUND(C59+C64+C65+C66,0)</f>
        <v>3516</v>
      </c>
      <c r="D58" s="301" t="s">
        <v>1340</v>
      </c>
      <c r="E58" s="302"/>
      <c r="F58" s="268"/>
      <c r="I58" s="379" t="s">
        <v>1454</v>
      </c>
      <c r="J58" s="381">
        <f ca="1">IF(J55&lt;0.4,0.4,J55)</f>
        <v>0.4</v>
      </c>
      <c r="K58" s="363" t="s">
        <v>1455</v>
      </c>
      <c r="L58" s="356">
        <f ca="1">ROUND(POWER(1+L52,L47-L48)*(POWER(1+L52,L48)-1)/(POWER(1+L52,L47)-1),4)</f>
        <v>0.84589999999999999</v>
      </c>
      <c r="O58" s="359" t="s">
        <v>1424</v>
      </c>
      <c r="P58" s="352" t="s">
        <v>1456</v>
      </c>
      <c r="Q58" s="390">
        <f>IF(L55="比较法",L49,IF(L55="基准地价",L50,0))</f>
        <v>408</v>
      </c>
      <c r="R58" s="390" t="s">
        <v>1412</v>
      </c>
    </row>
    <row r="59" spans="1:18" s="131" customFormat="1" ht="24">
      <c r="A59" s="196" t="s">
        <v>964</v>
      </c>
      <c r="B59" s="296" t="s">
        <v>1345</v>
      </c>
      <c r="C59" s="222">
        <f ca="1">ROUND(IF(AND(项目基本情况!B11="自然人",项目基本情况!B10="北京市"),C49*F59/(1+'数据-取费表'!C42),C60+C61+C62),0)</f>
        <v>3118</v>
      </c>
      <c r="D59" s="303" t="s">
        <v>1346</v>
      </c>
      <c r="E59" s="304" t="s">
        <v>1347</v>
      </c>
      <c r="F59" s="224" t="str">
        <f>IF(项目基本情况!B11="企业","——",IF('数据-取费表'!B10="住宅",IF(F49*F50*F51/12/(1+'数据-取费表'!F30)&gt;100000,4%,2.5%),IF(F49*F50*F51/12/(1+'数据-取费表'!F30)&gt;100000,12%,7%)))</f>
        <v>——</v>
      </c>
      <c r="I59" s="379" t="s">
        <v>1457</v>
      </c>
      <c r="J59" s="380">
        <f ca="1">IF(OR(M47="住宅",J51&lt;L48,J56="是"),"——",ROUND(C29*J58,0))</f>
        <v>14729</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0.96109999999999995</v>
      </c>
      <c r="M59" s="350">
        <f ca="1">ROUND(POWER(1+L52,L47-(J51+'数据-取费表'!B24))*(POWER(1+L52,(J51+'数据-取费表'!B24))-1)/(POWER(1+L52,L47)-1),4)</f>
        <v>0.96109999999999995</v>
      </c>
      <c r="N59" s="350">
        <f ca="1">ROUND(POWER(1+L52,L47-(J51+'数据-取费表'!B20))*(POWER(1+L52,(J51+'数据-取费表'!B20))-1)/(POWER(1+L52,L47)-1),4)</f>
        <v>0.97940000000000005</v>
      </c>
      <c r="O59" s="359" t="s">
        <v>1428</v>
      </c>
      <c r="P59" s="352" t="s">
        <v>1458</v>
      </c>
      <c r="Q59" s="391">
        <f>L52</f>
        <v>0.05</v>
      </c>
      <c r="R59" s="390"/>
    </row>
    <row r="60" spans="1:18" s="131" customFormat="1" ht="15.6">
      <c r="A60" s="196" t="s">
        <v>987</v>
      </c>
      <c r="B60" s="296" t="s">
        <v>1349</v>
      </c>
      <c r="C60" s="201">
        <f ca="1">IF(项目基本情况!B11="自然人","——",ROUND(C48*F60/(1+'数据-取费表'!C42),2))</f>
        <v>0</v>
      </c>
      <c r="D60" s="304" t="s">
        <v>1350</v>
      </c>
      <c r="E60" s="296" t="s">
        <v>1338</v>
      </c>
      <c r="F60" s="214">
        <f t="shared" ref="F60:F66" si="0">F32</f>
        <v>5.6000000000000001E-2</v>
      </c>
      <c r="I60" s="382" t="s">
        <v>1459</v>
      </c>
      <c r="J60" s="383">
        <f ca="1">IF(OR(M47="住宅",J51&lt;L48,J56="是"),"0",ROUND(J59/(1+J52)^J53,0))</f>
        <v>1645</v>
      </c>
      <c r="K60" s="384" t="s">
        <v>1460</v>
      </c>
      <c r="L60" s="383">
        <f ca="1">IF(OR(M47="住宅",L48&lt;J51),0,ROUND(L57*(L58/L59-1),0))</f>
        <v>0</v>
      </c>
      <c r="O60" s="359" t="s">
        <v>1432</v>
      </c>
      <c r="P60" s="352" t="s">
        <v>1461</v>
      </c>
      <c r="Q60" s="390">
        <f ca="1">L58</f>
        <v>0.84589999999999999</v>
      </c>
      <c r="R60" s="390" t="s">
        <v>1462</v>
      </c>
    </row>
    <row r="61" spans="1:18" s="131" customFormat="1">
      <c r="A61" s="196" t="s">
        <v>991</v>
      </c>
      <c r="B61" s="296" t="s">
        <v>1353</v>
      </c>
      <c r="C61" s="201">
        <f ca="1">IF(项目基本情况!B11="自然人","——",IF(D61="按租金收入计税",ROUND(C49*F61/(1+'数据-取费表'!C42),2),IF(D61="按房产原值计税",ROUND(C57*F61*0.7,2),INDIRECT("'数据-取费表'!Aj"&amp;$G$1))))</f>
        <v>3093.05</v>
      </c>
      <c r="D61" s="226" t="s">
        <v>1354</v>
      </c>
      <c r="E61" s="296" t="s">
        <v>1338</v>
      </c>
      <c r="F61" s="206">
        <f t="shared" si="0"/>
        <v>0.12</v>
      </c>
      <c r="I61" s="242"/>
      <c r="J61" s="242"/>
      <c r="K61" s="242"/>
      <c r="L61" s="242"/>
      <c r="O61" s="359" t="s">
        <v>1436</v>
      </c>
      <c r="P61" s="352" t="str">
        <f>K59</f>
        <v>建筑物剩余耐用年限下的土地年期修正系数Kn</v>
      </c>
      <c r="Q61" s="390">
        <f ca="1">L59</f>
        <v>0.96109999999999995</v>
      </c>
      <c r="R61" s="390" t="s">
        <v>1463</v>
      </c>
    </row>
    <row r="62" spans="1:18" s="131" customFormat="1">
      <c r="A62" s="196" t="s">
        <v>994</v>
      </c>
      <c r="B62" s="305" t="s">
        <v>1357</v>
      </c>
      <c r="C62" s="228">
        <f ca="1">IF(项目基本情况!B11="自然人","——",ROUND(F62*F63/10000,2))</f>
        <v>24.53</v>
      </c>
      <c r="D62" s="306" t="s">
        <v>1358</v>
      </c>
      <c r="E62" s="296" t="s">
        <v>1359</v>
      </c>
      <c r="F62" s="213">
        <f t="shared" si="0"/>
        <v>30</v>
      </c>
      <c r="I62" s="385" t="s">
        <v>1464</v>
      </c>
      <c r="J62" s="386" t="s">
        <v>1465</v>
      </c>
      <c r="K62" s="386" t="s">
        <v>1466</v>
      </c>
      <c r="L62" s="386" t="s">
        <v>1467</v>
      </c>
      <c r="M62" s="387" t="s">
        <v>1468</v>
      </c>
      <c r="O62" s="351" t="s">
        <v>1166</v>
      </c>
      <c r="P62" s="352" t="s">
        <v>1442</v>
      </c>
      <c r="Q62" s="390">
        <f ca="1">Q56+Q57</f>
        <v>243935</v>
      </c>
      <c r="R62" s="390" t="s">
        <v>1443</v>
      </c>
    </row>
    <row r="63" spans="1:18" s="131" customFormat="1">
      <c r="A63" s="211"/>
      <c r="B63" s="307"/>
      <c r="C63" s="232"/>
      <c r="D63" s="308"/>
      <c r="E63" s="296" t="s">
        <v>1363</v>
      </c>
      <c r="F63" s="166">
        <f t="shared" ca="1" si="0"/>
        <v>8176.44</v>
      </c>
      <c r="I63" s="385" t="s">
        <v>1469</v>
      </c>
      <c r="J63" s="386">
        <v>70</v>
      </c>
      <c r="K63" s="386">
        <v>50</v>
      </c>
      <c r="L63" s="386">
        <v>80</v>
      </c>
      <c r="M63" s="388">
        <v>0.02</v>
      </c>
      <c r="O63" s="372" t="s">
        <v>1470</v>
      </c>
      <c r="P63" s="144"/>
      <c r="Q63" s="144"/>
      <c r="R63" s="144"/>
    </row>
    <row r="64" spans="1:18" s="131" customFormat="1">
      <c r="A64" s="196" t="s">
        <v>968</v>
      </c>
      <c r="B64" s="296" t="s">
        <v>1365</v>
      </c>
      <c r="C64" s="201">
        <f ca="1">ROUND(C57*F64,1)</f>
        <v>368.2</v>
      </c>
      <c r="D64" s="304" t="s">
        <v>1397</v>
      </c>
      <c r="E64" s="296" t="s">
        <v>1338</v>
      </c>
      <c r="F64" s="235">
        <f t="shared" ca="1" si="0"/>
        <v>0.01</v>
      </c>
      <c r="I64" s="385" t="s">
        <v>1471</v>
      </c>
      <c r="J64" s="386">
        <v>50</v>
      </c>
      <c r="K64" s="386">
        <v>35</v>
      </c>
      <c r="L64" s="386">
        <v>60</v>
      </c>
      <c r="M64" s="387">
        <v>0</v>
      </c>
      <c r="O64" s="344" t="s">
        <v>1405</v>
      </c>
      <c r="P64" s="345" t="s">
        <v>1406</v>
      </c>
      <c r="Q64" s="389" t="s">
        <v>1407</v>
      </c>
      <c r="R64" s="389" t="s">
        <v>1408</v>
      </c>
    </row>
    <row r="65" spans="1:18" s="131" customFormat="1">
      <c r="A65" s="196" t="s">
        <v>1013</v>
      </c>
      <c r="B65" s="296" t="s">
        <v>1369</v>
      </c>
      <c r="C65" s="201">
        <f ca="1">ROUND(C56*F65,1)</f>
        <v>29.8</v>
      </c>
      <c r="D65" s="304" t="s">
        <v>1370</v>
      </c>
      <c r="E65" s="296" t="s">
        <v>1338</v>
      </c>
      <c r="F65" s="236">
        <f t="shared" ca="1" si="0"/>
        <v>1E-3</v>
      </c>
      <c r="I65" s="385" t="s">
        <v>1472</v>
      </c>
      <c r="J65" s="386">
        <v>40</v>
      </c>
      <c r="K65" s="386">
        <v>30</v>
      </c>
      <c r="L65" s="386">
        <v>50</v>
      </c>
      <c r="M65" s="388">
        <v>0.02</v>
      </c>
      <c r="O65" s="351" t="s">
        <v>1070</v>
      </c>
      <c r="P65" s="352" t="s">
        <v>1411</v>
      </c>
      <c r="Q65" s="390">
        <f ca="1">C40+J29</f>
        <v>243935</v>
      </c>
      <c r="R65" s="390" t="s">
        <v>1412</v>
      </c>
    </row>
    <row r="66" spans="1:18" s="131" customFormat="1" ht="15.6">
      <c r="A66" s="196" t="s">
        <v>1016</v>
      </c>
      <c r="B66" s="296" t="s">
        <v>1355</v>
      </c>
      <c r="C66" s="201">
        <f ca="1">ROUND(C48*F66,1)</f>
        <v>0</v>
      </c>
      <c r="D66" s="304" t="s">
        <v>1373</v>
      </c>
      <c r="E66" s="296" t="s">
        <v>1338</v>
      </c>
      <c r="F66" s="173">
        <f t="shared" ca="1" si="0"/>
        <v>0.01</v>
      </c>
      <c r="O66" s="351" t="s">
        <v>1072</v>
      </c>
      <c r="P66" s="352" t="s">
        <v>1452</v>
      </c>
      <c r="Q66" s="390">
        <f ca="1">L60</f>
        <v>0</v>
      </c>
      <c r="R66" s="390" t="s">
        <v>1453</v>
      </c>
    </row>
    <row r="67" spans="1:18" s="131" customFormat="1" ht="24">
      <c r="A67" s="291" t="s">
        <v>470</v>
      </c>
      <c r="B67" s="392" t="s">
        <v>1376</v>
      </c>
      <c r="C67" s="175">
        <f ca="1">C48-C58</f>
        <v>-3516</v>
      </c>
      <c r="D67" s="303" t="s">
        <v>1377</v>
      </c>
      <c r="E67" s="393"/>
      <c r="F67" s="394"/>
      <c r="O67" s="359" t="s">
        <v>1424</v>
      </c>
      <c r="P67" s="352" t="s">
        <v>1456</v>
      </c>
      <c r="Q67" s="415">
        <f ca="1">L51</f>
        <v>174960</v>
      </c>
      <c r="R67" s="390" t="s">
        <v>1473</v>
      </c>
    </row>
    <row r="68" spans="1:18" s="131" customFormat="1" ht="15.6">
      <c r="A68" s="395" t="s">
        <v>476</v>
      </c>
      <c r="B68" s="396" t="s">
        <v>1398</v>
      </c>
      <c r="C68" s="241">
        <f ca="1">ROUND(C67*(1-((1+F70)/(1+F68))^F69)/(F68-F70),0)</f>
        <v>-51312</v>
      </c>
      <c r="D68" s="306" t="s">
        <v>1382</v>
      </c>
      <c r="E68" s="296" t="s">
        <v>1383</v>
      </c>
      <c r="F68" s="173">
        <f ca="1">F40</f>
        <v>5.5E-2</v>
      </c>
      <c r="O68" s="359" t="s">
        <v>1428</v>
      </c>
      <c r="P68" s="414" t="s">
        <v>1474</v>
      </c>
      <c r="Q68" s="390">
        <f ca="1">ROUND(Q69-Q70*Q71,0)</f>
        <v>9270</v>
      </c>
      <c r="R68" s="390" t="s">
        <v>1475</v>
      </c>
    </row>
    <row r="69" spans="1:18" s="131" customFormat="1">
      <c r="A69" s="397"/>
      <c r="B69" s="398"/>
      <c r="C69" s="172"/>
      <c r="D69" s="399" t="s">
        <v>1386</v>
      </c>
      <c r="E69" s="296" t="s">
        <v>1387</v>
      </c>
      <c r="F69" s="245">
        <f ca="1">F41</f>
        <v>30.31</v>
      </c>
      <c r="O69" s="359" t="s">
        <v>1476</v>
      </c>
      <c r="P69" s="414" t="s">
        <v>1477</v>
      </c>
      <c r="Q69" s="390">
        <f ca="1">C39</f>
        <v>11805</v>
      </c>
      <c r="R69" s="390" t="s">
        <v>1412</v>
      </c>
    </row>
    <row r="70" spans="1:18" s="131" customFormat="1">
      <c r="A70" s="400"/>
      <c r="B70" s="401"/>
      <c r="C70" s="193"/>
      <c r="D70" s="308"/>
      <c r="E70" s="296" t="s">
        <v>1390</v>
      </c>
      <c r="F70" s="285"/>
      <c r="O70" s="359" t="s">
        <v>1478</v>
      </c>
      <c r="P70" s="414" t="s">
        <v>1479</v>
      </c>
      <c r="Q70" s="390">
        <f ca="1">C13</f>
        <v>29826</v>
      </c>
      <c r="R70" s="390" t="s">
        <v>1412</v>
      </c>
    </row>
    <row r="71" spans="1:18" s="131" customFormat="1">
      <c r="A71" s="402" t="s">
        <v>1392</v>
      </c>
      <c r="B71" s="403" t="s">
        <v>1399</v>
      </c>
      <c r="C71" s="249">
        <f ca="1">ROUND(C68*10000/F71,0)</f>
        <v>-10233</v>
      </c>
      <c r="D71" s="404" t="s">
        <v>1400</v>
      </c>
      <c r="E71" s="405" t="s">
        <v>1401</v>
      </c>
      <c r="F71" s="252">
        <f ca="1">F43</f>
        <v>50141.899999999994</v>
      </c>
      <c r="O71" s="359" t="s">
        <v>1480</v>
      </c>
      <c r="P71" s="414" t="s">
        <v>1481</v>
      </c>
      <c r="Q71" s="391">
        <f ca="1">C76</f>
        <v>8.5000000000000006E-2</v>
      </c>
      <c r="R71" s="390"/>
    </row>
    <row r="72" spans="1:18" s="131" customFormat="1">
      <c r="B72" s="338"/>
      <c r="C72" s="338"/>
      <c r="O72" s="359" t="s">
        <v>1432</v>
      </c>
      <c r="P72" s="352" t="s">
        <v>1458</v>
      </c>
      <c r="Q72" s="391">
        <f>L52</f>
        <v>0.05</v>
      </c>
      <c r="R72" s="390"/>
    </row>
    <row r="73" spans="1:18" ht="15.6">
      <c r="A73" s="131"/>
      <c r="B73" s="338"/>
      <c r="C73" s="338"/>
      <c r="D73" s="131"/>
      <c r="E73" s="131"/>
      <c r="F73" s="131"/>
      <c r="O73" s="359" t="s">
        <v>1436</v>
      </c>
      <c r="P73" s="352" t="s">
        <v>1461</v>
      </c>
      <c r="Q73" s="390">
        <f ca="1">L58</f>
        <v>0.84589999999999999</v>
      </c>
      <c r="R73" s="390" t="s">
        <v>1462</v>
      </c>
    </row>
    <row r="74" spans="1:18">
      <c r="A74" s="131"/>
      <c r="B74" s="125" t="s">
        <v>1482</v>
      </c>
      <c r="C74" s="406"/>
      <c r="D74" s="131"/>
      <c r="E74" s="131"/>
      <c r="F74" s="131"/>
      <c r="O74" s="359" t="s">
        <v>1483</v>
      </c>
      <c r="P74" s="352" t="str">
        <f>K59</f>
        <v>建筑物剩余耐用年限下的土地年期修正系数Kn</v>
      </c>
      <c r="Q74" s="390">
        <f ca="1">L59</f>
        <v>0.96109999999999995</v>
      </c>
      <c r="R74" s="390" t="s">
        <v>1463</v>
      </c>
    </row>
    <row r="75" spans="1:18">
      <c r="A75" s="131"/>
      <c r="B75" s="407" t="s">
        <v>1484</v>
      </c>
      <c r="C75" s="408">
        <f ca="1">ROUND(C13*C76,0)</f>
        <v>2535</v>
      </c>
      <c r="D75" s="131"/>
      <c r="E75" s="131"/>
      <c r="F75" s="131"/>
      <c r="K75" s="337"/>
      <c r="L75" s="131"/>
      <c r="O75" s="351" t="s">
        <v>1166</v>
      </c>
      <c r="P75" s="352" t="s">
        <v>1442</v>
      </c>
      <c r="Q75" s="390">
        <f ca="1">Q65+Q66</f>
        <v>243935</v>
      </c>
      <c r="R75" s="390" t="s">
        <v>1443</v>
      </c>
    </row>
    <row r="76" spans="1:18">
      <c r="B76" s="409" t="s">
        <v>1485</v>
      </c>
      <c r="C76" s="410">
        <f ca="1">INDIRECT("'数据-取费表'!j"&amp;$G$1)</f>
        <v>8.5000000000000006E-2</v>
      </c>
      <c r="I76" s="131"/>
      <c r="J76" s="131"/>
      <c r="K76" s="337"/>
      <c r="L76" s="131"/>
    </row>
    <row r="77" spans="1:18">
      <c r="B77" s="411" t="s">
        <v>1486</v>
      </c>
      <c r="C77" s="412"/>
      <c r="I77" s="131"/>
      <c r="J77" s="131"/>
      <c r="K77" s="337"/>
      <c r="L77" s="131"/>
    </row>
    <row r="78" spans="1:18">
      <c r="B78" s="123" t="s">
        <v>1487</v>
      </c>
      <c r="C78" s="413"/>
    </row>
    <row r="79" spans="1:18">
      <c r="B79" s="407" t="s">
        <v>1488</v>
      </c>
      <c r="C79" s="127">
        <f ca="1">1-C80</f>
        <v>0.78500000000000003</v>
      </c>
    </row>
    <row r="80" spans="1:18">
      <c r="B80" s="407" t="s">
        <v>1489</v>
      </c>
      <c r="C80" s="127">
        <f ca="1">ROUND(C75/C39,3)</f>
        <v>0.215</v>
      </c>
    </row>
    <row r="81" spans="2:3">
      <c r="B81" s="123" t="s">
        <v>1490</v>
      </c>
      <c r="C81" s="91"/>
    </row>
    <row r="82" spans="2:3">
      <c r="B82" s="125" t="s">
        <v>1145</v>
      </c>
      <c r="C82" s="126">
        <f ca="1">1-C83</f>
        <v>0.878</v>
      </c>
    </row>
    <row r="83" spans="2:3">
      <c r="B83" s="125" t="s">
        <v>1146</v>
      </c>
      <c r="C83" s="127">
        <f ca="1">ROUND(C13/C40,3)</f>
        <v>0.122</v>
      </c>
    </row>
  </sheetData>
  <sheetProtection formatCells="0" formatColumns="0" formatRows="0"/>
  <mergeCells count="3">
    <mergeCell ref="K53:L53"/>
    <mergeCell ref="B6:B9"/>
    <mergeCell ref="I6:I9"/>
  </mergeCells>
  <phoneticPr fontId="22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3.2"/>
  <cols>
    <col min="1" max="1" width="9" style="36" customWidth="1"/>
    <col min="2" max="2" width="20.6640625" style="132" customWidth="1"/>
    <col min="3" max="3" width="11.88671875" style="132" customWidth="1"/>
    <col min="4" max="4" width="40.44140625" style="36" customWidth="1"/>
    <col min="5" max="5" width="15.77734375" style="36" customWidth="1"/>
    <col min="6" max="6" width="10.6640625" style="36" customWidth="1"/>
    <col min="7" max="7" width="4.88671875" style="36" customWidth="1"/>
    <col min="8" max="8" width="8.44140625" style="36" customWidth="1"/>
    <col min="9" max="9" width="21.21875" style="36" customWidth="1"/>
    <col min="10" max="10" width="12.21875" style="36" customWidth="1"/>
    <col min="11" max="11" width="40.109375" style="133" customWidth="1"/>
    <col min="12" max="12" width="16.33203125" style="36" customWidth="1"/>
    <col min="13" max="13" width="13" style="36" customWidth="1"/>
    <col min="14" max="14" width="13.77734375" style="131" customWidth="1"/>
    <col min="15" max="15" width="5.109375" style="131" customWidth="1"/>
    <col min="16" max="16" width="25.77734375" style="131" customWidth="1"/>
    <col min="17" max="17" width="13.77734375" style="131" customWidth="1"/>
    <col min="18" max="18" width="20.44140625" style="131" customWidth="1"/>
    <col min="19" max="19" width="13.21875" style="131" customWidth="1"/>
    <col min="20" max="37" width="9" style="131"/>
    <col min="38" max="16384" width="9" style="36"/>
  </cols>
  <sheetData>
    <row r="1" spans="1:37" s="129" customFormat="1" ht="21.6">
      <c r="A1" s="134" t="s">
        <v>1302</v>
      </c>
      <c r="B1" s="135"/>
      <c r="C1" s="136"/>
      <c r="D1" s="137"/>
      <c r="E1" s="138" t="s">
        <v>1303</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ROUND(D2/10000,0)</f>
        <v>#DIV/0!</v>
      </c>
      <c r="C2" s="144" t="s">
        <v>1305</v>
      </c>
      <c r="D2" s="2240" t="e">
        <f ca="1">C40+J29+L46</f>
        <v>#DIV/0!</v>
      </c>
      <c r="E2" s="145" t="s">
        <v>1491</v>
      </c>
      <c r="F2" s="146"/>
      <c r="G2" s="147"/>
      <c r="H2" s="148"/>
      <c r="I2" s="148"/>
      <c r="J2" s="148"/>
      <c r="K2" s="312"/>
      <c r="L2" s="148"/>
      <c r="M2" s="148"/>
    </row>
    <row r="3" spans="1:37" ht="18" customHeight="1">
      <c r="A3" s="149" t="s">
        <v>1306</v>
      </c>
      <c r="B3" s="150">
        <f ca="1">IF(ISERROR(D2/F43),0,ROUND(D2/F43,0))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0</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ROUND(F6*F8*F7*(1-F9),0)</f>
        <v>0</v>
      </c>
      <c r="D6" s="164" t="s">
        <v>1492</v>
      </c>
      <c r="E6" s="165" t="s">
        <v>1318</v>
      </c>
      <c r="F6" s="166">
        <f ca="1">INDIRECT("'数据-取费表'!u"&amp;$G$1)</f>
        <v>0</v>
      </c>
      <c r="G6" s="131"/>
      <c r="H6" s="162" t="s">
        <v>964</v>
      </c>
      <c r="I6" s="3248" t="s">
        <v>1316</v>
      </c>
      <c r="J6" s="241">
        <f ca="1">ROUND(M6*M8*M7*(1-M9),0)</f>
        <v>0</v>
      </c>
      <c r="K6" s="2245" t="s">
        <v>1493</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0</v>
      </c>
      <c r="G7" s="131"/>
      <c r="H7" s="171"/>
      <c r="I7" s="3249"/>
      <c r="J7" s="172"/>
      <c r="K7" s="169"/>
      <c r="L7" s="165" t="s">
        <v>1320</v>
      </c>
      <c r="M7" s="166">
        <f ca="1">F7</f>
        <v>0</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0</v>
      </c>
      <c r="D10" s="176" t="s">
        <v>1324</v>
      </c>
      <c r="E10" s="177" t="s">
        <v>1325</v>
      </c>
      <c r="F10" s="178"/>
      <c r="G10" s="131"/>
      <c r="H10" s="162" t="s">
        <v>968</v>
      </c>
      <c r="I10" s="174" t="s">
        <v>1323</v>
      </c>
      <c r="J10" s="241">
        <f ca="1">ROUND(IF(M10="押一",J6/12*M11,IF(M10="押二",J6/12*2*M11,IF(M10="押三",J6/12*3*M11,J11*M11))),0)</f>
        <v>0</v>
      </c>
      <c r="K10" s="2246" t="s">
        <v>1494</v>
      </c>
      <c r="L10" s="177" t="s">
        <v>1325</v>
      </c>
      <c r="M10" s="178"/>
    </row>
    <row r="11" spans="1:37" ht="18" customHeight="1">
      <c r="A11" s="179"/>
      <c r="B11" s="180" t="s">
        <v>1495</v>
      </c>
      <c r="C11" s="181"/>
      <c r="D11" s="169"/>
      <c r="E11" s="177" t="s">
        <v>1329</v>
      </c>
      <c r="F11" s="183">
        <f ca="1">'数据-取费表'!B39</f>
        <v>1.4999999999999999E-2</v>
      </c>
      <c r="G11" s="131"/>
      <c r="H11" s="184"/>
      <c r="I11" s="180" t="s">
        <v>1496</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0</v>
      </c>
      <c r="D13" s="194" t="s">
        <v>1332</v>
      </c>
      <c r="E13" s="194" t="s">
        <v>1333</v>
      </c>
      <c r="F13" s="195">
        <f ca="1">INDIRECT("'数据-取费表'!y"&amp;$G$1)</f>
        <v>0</v>
      </c>
      <c r="G13" s="131"/>
      <c r="H13" s="191">
        <v>2</v>
      </c>
      <c r="I13" s="192" t="s">
        <v>1331</v>
      </c>
      <c r="J13" s="319">
        <f ca="1">ROUND(J14*J15,0)</f>
        <v>0</v>
      </c>
      <c r="K13" s="219" t="s">
        <v>1332</v>
      </c>
      <c r="L13" s="320"/>
      <c r="M13" s="321"/>
    </row>
    <row r="14" spans="1:37" ht="18" customHeight="1">
      <c r="A14" s="196" t="s">
        <v>987</v>
      </c>
      <c r="B14" s="165" t="s">
        <v>1334</v>
      </c>
      <c r="C14" s="197">
        <f ca="1">ROUND(INDIRECT("'数据-取费表'!l"&amp;$G$1)*F43+'数据-取费表'!L14*INDIRECT("'数据-取费表'!S"&amp;$G$1),0)</f>
        <v>0</v>
      </c>
      <c r="D14" s="198" t="s">
        <v>1335</v>
      </c>
      <c r="E14" s="199"/>
      <c r="F14" s="200"/>
      <c r="G14" s="131"/>
      <c r="H14" s="196" t="s">
        <v>964</v>
      </c>
      <c r="I14" s="165" t="s">
        <v>1336</v>
      </c>
      <c r="J14" s="201">
        <f ca="1">C29</f>
        <v>0</v>
      </c>
      <c r="K14" s="322"/>
      <c r="L14" s="323"/>
      <c r="M14" s="324"/>
    </row>
    <row r="15" spans="1:37" s="130" customFormat="1" ht="18" customHeight="1">
      <c r="A15" s="196" t="s">
        <v>991</v>
      </c>
      <c r="B15" s="165" t="s">
        <v>1164</v>
      </c>
      <c r="C15" s="201">
        <f ca="1">ROUND(C14*F15,0)</f>
        <v>0</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ROUND(INDIRECT("'数据-取费表'!l"&amp;$G$1)*F43*F16,0)</f>
        <v>0</v>
      </c>
      <c r="D16" s="165" t="s">
        <v>1337</v>
      </c>
      <c r="E16" s="165" t="s">
        <v>1338</v>
      </c>
      <c r="F16" s="206">
        <f ca="1">IF(INDIRECT("'数据-取费表'!c"&amp;$G$1)="住宅",'数据-取费表'!B34,0)</f>
        <v>0</v>
      </c>
      <c r="G16" s="131"/>
      <c r="H16" s="191" t="s">
        <v>467</v>
      </c>
      <c r="I16" s="192" t="s">
        <v>1339</v>
      </c>
      <c r="J16" s="193">
        <f ca="1">ROUND(J17+J22+J23+J24,0)</f>
        <v>0</v>
      </c>
      <c r="K16" s="219" t="s">
        <v>1340</v>
      </c>
      <c r="L16" s="220"/>
      <c r="M16" s="161"/>
    </row>
    <row r="17" spans="1:37" s="130" customFormat="1" ht="18" customHeight="1">
      <c r="A17" s="196" t="s">
        <v>1341</v>
      </c>
      <c r="B17" s="165" t="s">
        <v>1342</v>
      </c>
      <c r="C17" s="201">
        <f ca="1">ROUND(F17*(F43+INDIRECT("'数据-取费表'!S"&amp;$G$1)),0)</f>
        <v>0</v>
      </c>
      <c r="D17" s="165" t="s">
        <v>1343</v>
      </c>
      <c r="E17" s="165" t="s">
        <v>1344</v>
      </c>
      <c r="F17" s="207">
        <f>'数据-取费表'!B35</f>
        <v>200</v>
      </c>
      <c r="G17" s="204"/>
      <c r="H17" s="196" t="s">
        <v>964</v>
      </c>
      <c r="I17" s="165" t="s">
        <v>1345</v>
      </c>
      <c r="J17" s="222">
        <f ca="1">ROUND(IF(AND(项目基本情况!B11="自然人",项目基本情况!B10="北京市"),J6*M17/(1+'数据-取费表'!C42),J18+J19+J20),0)</f>
        <v>0</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0</v>
      </c>
      <c r="D18" s="165" t="s">
        <v>1337</v>
      </c>
      <c r="E18" s="165" t="s">
        <v>1338</v>
      </c>
      <c r="F18" s="206">
        <f>'数据-取费表'!B36</f>
        <v>1.4999999999999999E-2</v>
      </c>
      <c r="G18" s="204"/>
      <c r="H18" s="196" t="s">
        <v>987</v>
      </c>
      <c r="I18" s="165" t="s">
        <v>1349</v>
      </c>
      <c r="J18" s="201">
        <f ca="1">ROUND(J6*M18/(1+'数据-取费表'!C42),0)</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0</v>
      </c>
      <c r="D19" s="208" t="s">
        <v>1352</v>
      </c>
      <c r="E19" s="209"/>
      <c r="F19" s="207"/>
      <c r="G19" s="131"/>
      <c r="H19" s="196" t="s">
        <v>991</v>
      </c>
      <c r="I19" s="165" t="s">
        <v>1353</v>
      </c>
      <c r="J19" s="201">
        <f ca="1">IF(K19="按租金收入计税",ROUND(J6*M19/(1+'数据-取费表'!C42),0),ROUND(C29*M19*0.7,0))</f>
        <v>0</v>
      </c>
      <c r="K19" s="226" t="s">
        <v>1354</v>
      </c>
      <c r="L19" s="165" t="s">
        <v>1338</v>
      </c>
      <c r="M19" s="206">
        <f>IF(K19="按租金收入计税",'数据-取费表'!B51,'数据-取费表'!B50)</f>
        <v>1.2E-2</v>
      </c>
    </row>
    <row r="20" spans="1:37" s="130" customFormat="1" ht="18" customHeight="1">
      <c r="A20" s="196" t="s">
        <v>968</v>
      </c>
      <c r="B20" s="165" t="s">
        <v>1355</v>
      </c>
      <c r="C20" s="201">
        <f ca="1">ROUND(C19*F20,0)</f>
        <v>0</v>
      </c>
      <c r="D20" s="210" t="s">
        <v>1356</v>
      </c>
      <c r="E20" s="165" t="s">
        <v>1338</v>
      </c>
      <c r="F20" s="206">
        <f>'数据-取费表'!B37</f>
        <v>1.4999999999999999E-2</v>
      </c>
      <c r="G20" s="204"/>
      <c r="H20" s="196" t="s">
        <v>994</v>
      </c>
      <c r="I20" s="164" t="s">
        <v>1357</v>
      </c>
      <c r="J20" s="228">
        <f ca="1">ROUND(M20*M21,0)</f>
        <v>0</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ROUND(J14*M22,0)</f>
        <v>0</v>
      </c>
      <c r="K22" s="223" t="s">
        <v>1366</v>
      </c>
      <c r="L22" s="165" t="s">
        <v>1338</v>
      </c>
      <c r="M22" s="235">
        <f ca="1">INDIRECT("'数据-取费表'!Ak"&amp;$G$1)</f>
        <v>0</v>
      </c>
    </row>
    <row r="23" spans="1:37" s="130" customFormat="1" ht="18" customHeight="1">
      <c r="A23" s="196" t="s">
        <v>987</v>
      </c>
      <c r="B23" s="165" t="s">
        <v>1367</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ROUND(J13*M23,0)</f>
        <v>0</v>
      </c>
      <c r="K23" s="223" t="s">
        <v>1370</v>
      </c>
      <c r="L23" s="165" t="s">
        <v>1338</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ROUND(J5*M24,0)</f>
        <v>0</v>
      </c>
      <c r="K24" s="216" t="s">
        <v>1373</v>
      </c>
      <c r="L24" s="189" t="s">
        <v>1338</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1020</v>
      </c>
      <c r="B25" s="165" t="s">
        <v>1374</v>
      </c>
      <c r="C25" s="201"/>
      <c r="D25" s="208" t="s">
        <v>1375</v>
      </c>
      <c r="E25" s="209"/>
      <c r="F25" s="207"/>
      <c r="G25" s="131"/>
      <c r="H25" s="191" t="s">
        <v>470</v>
      </c>
      <c r="I25" s="237" t="s">
        <v>1376</v>
      </c>
      <c r="J25" s="193">
        <f ca="1">J5-J16</f>
        <v>0</v>
      </c>
      <c r="K25" s="238" t="s">
        <v>1377</v>
      </c>
      <c r="L25" s="239"/>
      <c r="M25" s="240"/>
    </row>
    <row r="26" spans="1:37" ht="18" customHeight="1">
      <c r="A26" s="196" t="s">
        <v>987</v>
      </c>
      <c r="B26" s="165" t="s">
        <v>1378</v>
      </c>
      <c r="C26" s="201">
        <f ca="1">ROUND((C19+C20)*F26,0)</f>
        <v>0</v>
      </c>
      <c r="D26" s="210" t="s">
        <v>1379</v>
      </c>
      <c r="E26" s="177" t="s">
        <v>1380</v>
      </c>
      <c r="F26" s="173">
        <f ca="1">INDIRECT("'数据-取费表'!q"&amp;$G$1)</f>
        <v>0</v>
      </c>
      <c r="G26" s="131"/>
      <c r="H26" s="156" t="s">
        <v>476</v>
      </c>
      <c r="I26" s="157" t="s">
        <v>1381</v>
      </c>
      <c r="J26" s="241">
        <f ca="1">IF(J5&lt;&gt;0,ROUND(J25*(1-((1+M28)/(1+M26))^M27)/(M26-M28),0),0)</f>
        <v>0</v>
      </c>
      <c r="K26" s="229" t="s">
        <v>1382</v>
      </c>
      <c r="L26" s="165" t="s">
        <v>1383</v>
      </c>
      <c r="M26" s="173">
        <f ca="1">INDIRECT("'数据-取费表'!I"&amp;$G$1)</f>
        <v>0</v>
      </c>
    </row>
    <row r="27" spans="1:37" ht="18" customHeight="1">
      <c r="A27" s="196" t="s">
        <v>991</v>
      </c>
      <c r="B27" s="165" t="s">
        <v>1384</v>
      </c>
      <c r="C27" s="201">
        <f ca="1">ROUND(F21*F26,4)</f>
        <v>0</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0</v>
      </c>
      <c r="D29" s="216"/>
      <c r="E29" s="189"/>
      <c r="F29" s="217"/>
      <c r="G29" s="204"/>
      <c r="H29" s="218" t="s">
        <v>1392</v>
      </c>
      <c r="I29" s="248" t="s">
        <v>1393</v>
      </c>
      <c r="J29" s="249">
        <f ca="1">ROUND(J26/(1+F40)^F41,0)</f>
        <v>0</v>
      </c>
      <c r="K29" s="250" t="s">
        <v>1394</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0</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0</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IF(项目基本情况!B11="自然人","——",ROUND(C6*F32/(1+'数据-取费表'!C42),0))</f>
        <v>0</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IF(项目基本情况!B11="自然人","——",IF(D33="按租金收入计税",ROUND(C6*F33/(1+'数据-取费表'!C42),0),IF(D33="按房产原值计税",ROUND(C29*F33*0.7,0),INDIRECT("'数据-取费表'!Aj"&amp;$G$1))))</f>
        <v>0</v>
      </c>
      <c r="D33" s="226" t="s">
        <v>1354</v>
      </c>
      <c r="E33" s="165" t="s">
        <v>1338</v>
      </c>
      <c r="F33" s="206">
        <f>IF(D33="按票据","——",IF(D33="按租金收入计税",'数据-取费表'!B51,'数据-取费表'!B50))</f>
        <v>1.2E-2</v>
      </c>
      <c r="G33" s="131"/>
      <c r="H33" s="227"/>
      <c r="I33" s="329"/>
      <c r="J33" s="330"/>
      <c r="K33" s="333"/>
      <c r="L33" s="227"/>
      <c r="M33" s="227"/>
    </row>
    <row r="34" spans="1:18" ht="18" customHeight="1">
      <c r="A34" s="162" t="s">
        <v>994</v>
      </c>
      <c r="B34" s="164" t="s">
        <v>1357</v>
      </c>
      <c r="C34" s="228">
        <f ca="1">IF(项目基本情况!B11="自然人","——",ROUND(F34*F35,))</f>
        <v>0</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0</v>
      </c>
      <c r="G35" s="131"/>
      <c r="H35" s="221"/>
      <c r="I35" s="329"/>
      <c r="J35" s="330"/>
      <c r="K35" s="333"/>
      <c r="L35" s="227"/>
      <c r="M35" s="227"/>
    </row>
    <row r="36" spans="1:18" ht="18" customHeight="1">
      <c r="A36" s="234" t="s">
        <v>968</v>
      </c>
      <c r="B36" s="165" t="s">
        <v>1365</v>
      </c>
      <c r="C36" s="201">
        <f ca="1">ROUND(C29*F36,0)</f>
        <v>0</v>
      </c>
      <c r="D36" s="223" t="s">
        <v>1397</v>
      </c>
      <c r="E36" s="165" t="s">
        <v>1338</v>
      </c>
      <c r="F36" s="235">
        <f ca="1">INDIRECT("'数据-取费表'!Ak"&amp;$G$1)</f>
        <v>0</v>
      </c>
      <c r="G36" s="131"/>
      <c r="H36" s="227"/>
      <c r="I36" s="329"/>
      <c r="J36" s="330"/>
      <c r="K36" s="336"/>
      <c r="L36" s="227"/>
      <c r="M36" s="227"/>
    </row>
    <row r="37" spans="1:18" ht="18" customHeight="1">
      <c r="A37" s="196" t="s">
        <v>1013</v>
      </c>
      <c r="B37" s="165" t="s">
        <v>1369</v>
      </c>
      <c r="C37" s="201">
        <f ca="1">ROUND(C13*F37,0)</f>
        <v>0</v>
      </c>
      <c r="D37" s="223" t="s">
        <v>1370</v>
      </c>
      <c r="E37" s="165" t="s">
        <v>1338</v>
      </c>
      <c r="F37" s="236">
        <f ca="1">INDIRECT("'数据-取费表'!Al"&amp;$G$1)</f>
        <v>0</v>
      </c>
      <c r="G37" s="131"/>
      <c r="H37" s="227"/>
      <c r="I37" s="329"/>
      <c r="J37" s="330"/>
      <c r="K37" s="336"/>
      <c r="L37" s="227"/>
      <c r="M37" s="227"/>
    </row>
    <row r="38" spans="1:18" ht="18" customHeight="1">
      <c r="A38" s="205" t="s">
        <v>1016</v>
      </c>
      <c r="B38" s="189" t="s">
        <v>1355</v>
      </c>
      <c r="C38" s="215">
        <f ca="1">ROUND(C5*F38,1)</f>
        <v>0</v>
      </c>
      <c r="D38" s="216" t="s">
        <v>1373</v>
      </c>
      <c r="E38" s="189" t="s">
        <v>1338</v>
      </c>
      <c r="F38" s="190">
        <f ca="1">INDIRECT("'数据-取费表'!Am"&amp;$G$1)</f>
        <v>0</v>
      </c>
      <c r="G38" s="131"/>
      <c r="H38" s="227"/>
      <c r="I38" s="329"/>
      <c r="J38" s="330"/>
      <c r="K38" s="331"/>
      <c r="L38" s="227"/>
      <c r="M38" s="227"/>
    </row>
    <row r="39" spans="1:18" ht="24.6" customHeight="1">
      <c r="A39" s="191" t="s">
        <v>470</v>
      </c>
      <c r="B39" s="237" t="s">
        <v>1376</v>
      </c>
      <c r="C39" s="193">
        <f ca="1">C5-C30</f>
        <v>0</v>
      </c>
      <c r="D39" s="238" t="s">
        <v>1377</v>
      </c>
      <c r="E39" s="239"/>
      <c r="F39" s="240"/>
      <c r="G39" s="131"/>
      <c r="H39" s="227"/>
      <c r="I39" s="329"/>
      <c r="J39" s="330"/>
      <c r="K39" s="331"/>
      <c r="L39" s="227"/>
      <c r="M39" s="227"/>
    </row>
    <row r="40" spans="1:18" ht="18" customHeight="1">
      <c r="A40" s="156" t="s">
        <v>476</v>
      </c>
      <c r="B40" s="157" t="s">
        <v>1398</v>
      </c>
      <c r="C40" s="241" t="e">
        <f ca="1">ROUND(C39*(1-((1+F42)/(1+F40))^F41)/(F40-F42),0)</f>
        <v>#DIV/0!</v>
      </c>
      <c r="D40" s="229" t="s">
        <v>1382</v>
      </c>
      <c r="E40" s="165" t="s">
        <v>1383</v>
      </c>
      <c r="F40" s="173">
        <f ca="1">INDIRECT("'数据-取费表'!I"&amp;$G$1)</f>
        <v>0</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1390</v>
      </c>
      <c r="F42" s="173">
        <f ca="1">INDIRECT("'数据-取费表'!v"&amp;$G$1)</f>
        <v>0</v>
      </c>
      <c r="G42" s="131"/>
      <c r="H42" s="246"/>
      <c r="I42" s="329"/>
      <c r="J42" s="330"/>
      <c r="K42" s="336"/>
      <c r="L42" s="246"/>
      <c r="M42" s="246"/>
    </row>
    <row r="43" spans="1:18" ht="18" customHeight="1">
      <c r="A43" s="218" t="s">
        <v>1392</v>
      </c>
      <c r="B43" s="248" t="s">
        <v>1399</v>
      </c>
      <c r="C43" s="249" t="e">
        <f ca="1">ROUND(C40/F43,0)</f>
        <v>#DIV/0!</v>
      </c>
      <c r="D43" s="250" t="s">
        <v>1400</v>
      </c>
      <c r="E43" s="251" t="s">
        <v>1401</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1497</v>
      </c>
      <c r="E45" s="253"/>
      <c r="F45" s="253"/>
      <c r="O45" s="372" t="s">
        <v>1402</v>
      </c>
      <c r="P45" s="242"/>
      <c r="Q45" s="242"/>
      <c r="R45" s="242"/>
    </row>
    <row r="46" spans="1:18" s="131" customFormat="1">
      <c r="A46" s="255" t="s">
        <v>1403</v>
      </c>
      <c r="C46" s="256" t="e">
        <f ca="1">ROUND(C45/10000,0)</f>
        <v>#DIV/0!</v>
      </c>
      <c r="D46" s="257" t="str">
        <f>C2</f>
        <v>万元</v>
      </c>
      <c r="I46" s="340" t="s">
        <v>1404</v>
      </c>
      <c r="J46" s="341"/>
      <c r="K46" s="342"/>
      <c r="L46" s="343" t="e">
        <f ca="1">IF(M47="住宅",0,IF(L48&gt;J51,L60,J60))</f>
        <v>#DIV/0!</v>
      </c>
      <c r="O46" s="344" t="s">
        <v>1405</v>
      </c>
      <c r="P46" s="345" t="s">
        <v>1406</v>
      </c>
      <c r="Q46" s="389" t="s">
        <v>1407</v>
      </c>
      <c r="R46" s="389" t="s">
        <v>1408</v>
      </c>
    </row>
    <row r="47" spans="1:18" s="131" customFormat="1">
      <c r="A47" s="258" t="s">
        <v>1309</v>
      </c>
      <c r="B47" s="259" t="s">
        <v>1310</v>
      </c>
      <c r="C47" s="259" t="s">
        <v>1311</v>
      </c>
      <c r="D47" s="259" t="s">
        <v>1312</v>
      </c>
      <c r="E47" s="261" t="s">
        <v>1313</v>
      </c>
      <c r="F47" s="262"/>
      <c r="G47" s="263"/>
      <c r="I47" s="346" t="s">
        <v>1409</v>
      </c>
      <c r="J47" s="347"/>
      <c r="K47" s="348" t="s">
        <v>1410</v>
      </c>
      <c r="L47" s="349">
        <f ca="1">INDIRECT("'数据-取费表'!d"&amp;$G$1)</f>
        <v>0</v>
      </c>
      <c r="M47" s="350" t="str">
        <f>IF(ISNUMBER(FIND("住宅",C1)),"住宅","非住宅")</f>
        <v>非住宅</v>
      </c>
      <c r="O47" s="351" t="s">
        <v>1070</v>
      </c>
      <c r="P47" s="352" t="s">
        <v>1411</v>
      </c>
      <c r="Q47" s="390" t="e">
        <f ca="1">C40+J29</f>
        <v>#DIV/0!</v>
      </c>
      <c r="R47" s="390" t="s">
        <v>1412</v>
      </c>
    </row>
    <row r="48" spans="1:18" s="131" customFormat="1" ht="39.6">
      <c r="A48" s="264" t="s">
        <v>1413</v>
      </c>
      <c r="B48" s="157" t="s">
        <v>1314</v>
      </c>
      <c r="C48" s="265">
        <f ca="1">C49+C53+C55</f>
        <v>0</v>
      </c>
      <c r="D48" s="266"/>
      <c r="E48" s="267"/>
      <c r="F48" s="268"/>
      <c r="G48" s="263"/>
      <c r="H48" s="269"/>
      <c r="I48" s="353" t="s">
        <v>1414</v>
      </c>
      <c r="J48" s="354"/>
      <c r="K48" s="355" t="s">
        <v>1416</v>
      </c>
      <c r="L48" s="356">
        <f ca="1">INDIRECT("'数据-取费表'!f"&amp;$G$1)</f>
        <v>0</v>
      </c>
      <c r="O48" s="351" t="s">
        <v>1072</v>
      </c>
      <c r="P48" s="352" t="s">
        <v>1417</v>
      </c>
      <c r="Q48" s="390" t="e">
        <f ca="1">J60</f>
        <v>#DIV/0!</v>
      </c>
      <c r="R48" s="390" t="s">
        <v>1418</v>
      </c>
    </row>
    <row r="49" spans="1:18" s="131" customFormat="1">
      <c r="A49" s="270" t="s">
        <v>1419</v>
      </c>
      <c r="B49" s="271" t="s">
        <v>1420</v>
      </c>
      <c r="C49" s="272">
        <f ca="1">ROUND(F49*F51*F50*(1-F52),0)</f>
        <v>0</v>
      </c>
      <c r="D49" s="273" t="s">
        <v>1498</v>
      </c>
      <c r="E49" s="274" t="s">
        <v>1421</v>
      </c>
      <c r="F49" s="275"/>
      <c r="H49" s="269"/>
      <c r="I49" s="353" t="s">
        <v>1422</v>
      </c>
      <c r="J49" s="357"/>
      <c r="K49" s="355" t="s">
        <v>1423</v>
      </c>
      <c r="L49" s="358"/>
      <c r="O49" s="359" t="s">
        <v>1424</v>
      </c>
      <c r="P49" s="352" t="s">
        <v>1425</v>
      </c>
      <c r="Q49" s="390">
        <f ca="1">C29</f>
        <v>0</v>
      </c>
      <c r="R49" s="390" t="s">
        <v>1412</v>
      </c>
    </row>
    <row r="50" spans="1:18" s="131" customFormat="1">
      <c r="A50" s="276"/>
      <c r="B50" s="277"/>
      <c r="C50" s="283"/>
      <c r="D50" s="279"/>
      <c r="E50" s="280" t="s">
        <v>1320</v>
      </c>
      <c r="F50" s="281">
        <f ca="1">F7</f>
        <v>0</v>
      </c>
      <c r="H50" s="269"/>
      <c r="I50" s="353" t="s">
        <v>1426</v>
      </c>
      <c r="J50" s="360">
        <f>SUMPRODUCT((I63:I65=J47)*(J62:L62=J48)*(J63:L65))</f>
        <v>0</v>
      </c>
      <c r="K50" s="355" t="s">
        <v>1427</v>
      </c>
      <c r="L50" s="358"/>
      <c r="M50" s="361"/>
      <c r="O50" s="359" t="s">
        <v>1428</v>
      </c>
      <c r="P50" s="352" t="s">
        <v>1429</v>
      </c>
      <c r="Q50" s="391" t="e">
        <f ca="1">J58</f>
        <v>#DIV/0!</v>
      </c>
      <c r="R50" s="390"/>
    </row>
    <row r="51" spans="1:18" s="131" customFormat="1">
      <c r="A51" s="282"/>
      <c r="B51" s="277"/>
      <c r="C51" s="283"/>
      <c r="D51" s="279"/>
      <c r="E51" s="284" t="s">
        <v>1321</v>
      </c>
      <c r="F51" s="166">
        <f ca="1">F8</f>
        <v>365</v>
      </c>
      <c r="I51" s="362" t="s">
        <v>1430</v>
      </c>
      <c r="J51" s="356">
        <f>IF(J49="",J50,J49+J50-YEAR('数据-取费表'!B2))</f>
        <v>0</v>
      </c>
      <c r="K51" s="363" t="s">
        <v>1431</v>
      </c>
      <c r="L51" s="364">
        <f ca="1">ROUND(-PV(INDIRECT("'数据-取费表'!h"&amp;$G$1),J51,(C39-C13*C76),0),0)</f>
        <v>0</v>
      </c>
      <c r="M51" s="365"/>
      <c r="O51" s="359" t="s">
        <v>1432</v>
      </c>
      <c r="P51" s="352" t="s">
        <v>1433</v>
      </c>
      <c r="Q51" s="391">
        <f>J52</f>
        <v>0</v>
      </c>
      <c r="R51" s="390"/>
    </row>
    <row r="52" spans="1:18" s="131" customFormat="1">
      <c r="A52" s="282"/>
      <c r="B52" s="277"/>
      <c r="C52" s="283"/>
      <c r="D52" s="279"/>
      <c r="E52" s="284" t="s">
        <v>1322</v>
      </c>
      <c r="F52" s="285"/>
      <c r="I52" s="366" t="s">
        <v>1434</v>
      </c>
      <c r="J52" s="367"/>
      <c r="K52" s="366" t="s">
        <v>1435</v>
      </c>
      <c r="L52" s="367"/>
      <c r="O52" s="359" t="s">
        <v>1436</v>
      </c>
      <c r="P52" s="352" t="s">
        <v>1437</v>
      </c>
      <c r="Q52" s="390">
        <f ca="1">J53</f>
        <v>0</v>
      </c>
      <c r="R52" s="390" t="s">
        <v>1438</v>
      </c>
    </row>
    <row r="53" spans="1:18" s="131" customFormat="1" ht="30.75" customHeight="1">
      <c r="A53" s="2243" t="s">
        <v>1439</v>
      </c>
      <c r="B53" s="210" t="s">
        <v>1323</v>
      </c>
      <c r="C53" s="175">
        <f ca="1">ROUND(IF(F53="押一",C49/12*F11,IF(F53="押二",C49/12*2*F11,IF(F53="押三",C49/12*3*F11,C54*F11))),0)</f>
        <v>0</v>
      </c>
      <c r="D53" s="176" t="s">
        <v>1499</v>
      </c>
      <c r="E53" s="177" t="s">
        <v>1325</v>
      </c>
      <c r="F53" s="178"/>
      <c r="I53" s="368" t="s">
        <v>1440</v>
      </c>
      <c r="J53" s="369">
        <f ca="1">IF(M47="住宅",IF(D1="——",MAX(J51,L48),MAX(J51,L48-'数据-取费表'!B24)),IF(D1="——",MIN(J51,L48),MIN(J51,L48-'数据-取费表'!B24)))</f>
        <v>0</v>
      </c>
      <c r="K53" s="3246" t="s">
        <v>1441</v>
      </c>
      <c r="L53" s="3247"/>
      <c r="O53" s="351" t="s">
        <v>1166</v>
      </c>
      <c r="P53" s="352" t="s">
        <v>1442</v>
      </c>
      <c r="Q53" s="390" t="e">
        <f ca="1">Q47+Q48</f>
        <v>#DIV/0!</v>
      </c>
      <c r="R53" s="390" t="s">
        <v>1443</v>
      </c>
    </row>
    <row r="54" spans="1:18" s="131" customFormat="1">
      <c r="A54" s="270"/>
      <c r="B54" s="2244" t="s">
        <v>1496</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1444</v>
      </c>
      <c r="P54" s="144"/>
      <c r="Q54" s="144"/>
      <c r="R54" s="144"/>
    </row>
    <row r="55" spans="1:18" s="131" customFormat="1">
      <c r="A55" s="185" t="s">
        <v>1013</v>
      </c>
      <c r="B55" s="186" t="s">
        <v>1330</v>
      </c>
      <c r="C55" s="187"/>
      <c r="D55" s="176"/>
      <c r="E55" s="289"/>
      <c r="F55" s="290"/>
      <c r="I55" s="373" t="s">
        <v>1445</v>
      </c>
      <c r="J55" s="374" t="e">
        <f ca="1">ROUND(IF(J47="钢混",J57/J50,1-(1-2%)*(J50-J57)/J50),3)</f>
        <v>#DIV/0!</v>
      </c>
      <c r="K55" s="375" t="s">
        <v>1446</v>
      </c>
      <c r="L55" s="376"/>
      <c r="O55" s="344" t="s">
        <v>1405</v>
      </c>
      <c r="P55" s="345" t="s">
        <v>1406</v>
      </c>
      <c r="Q55" s="389" t="s">
        <v>1407</v>
      </c>
      <c r="R55" s="389" t="s">
        <v>1408</v>
      </c>
    </row>
    <row r="56" spans="1:18" s="131" customFormat="1" ht="36" customHeight="1">
      <c r="A56" s="291">
        <v>2</v>
      </c>
      <c r="B56" s="292" t="s">
        <v>1331</v>
      </c>
      <c r="C56" s="82">
        <f ca="1">C13</f>
        <v>0</v>
      </c>
      <c r="D56" s="293"/>
      <c r="E56" s="294"/>
      <c r="F56" s="290"/>
      <c r="I56" s="377" t="s">
        <v>1448</v>
      </c>
      <c r="J56" s="378"/>
      <c r="K56" s="353" t="s">
        <v>1449</v>
      </c>
      <c r="L56" s="356">
        <f ca="1">IF(L48&lt;J51,"——",L48-J51)</f>
        <v>0</v>
      </c>
      <c r="O56" s="351" t="s">
        <v>1070</v>
      </c>
      <c r="P56" s="352" t="s">
        <v>1411</v>
      </c>
      <c r="Q56" s="390" t="e">
        <f ca="1">C40+J29</f>
        <v>#DIV/0!</v>
      </c>
      <c r="R56" s="390" t="s">
        <v>1412</v>
      </c>
    </row>
    <row r="57" spans="1:18" s="131" customFormat="1" ht="24">
      <c r="A57" s="295"/>
      <c r="B57" s="296" t="s">
        <v>1391</v>
      </c>
      <c r="C57" s="91">
        <f ca="1">C29</f>
        <v>0</v>
      </c>
      <c r="D57" s="297"/>
      <c r="E57" s="298"/>
      <c r="F57" s="299"/>
      <c r="I57" s="379" t="s">
        <v>1450</v>
      </c>
      <c r="J57" s="380">
        <f ca="1">IF(OR(M47="住宅",J51&lt;L48,J56="是"),"——",J51-L48)</f>
        <v>0</v>
      </c>
      <c r="K57" s="353" t="s">
        <v>1500</v>
      </c>
      <c r="L57" s="356">
        <f ca="1">IF(L48&lt;J51,"——",IF(L55="比较法",L49,IF(L55="基准地价",L50,L51)))</f>
        <v>0</v>
      </c>
      <c r="O57" s="351" t="s">
        <v>1072</v>
      </c>
      <c r="P57" s="352" t="s">
        <v>1452</v>
      </c>
      <c r="Q57" s="390" t="e">
        <f ca="1">L60</f>
        <v>#DIV/0!</v>
      </c>
      <c r="R57" s="390" t="s">
        <v>1453</v>
      </c>
    </row>
    <row r="58" spans="1:18" s="131" customFormat="1" ht="24">
      <c r="A58" s="300" t="s">
        <v>467</v>
      </c>
      <c r="B58" s="292" t="s">
        <v>1339</v>
      </c>
      <c r="C58" s="175">
        <f ca="1">ROUND(C59+C64+C65+C66,0)</f>
        <v>0</v>
      </c>
      <c r="D58" s="301" t="s">
        <v>1340</v>
      </c>
      <c r="E58" s="302"/>
      <c r="F58" s="268"/>
      <c r="I58" s="379" t="s">
        <v>1454</v>
      </c>
      <c r="J58" s="381" t="e">
        <f ca="1">IF(J55&lt;0.4,0.4,J55)</f>
        <v>#DIV/0!</v>
      </c>
      <c r="K58" s="363" t="s">
        <v>1501</v>
      </c>
      <c r="L58" s="356" t="e">
        <f ca="1">ROUND(POWER(1+L52,L47-L48)*(POWER(1+L52,L48)-1)/(POWER(1+L52,L47)-1),4)</f>
        <v>#DIV/0!</v>
      </c>
      <c r="O58" s="359" t="s">
        <v>1424</v>
      </c>
      <c r="P58" s="352" t="s">
        <v>1456</v>
      </c>
      <c r="Q58" s="390">
        <f>IF(L55="比较法",L49,IF(L55="基准地价",L50,0))</f>
        <v>0</v>
      </c>
      <c r="R58" s="390" t="s">
        <v>1412</v>
      </c>
    </row>
    <row r="59" spans="1:18" s="131" customFormat="1" ht="24">
      <c r="A59" s="196" t="s">
        <v>964</v>
      </c>
      <c r="B59" s="296" t="s">
        <v>1345</v>
      </c>
      <c r="C59" s="222">
        <f ca="1">ROUND(IF(AND(项目基本情况!B11="自然人",项目基本情况!B10="北京市"),C49*F59/(1+'数据-取费表'!C42),C60+C61+C62),0)</f>
        <v>0</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1428</v>
      </c>
      <c r="P59" s="352" t="s">
        <v>1458</v>
      </c>
      <c r="Q59" s="391">
        <f>L52</f>
        <v>0</v>
      </c>
      <c r="R59" s="390"/>
    </row>
    <row r="60" spans="1:18" s="131" customFormat="1" ht="15.6">
      <c r="A60" s="196" t="s">
        <v>987</v>
      </c>
      <c r="B60" s="296" t="s">
        <v>1349</v>
      </c>
      <c r="C60" s="201">
        <f ca="1">IF(项目基本情况!B11="自然人","——",ROUND(C48*F60/(1+'数据-取费表'!C42),0))</f>
        <v>0</v>
      </c>
      <c r="D60" s="304" t="s">
        <v>1350</v>
      </c>
      <c r="E60" s="296" t="s">
        <v>1338</v>
      </c>
      <c r="F60" s="214">
        <f t="shared" ref="F60:F66" si="0">F32</f>
        <v>5.6000000000000001E-2</v>
      </c>
      <c r="I60" s="382" t="s">
        <v>1459</v>
      </c>
      <c r="J60" s="383" t="e">
        <f ca="1">IF(OR(M47="住宅",J51&lt;L48,J56="是"),"0",ROUND(J59/(1+J52)^J53,0))</f>
        <v>#DIV/0!</v>
      </c>
      <c r="K60" s="384" t="s">
        <v>1460</v>
      </c>
      <c r="L60" s="383" t="e">
        <f ca="1">IF(OR(M47="住宅",L48&lt;J51),0,ROUND(L57*(L58/L59-1),0))</f>
        <v>#DIV/0!</v>
      </c>
      <c r="O60" s="359" t="s">
        <v>1432</v>
      </c>
      <c r="P60" s="352" t="s">
        <v>1461</v>
      </c>
      <c r="Q60" s="390" t="e">
        <f ca="1">L58</f>
        <v>#DIV/0!</v>
      </c>
      <c r="R60" s="390" t="s">
        <v>1462</v>
      </c>
    </row>
    <row r="61" spans="1:18" s="131" customFormat="1">
      <c r="A61" s="196" t="s">
        <v>991</v>
      </c>
      <c r="B61" s="296" t="s">
        <v>1353</v>
      </c>
      <c r="C61" s="201">
        <f ca="1">IF(项目基本情况!B11="自然人","——",IF(D61="按租金收入计税",ROUND(C49*F61/(1+'数据-取费表'!C42),0),IF(D61="按房产原值计税",ROUND(C57*F61*0.7,0),INDIRECT("'数据-取费表'!Aj"&amp;$G$1))))</f>
        <v>0</v>
      </c>
      <c r="D61" s="226" t="s">
        <v>1354</v>
      </c>
      <c r="E61" s="296" t="s">
        <v>1338</v>
      </c>
      <c r="F61" s="206">
        <f t="shared" si="0"/>
        <v>1.2E-2</v>
      </c>
      <c r="I61" s="242"/>
      <c r="J61" s="242"/>
      <c r="K61" s="242"/>
      <c r="L61" s="242"/>
      <c r="O61" s="359" t="s">
        <v>1436</v>
      </c>
      <c r="P61" s="352" t="str">
        <f>K59</f>
        <v>建设期及建筑物耐用年限下的土地年期修正系数Kn</v>
      </c>
      <c r="Q61" s="390" t="e">
        <f ca="1">L59</f>
        <v>#DIV/0!</v>
      </c>
      <c r="R61" s="390" t="s">
        <v>1463</v>
      </c>
    </row>
    <row r="62" spans="1:18" s="131" customFormat="1">
      <c r="A62" s="196" t="s">
        <v>994</v>
      </c>
      <c r="B62" s="305" t="s">
        <v>1357</v>
      </c>
      <c r="C62" s="228">
        <f ca="1">IF(项目基本情况!B11="自然人","——",ROUND(F62*F63,0))</f>
        <v>0</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#DIV/0!</v>
      </c>
      <c r="R62" s="390" t="s">
        <v>1443</v>
      </c>
    </row>
    <row r="63" spans="1:18" s="131" customFormat="1">
      <c r="A63" s="211"/>
      <c r="B63" s="307"/>
      <c r="C63" s="232"/>
      <c r="D63" s="308"/>
      <c r="E63" s="296" t="s">
        <v>1363</v>
      </c>
      <c r="F63" s="166">
        <f t="shared" ca="1" si="0"/>
        <v>0</v>
      </c>
      <c r="I63" s="385" t="s">
        <v>1469</v>
      </c>
      <c r="J63" s="386">
        <v>70</v>
      </c>
      <c r="K63" s="386">
        <v>50</v>
      </c>
      <c r="L63" s="386">
        <v>80</v>
      </c>
      <c r="M63" s="388">
        <v>0.02</v>
      </c>
      <c r="O63" s="372" t="s">
        <v>1470</v>
      </c>
      <c r="P63" s="144"/>
      <c r="Q63" s="144"/>
      <c r="R63" s="144"/>
    </row>
    <row r="64" spans="1:18" s="131" customFormat="1">
      <c r="A64" s="196" t="s">
        <v>968</v>
      </c>
      <c r="B64" s="296" t="s">
        <v>1365</v>
      </c>
      <c r="C64" s="201">
        <f ca="1">ROUND(C57*F64,0)</f>
        <v>0</v>
      </c>
      <c r="D64" s="304" t="s">
        <v>1397</v>
      </c>
      <c r="E64" s="296" t="s">
        <v>1338</v>
      </c>
      <c r="F64" s="235">
        <f t="shared" ca="1" si="0"/>
        <v>0</v>
      </c>
      <c r="I64" s="385" t="s">
        <v>1471</v>
      </c>
      <c r="J64" s="386">
        <v>50</v>
      </c>
      <c r="K64" s="386">
        <v>35</v>
      </c>
      <c r="L64" s="386">
        <v>60</v>
      </c>
      <c r="M64" s="387">
        <v>0</v>
      </c>
      <c r="O64" s="344" t="s">
        <v>1405</v>
      </c>
      <c r="P64" s="345" t="s">
        <v>1406</v>
      </c>
      <c r="Q64" s="389" t="s">
        <v>1407</v>
      </c>
      <c r="R64" s="389" t="s">
        <v>1408</v>
      </c>
    </row>
    <row r="65" spans="1:18" s="131" customFormat="1">
      <c r="A65" s="196" t="s">
        <v>1013</v>
      </c>
      <c r="B65" s="296" t="s">
        <v>1369</v>
      </c>
      <c r="C65" s="201">
        <f ca="1">ROUND(C56*F65,0)</f>
        <v>0</v>
      </c>
      <c r="D65" s="304" t="s">
        <v>1370</v>
      </c>
      <c r="E65" s="296" t="s">
        <v>1338</v>
      </c>
      <c r="F65" s="236">
        <f t="shared" ca="1" si="0"/>
        <v>0</v>
      </c>
      <c r="I65" s="385" t="s">
        <v>1472</v>
      </c>
      <c r="J65" s="386">
        <v>40</v>
      </c>
      <c r="K65" s="386">
        <v>30</v>
      </c>
      <c r="L65" s="386">
        <v>50</v>
      </c>
      <c r="M65" s="388">
        <v>0.02</v>
      </c>
      <c r="O65" s="351" t="s">
        <v>1070</v>
      </c>
      <c r="P65" s="352" t="s">
        <v>1411</v>
      </c>
      <c r="Q65" s="390" t="e">
        <f ca="1">C40+J29</f>
        <v>#DIV/0!</v>
      </c>
      <c r="R65" s="390" t="s">
        <v>1412</v>
      </c>
    </row>
    <row r="66" spans="1:18" s="131" customFormat="1" ht="15.6">
      <c r="A66" s="196" t="s">
        <v>1016</v>
      </c>
      <c r="B66" s="296" t="s">
        <v>1355</v>
      </c>
      <c r="C66" s="201">
        <f ca="1">ROUND(C48*F66,0)</f>
        <v>0</v>
      </c>
      <c r="D66" s="304" t="s">
        <v>1373</v>
      </c>
      <c r="E66" s="296" t="s">
        <v>1338</v>
      </c>
      <c r="F66" s="173">
        <f t="shared" ca="1" si="0"/>
        <v>0</v>
      </c>
      <c r="O66" s="351" t="s">
        <v>1072</v>
      </c>
      <c r="P66" s="352" t="s">
        <v>1452</v>
      </c>
      <c r="Q66" s="390" t="e">
        <f ca="1">L60</f>
        <v>#DIV/0!</v>
      </c>
      <c r="R66" s="390" t="s">
        <v>1453</v>
      </c>
    </row>
    <row r="67" spans="1:18" s="131" customFormat="1" ht="24">
      <c r="A67" s="291" t="s">
        <v>470</v>
      </c>
      <c r="B67" s="392" t="s">
        <v>1376</v>
      </c>
      <c r="C67" s="175">
        <f ca="1">C48-C58</f>
        <v>0</v>
      </c>
      <c r="D67" s="303" t="s">
        <v>1377</v>
      </c>
      <c r="E67" s="393"/>
      <c r="F67" s="394"/>
      <c r="O67" s="359" t="s">
        <v>1424</v>
      </c>
      <c r="P67" s="352" t="s">
        <v>1456</v>
      </c>
      <c r="Q67" s="415">
        <f ca="1">L51</f>
        <v>0</v>
      </c>
      <c r="R67" s="390" t="s">
        <v>1473</v>
      </c>
    </row>
    <row r="68" spans="1:18" s="131" customFormat="1" ht="15.6">
      <c r="A68" s="395" t="s">
        <v>476</v>
      </c>
      <c r="B68" s="396" t="s">
        <v>1398</v>
      </c>
      <c r="C68" s="241" t="e">
        <f ca="1">ROUND(C67*(1-((1+F70)/(1+F68))^F69)/(F68-F70),0)</f>
        <v>#DIV/0!</v>
      </c>
      <c r="D68" s="306" t="s">
        <v>1382</v>
      </c>
      <c r="E68" s="296" t="s">
        <v>1383</v>
      </c>
      <c r="F68" s="173">
        <f ca="1">F40</f>
        <v>0</v>
      </c>
      <c r="O68" s="359" t="s">
        <v>1428</v>
      </c>
      <c r="P68" s="414" t="s">
        <v>1474</v>
      </c>
      <c r="Q68" s="390">
        <f ca="1">ROUND(Q69-Q70*Q71,0)</f>
        <v>0</v>
      </c>
      <c r="R68" s="390" t="s">
        <v>1475</v>
      </c>
    </row>
    <row r="69" spans="1:18" s="131" customFormat="1">
      <c r="A69" s="397"/>
      <c r="B69" s="398"/>
      <c r="C69" s="172"/>
      <c r="D69" s="399" t="s">
        <v>1386</v>
      </c>
      <c r="E69" s="296" t="s">
        <v>1387</v>
      </c>
      <c r="F69" s="245">
        <f ca="1">F41</f>
        <v>0</v>
      </c>
      <c r="O69" s="359" t="s">
        <v>1476</v>
      </c>
      <c r="P69" s="414" t="s">
        <v>1477</v>
      </c>
      <c r="Q69" s="390">
        <f ca="1">C39</f>
        <v>0</v>
      </c>
      <c r="R69" s="390" t="s">
        <v>1412</v>
      </c>
    </row>
    <row r="70" spans="1:18" s="131" customFormat="1">
      <c r="A70" s="400"/>
      <c r="B70" s="401"/>
      <c r="C70" s="193"/>
      <c r="D70" s="308"/>
      <c r="E70" s="296" t="s">
        <v>1390</v>
      </c>
      <c r="F70" s="285">
        <f ca="1">F42</f>
        <v>0</v>
      </c>
      <c r="O70" s="359" t="s">
        <v>1478</v>
      </c>
      <c r="P70" s="414" t="s">
        <v>1479</v>
      </c>
      <c r="Q70" s="390">
        <f ca="1">C13</f>
        <v>0</v>
      </c>
      <c r="R70" s="390" t="s">
        <v>1412</v>
      </c>
    </row>
    <row r="71" spans="1:18" s="131" customFormat="1">
      <c r="A71" s="402" t="s">
        <v>1392</v>
      </c>
      <c r="B71" s="403" t="s">
        <v>1399</v>
      </c>
      <c r="C71" s="249" t="e">
        <f ca="1">ROUND(C68/F71,0)</f>
        <v>#DIV/0!</v>
      </c>
      <c r="D71" s="404" t="s">
        <v>1400</v>
      </c>
      <c r="E71" s="405" t="s">
        <v>1401</v>
      </c>
      <c r="F71" s="252">
        <f ca="1">F43</f>
        <v>0</v>
      </c>
      <c r="O71" s="359" t="s">
        <v>1480</v>
      </c>
      <c r="P71" s="414" t="s">
        <v>1481</v>
      </c>
      <c r="Q71" s="391">
        <f ca="1">C76</f>
        <v>0</v>
      </c>
      <c r="R71" s="390"/>
    </row>
    <row r="72" spans="1:18" s="131" customFormat="1">
      <c r="B72" s="338"/>
      <c r="C72" s="338"/>
      <c r="O72" s="359" t="s">
        <v>1432</v>
      </c>
      <c r="P72" s="352" t="s">
        <v>1458</v>
      </c>
      <c r="Q72" s="391">
        <f>L52</f>
        <v>0</v>
      </c>
      <c r="R72" s="390"/>
    </row>
    <row r="73" spans="1:18" ht="15.6">
      <c r="A73" s="131"/>
      <c r="B73" s="338"/>
      <c r="C73" s="338"/>
      <c r="D73" s="131"/>
      <c r="E73" s="131"/>
      <c r="F73" s="131"/>
      <c r="O73" s="359" t="s">
        <v>1436</v>
      </c>
      <c r="P73" s="352" t="s">
        <v>1461</v>
      </c>
      <c r="Q73" s="390" t="e">
        <f ca="1">L58</f>
        <v>#DIV/0!</v>
      </c>
      <c r="R73" s="390" t="s">
        <v>1462</v>
      </c>
    </row>
    <row r="74" spans="1:18">
      <c r="A74" s="131"/>
      <c r="B74" s="125" t="s">
        <v>1482</v>
      </c>
      <c r="C74" s="406"/>
      <c r="D74" s="131"/>
      <c r="E74" s="131"/>
      <c r="F74" s="131"/>
      <c r="O74" s="359" t="s">
        <v>1483</v>
      </c>
      <c r="P74" s="352" t="str">
        <f>K59</f>
        <v>建设期及建筑物耐用年限下的土地年期修正系数Kn</v>
      </c>
      <c r="Q74" s="390" t="e">
        <f ca="1">L59</f>
        <v>#DIV/0!</v>
      </c>
      <c r="R74" s="390" t="s">
        <v>1463</v>
      </c>
    </row>
    <row r="75" spans="1:18">
      <c r="A75" s="131"/>
      <c r="B75" s="407" t="s">
        <v>1484</v>
      </c>
      <c r="C75" s="408">
        <f ca="1">ROUND(C13*C76,0)</f>
        <v>0</v>
      </c>
      <c r="D75" s="131"/>
      <c r="E75" s="131"/>
      <c r="F75" s="131"/>
      <c r="K75" s="337"/>
      <c r="L75" s="131"/>
      <c r="O75" s="351" t="s">
        <v>1166</v>
      </c>
      <c r="P75" s="352" t="s">
        <v>1442</v>
      </c>
      <c r="Q75" s="390" t="e">
        <f ca="1">Q65+Q66</f>
        <v>#DIV/0!</v>
      </c>
      <c r="R75" s="390" t="s">
        <v>1443</v>
      </c>
    </row>
    <row r="76" spans="1:18">
      <c r="B76" s="409" t="s">
        <v>1485</v>
      </c>
      <c r="C76" s="410">
        <f ca="1">INDIRECT("'数据-取费表'!j"&amp;$G$1)</f>
        <v>0</v>
      </c>
      <c r="I76" s="131"/>
      <c r="J76" s="131"/>
      <c r="K76" s="337"/>
      <c r="L76" s="131"/>
    </row>
    <row r="77" spans="1:18">
      <c r="B77" s="411" t="s">
        <v>1486</v>
      </c>
      <c r="C77" s="412"/>
      <c r="I77" s="131"/>
      <c r="J77" s="131"/>
      <c r="K77" s="337"/>
      <c r="L77" s="131"/>
    </row>
    <row r="78" spans="1:18">
      <c r="B78" s="123" t="s">
        <v>1487</v>
      </c>
      <c r="C78" s="413"/>
    </row>
    <row r="79" spans="1:18">
      <c r="B79" s="407" t="s">
        <v>1488</v>
      </c>
      <c r="C79" s="127" t="e">
        <f ca="1">1-C80</f>
        <v>#DIV/0!</v>
      </c>
    </row>
    <row r="80" spans="1:18">
      <c r="B80" s="407" t="s">
        <v>1489</v>
      </c>
      <c r="C80" s="127" t="e">
        <f ca="1">ROUND(C75/C39,3)</f>
        <v>#DIV/0!</v>
      </c>
    </row>
    <row r="81" spans="2:3">
      <c r="B81" s="123" t="s">
        <v>1490</v>
      </c>
      <c r="C81" s="91"/>
    </row>
    <row r="82" spans="2:3">
      <c r="B82" s="125" t="s">
        <v>1145</v>
      </c>
      <c r="C82" s="126" t="e">
        <f ca="1">1-C83</f>
        <v>#DIV/0!</v>
      </c>
    </row>
    <row r="83" spans="2:3">
      <c r="B83" s="125" t="s">
        <v>1146</v>
      </c>
      <c r="C83" s="12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6:K40"/>
    </sheetView>
  </sheetViews>
  <sheetFormatPr defaultColWidth="9" defaultRowHeight="13.2" customHeight="1"/>
  <cols>
    <col min="1" max="1" width="9.44140625" style="2074" customWidth="1"/>
    <col min="2" max="2" width="8.88671875" style="2074"/>
    <col min="3" max="5" width="12.88671875" style="2074" customWidth="1"/>
    <col min="6" max="6" width="47.44140625" style="2074" customWidth="1"/>
    <col min="7" max="7" width="13" style="2075" customWidth="1"/>
    <col min="8" max="8" width="8.88671875" style="2075"/>
    <col min="9" max="9" width="8.88671875" style="2076"/>
    <col min="10" max="10" width="5.77734375" style="2077" customWidth="1"/>
    <col min="11" max="11" width="11.77734375" style="2077" customWidth="1"/>
    <col min="12" max="13" width="10.77734375" style="2077" customWidth="1"/>
    <col min="14" max="14" width="10" style="2077" customWidth="1"/>
    <col min="15" max="16" width="10.44140625" style="2077" customWidth="1"/>
    <col min="17" max="17" width="10" style="2077" customWidth="1"/>
    <col min="18" max="18" width="10.109375" style="2077" customWidth="1"/>
    <col min="19" max="19" width="10" style="2077" customWidth="1"/>
    <col min="20" max="20" width="26.109375" style="2077" customWidth="1"/>
    <col min="21" max="21" width="8.88671875" style="2077"/>
    <col min="22" max="22" width="8.88671875" style="2076"/>
    <col min="23" max="256" width="8.88671875" style="2074"/>
    <col min="257" max="257" width="9.44140625" style="2074" customWidth="1"/>
    <col min="258" max="258" width="8.88671875" style="2074"/>
    <col min="259" max="261" width="12.88671875" style="2074" customWidth="1"/>
    <col min="262" max="262" width="47.44140625" style="2074" customWidth="1"/>
    <col min="263" max="263" width="13" style="2074" customWidth="1"/>
    <col min="264" max="265" width="8.88671875" style="2074"/>
    <col min="266" max="266" width="5.77734375" style="2074" customWidth="1"/>
    <col min="267" max="267" width="11.77734375" style="2074" customWidth="1"/>
    <col min="268" max="269" width="10.77734375" style="2074" customWidth="1"/>
    <col min="270" max="270" width="10" style="2074" customWidth="1"/>
    <col min="271" max="272" width="10.44140625" style="2074" customWidth="1"/>
    <col min="273" max="273" width="10" style="2074" customWidth="1"/>
    <col min="274" max="274" width="10.109375" style="2074" customWidth="1"/>
    <col min="275" max="275" width="10" style="2074" customWidth="1"/>
    <col min="276" max="276" width="26.109375" style="2074" customWidth="1"/>
    <col min="277" max="512" width="8.88671875" style="2074"/>
    <col min="513" max="513" width="9.44140625" style="2074" customWidth="1"/>
    <col min="514" max="514" width="8.88671875" style="2074"/>
    <col min="515" max="517" width="12.88671875" style="2074" customWidth="1"/>
    <col min="518" max="518" width="47.44140625" style="2074" customWidth="1"/>
    <col min="519" max="519" width="13" style="2074" customWidth="1"/>
    <col min="520" max="521" width="8.88671875" style="2074"/>
    <col min="522" max="522" width="5.77734375" style="2074" customWidth="1"/>
    <col min="523" max="523" width="11.77734375" style="2074" customWidth="1"/>
    <col min="524" max="525" width="10.77734375" style="2074" customWidth="1"/>
    <col min="526" max="526" width="10" style="2074" customWidth="1"/>
    <col min="527" max="528" width="10.44140625" style="2074" customWidth="1"/>
    <col min="529" max="529" width="10" style="2074" customWidth="1"/>
    <col min="530" max="530" width="10.109375" style="2074" customWidth="1"/>
    <col min="531" max="531" width="10" style="2074" customWidth="1"/>
    <col min="532" max="532" width="26.109375" style="2074" customWidth="1"/>
    <col min="533" max="768" width="8.88671875" style="2074"/>
    <col min="769" max="769" width="9.44140625" style="2074" customWidth="1"/>
    <col min="770" max="770" width="8.88671875" style="2074"/>
    <col min="771" max="773" width="12.88671875" style="2074" customWidth="1"/>
    <col min="774" max="774" width="47.44140625" style="2074" customWidth="1"/>
    <col min="775" max="775" width="13" style="2074" customWidth="1"/>
    <col min="776" max="777" width="8.88671875" style="2074"/>
    <col min="778" max="778" width="5.77734375" style="2074" customWidth="1"/>
    <col min="779" max="779" width="11.77734375" style="2074" customWidth="1"/>
    <col min="780" max="781" width="10.77734375" style="2074" customWidth="1"/>
    <col min="782" max="782" width="10" style="2074" customWidth="1"/>
    <col min="783" max="784" width="10.44140625" style="2074" customWidth="1"/>
    <col min="785" max="785" width="10" style="2074" customWidth="1"/>
    <col min="786" max="786" width="10.109375" style="2074" customWidth="1"/>
    <col min="787" max="787" width="10" style="2074" customWidth="1"/>
    <col min="788" max="788" width="26.109375" style="2074" customWidth="1"/>
    <col min="789" max="1024" width="8.88671875" style="2074"/>
    <col min="1025" max="1025" width="9.44140625" style="2074" customWidth="1"/>
    <col min="1026" max="1026" width="8.88671875" style="2074"/>
    <col min="1027" max="1029" width="12.88671875" style="2074" customWidth="1"/>
    <col min="1030" max="1030" width="47.44140625" style="2074" customWidth="1"/>
    <col min="1031" max="1031" width="13" style="2074" customWidth="1"/>
    <col min="1032" max="1033" width="8.88671875" style="2074"/>
    <col min="1034" max="1034" width="5.77734375" style="2074" customWidth="1"/>
    <col min="1035" max="1035" width="11.77734375" style="2074" customWidth="1"/>
    <col min="1036" max="1037" width="10.77734375" style="2074" customWidth="1"/>
    <col min="1038" max="1038" width="10" style="2074" customWidth="1"/>
    <col min="1039" max="1040" width="10.44140625" style="2074" customWidth="1"/>
    <col min="1041" max="1041" width="10" style="2074" customWidth="1"/>
    <col min="1042" max="1042" width="10.109375" style="2074" customWidth="1"/>
    <col min="1043" max="1043" width="10" style="2074" customWidth="1"/>
    <col min="1044" max="1044" width="26.109375" style="2074" customWidth="1"/>
    <col min="1045" max="1280" width="8.88671875" style="2074"/>
    <col min="1281" max="1281" width="9.44140625" style="2074" customWidth="1"/>
    <col min="1282" max="1282" width="8.88671875" style="2074"/>
    <col min="1283" max="1285" width="12.88671875" style="2074" customWidth="1"/>
    <col min="1286" max="1286" width="47.44140625" style="2074" customWidth="1"/>
    <col min="1287" max="1287" width="13" style="2074" customWidth="1"/>
    <col min="1288" max="1289" width="8.88671875" style="2074"/>
    <col min="1290" max="1290" width="5.77734375" style="2074" customWidth="1"/>
    <col min="1291" max="1291" width="11.77734375" style="2074" customWidth="1"/>
    <col min="1292" max="1293" width="10.77734375" style="2074" customWidth="1"/>
    <col min="1294" max="1294" width="10" style="2074" customWidth="1"/>
    <col min="1295" max="1296" width="10.44140625" style="2074" customWidth="1"/>
    <col min="1297" max="1297" width="10" style="2074" customWidth="1"/>
    <col min="1298" max="1298" width="10.109375" style="2074" customWidth="1"/>
    <col min="1299" max="1299" width="10" style="2074" customWidth="1"/>
    <col min="1300" max="1300" width="26.109375" style="2074" customWidth="1"/>
    <col min="1301" max="1536" width="8.88671875" style="2074"/>
    <col min="1537" max="1537" width="9.44140625" style="2074" customWidth="1"/>
    <col min="1538" max="1538" width="8.88671875" style="2074"/>
    <col min="1539" max="1541" width="12.88671875" style="2074" customWidth="1"/>
    <col min="1542" max="1542" width="47.44140625" style="2074" customWidth="1"/>
    <col min="1543" max="1543" width="13" style="2074" customWidth="1"/>
    <col min="1544" max="1545" width="8.88671875" style="2074"/>
    <col min="1546" max="1546" width="5.77734375" style="2074" customWidth="1"/>
    <col min="1547" max="1547" width="11.77734375" style="2074" customWidth="1"/>
    <col min="1548" max="1549" width="10.77734375" style="2074" customWidth="1"/>
    <col min="1550" max="1550" width="10" style="2074" customWidth="1"/>
    <col min="1551" max="1552" width="10.44140625" style="2074" customWidth="1"/>
    <col min="1553" max="1553" width="10" style="2074" customWidth="1"/>
    <col min="1554" max="1554" width="10.109375" style="2074" customWidth="1"/>
    <col min="1555" max="1555" width="10" style="2074" customWidth="1"/>
    <col min="1556" max="1556" width="26.109375" style="2074" customWidth="1"/>
    <col min="1557" max="1792" width="8.88671875" style="2074"/>
    <col min="1793" max="1793" width="9.44140625" style="2074" customWidth="1"/>
    <col min="1794" max="1794" width="8.88671875" style="2074"/>
    <col min="1795" max="1797" width="12.88671875" style="2074" customWidth="1"/>
    <col min="1798" max="1798" width="47.44140625" style="2074" customWidth="1"/>
    <col min="1799" max="1799" width="13" style="2074" customWidth="1"/>
    <col min="1800" max="1801" width="8.88671875" style="2074"/>
    <col min="1802" max="1802" width="5.77734375" style="2074" customWidth="1"/>
    <col min="1803" max="1803" width="11.77734375" style="2074" customWidth="1"/>
    <col min="1804" max="1805" width="10.77734375" style="2074" customWidth="1"/>
    <col min="1806" max="1806" width="10" style="2074" customWidth="1"/>
    <col min="1807" max="1808" width="10.44140625" style="2074" customWidth="1"/>
    <col min="1809" max="1809" width="10" style="2074" customWidth="1"/>
    <col min="1810" max="1810" width="10.109375" style="2074" customWidth="1"/>
    <col min="1811" max="1811" width="10" style="2074" customWidth="1"/>
    <col min="1812" max="1812" width="26.109375" style="2074" customWidth="1"/>
    <col min="1813" max="2048" width="8.88671875" style="2074"/>
    <col min="2049" max="2049" width="9.44140625" style="2074" customWidth="1"/>
    <col min="2050" max="2050" width="8.88671875" style="2074"/>
    <col min="2051" max="2053" width="12.88671875" style="2074" customWidth="1"/>
    <col min="2054" max="2054" width="47.44140625" style="2074" customWidth="1"/>
    <col min="2055" max="2055" width="13" style="2074" customWidth="1"/>
    <col min="2056" max="2057" width="8.88671875" style="2074"/>
    <col min="2058" max="2058" width="5.77734375" style="2074" customWidth="1"/>
    <col min="2059" max="2059" width="11.77734375" style="2074" customWidth="1"/>
    <col min="2060" max="2061" width="10.77734375" style="2074" customWidth="1"/>
    <col min="2062" max="2062" width="10" style="2074" customWidth="1"/>
    <col min="2063" max="2064" width="10.44140625" style="2074" customWidth="1"/>
    <col min="2065" max="2065" width="10" style="2074" customWidth="1"/>
    <col min="2066" max="2066" width="10.109375" style="2074" customWidth="1"/>
    <col min="2067" max="2067" width="10" style="2074" customWidth="1"/>
    <col min="2068" max="2068" width="26.109375" style="2074" customWidth="1"/>
    <col min="2069" max="2304" width="8.88671875" style="2074"/>
    <col min="2305" max="2305" width="9.44140625" style="2074" customWidth="1"/>
    <col min="2306" max="2306" width="8.88671875" style="2074"/>
    <col min="2307" max="2309" width="12.88671875" style="2074" customWidth="1"/>
    <col min="2310" max="2310" width="47.44140625" style="2074" customWidth="1"/>
    <col min="2311" max="2311" width="13" style="2074" customWidth="1"/>
    <col min="2312" max="2313" width="8.88671875" style="2074"/>
    <col min="2314" max="2314" width="5.77734375" style="2074" customWidth="1"/>
    <col min="2315" max="2315" width="11.77734375" style="2074" customWidth="1"/>
    <col min="2316" max="2317" width="10.77734375" style="2074" customWidth="1"/>
    <col min="2318" max="2318" width="10" style="2074" customWidth="1"/>
    <col min="2319" max="2320" width="10.44140625" style="2074" customWidth="1"/>
    <col min="2321" max="2321" width="10" style="2074" customWidth="1"/>
    <col min="2322" max="2322" width="10.109375" style="2074" customWidth="1"/>
    <col min="2323" max="2323" width="10" style="2074" customWidth="1"/>
    <col min="2324" max="2324" width="26.109375" style="2074" customWidth="1"/>
    <col min="2325" max="2560" width="8.88671875" style="2074"/>
    <col min="2561" max="2561" width="9.44140625" style="2074" customWidth="1"/>
    <col min="2562" max="2562" width="8.88671875" style="2074"/>
    <col min="2563" max="2565" width="12.88671875" style="2074" customWidth="1"/>
    <col min="2566" max="2566" width="47.44140625" style="2074" customWidth="1"/>
    <col min="2567" max="2567" width="13" style="2074" customWidth="1"/>
    <col min="2568" max="2569" width="8.88671875" style="2074"/>
    <col min="2570" max="2570" width="5.77734375" style="2074" customWidth="1"/>
    <col min="2571" max="2571" width="11.77734375" style="2074" customWidth="1"/>
    <col min="2572" max="2573" width="10.77734375" style="2074" customWidth="1"/>
    <col min="2574" max="2574" width="10" style="2074" customWidth="1"/>
    <col min="2575" max="2576" width="10.44140625" style="2074" customWidth="1"/>
    <col min="2577" max="2577" width="10" style="2074" customWidth="1"/>
    <col min="2578" max="2578" width="10.109375" style="2074" customWidth="1"/>
    <col min="2579" max="2579" width="10" style="2074" customWidth="1"/>
    <col min="2580" max="2580" width="26.109375" style="2074" customWidth="1"/>
    <col min="2581" max="2816" width="8.88671875" style="2074"/>
    <col min="2817" max="2817" width="9.44140625" style="2074" customWidth="1"/>
    <col min="2818" max="2818" width="8.88671875" style="2074"/>
    <col min="2819" max="2821" width="12.88671875" style="2074" customWidth="1"/>
    <col min="2822" max="2822" width="47.44140625" style="2074" customWidth="1"/>
    <col min="2823" max="2823" width="13" style="2074" customWidth="1"/>
    <col min="2824" max="2825" width="8.88671875" style="2074"/>
    <col min="2826" max="2826" width="5.77734375" style="2074" customWidth="1"/>
    <col min="2827" max="2827" width="11.77734375" style="2074" customWidth="1"/>
    <col min="2828" max="2829" width="10.77734375" style="2074" customWidth="1"/>
    <col min="2830" max="2830" width="10" style="2074" customWidth="1"/>
    <col min="2831" max="2832" width="10.44140625" style="2074" customWidth="1"/>
    <col min="2833" max="2833" width="10" style="2074" customWidth="1"/>
    <col min="2834" max="2834" width="10.109375" style="2074" customWidth="1"/>
    <col min="2835" max="2835" width="10" style="2074" customWidth="1"/>
    <col min="2836" max="2836" width="26.109375" style="2074" customWidth="1"/>
    <col min="2837" max="3072" width="8.88671875" style="2074"/>
    <col min="3073" max="3073" width="9.44140625" style="2074" customWidth="1"/>
    <col min="3074" max="3074" width="8.88671875" style="2074"/>
    <col min="3075" max="3077" width="12.88671875" style="2074" customWidth="1"/>
    <col min="3078" max="3078" width="47.44140625" style="2074" customWidth="1"/>
    <col min="3079" max="3079" width="13" style="2074" customWidth="1"/>
    <col min="3080" max="3081" width="8.88671875" style="2074"/>
    <col min="3082" max="3082" width="5.77734375" style="2074" customWidth="1"/>
    <col min="3083" max="3083" width="11.77734375" style="2074" customWidth="1"/>
    <col min="3084" max="3085" width="10.77734375" style="2074" customWidth="1"/>
    <col min="3086" max="3086" width="10" style="2074" customWidth="1"/>
    <col min="3087" max="3088" width="10.44140625" style="2074" customWidth="1"/>
    <col min="3089" max="3089" width="10" style="2074" customWidth="1"/>
    <col min="3090" max="3090" width="10.109375" style="2074" customWidth="1"/>
    <col min="3091" max="3091" width="10" style="2074" customWidth="1"/>
    <col min="3092" max="3092" width="26.109375" style="2074" customWidth="1"/>
    <col min="3093" max="3328" width="8.88671875" style="2074"/>
    <col min="3329" max="3329" width="9.44140625" style="2074" customWidth="1"/>
    <col min="3330" max="3330" width="8.88671875" style="2074"/>
    <col min="3331" max="3333" width="12.88671875" style="2074" customWidth="1"/>
    <col min="3334" max="3334" width="47.44140625" style="2074" customWidth="1"/>
    <col min="3335" max="3335" width="13" style="2074" customWidth="1"/>
    <col min="3336" max="3337" width="8.88671875" style="2074"/>
    <col min="3338" max="3338" width="5.77734375" style="2074" customWidth="1"/>
    <col min="3339" max="3339" width="11.77734375" style="2074" customWidth="1"/>
    <col min="3340" max="3341" width="10.77734375" style="2074" customWidth="1"/>
    <col min="3342" max="3342" width="10" style="2074" customWidth="1"/>
    <col min="3343" max="3344" width="10.44140625" style="2074" customWidth="1"/>
    <col min="3345" max="3345" width="10" style="2074" customWidth="1"/>
    <col min="3346" max="3346" width="10.109375" style="2074" customWidth="1"/>
    <col min="3347" max="3347" width="10" style="2074" customWidth="1"/>
    <col min="3348" max="3348" width="26.109375" style="2074" customWidth="1"/>
    <col min="3349" max="3584" width="8.88671875" style="2074"/>
    <col min="3585" max="3585" width="9.44140625" style="2074" customWidth="1"/>
    <col min="3586" max="3586" width="8.88671875" style="2074"/>
    <col min="3587" max="3589" width="12.88671875" style="2074" customWidth="1"/>
    <col min="3590" max="3590" width="47.44140625" style="2074" customWidth="1"/>
    <col min="3591" max="3591" width="13" style="2074" customWidth="1"/>
    <col min="3592" max="3593" width="8.88671875" style="2074"/>
    <col min="3594" max="3594" width="5.77734375" style="2074" customWidth="1"/>
    <col min="3595" max="3595" width="11.77734375" style="2074" customWidth="1"/>
    <col min="3596" max="3597" width="10.77734375" style="2074" customWidth="1"/>
    <col min="3598" max="3598" width="10" style="2074" customWidth="1"/>
    <col min="3599" max="3600" width="10.44140625" style="2074" customWidth="1"/>
    <col min="3601" max="3601" width="10" style="2074" customWidth="1"/>
    <col min="3602" max="3602" width="10.109375" style="2074" customWidth="1"/>
    <col min="3603" max="3603" width="10" style="2074" customWidth="1"/>
    <col min="3604" max="3604" width="26.109375" style="2074" customWidth="1"/>
    <col min="3605" max="3840" width="8.88671875" style="2074"/>
    <col min="3841" max="3841" width="9.44140625" style="2074" customWidth="1"/>
    <col min="3842" max="3842" width="8.88671875" style="2074"/>
    <col min="3843" max="3845" width="12.88671875" style="2074" customWidth="1"/>
    <col min="3846" max="3846" width="47.44140625" style="2074" customWidth="1"/>
    <col min="3847" max="3847" width="13" style="2074" customWidth="1"/>
    <col min="3848" max="3849" width="8.88671875" style="2074"/>
    <col min="3850" max="3850" width="5.77734375" style="2074" customWidth="1"/>
    <col min="3851" max="3851" width="11.77734375" style="2074" customWidth="1"/>
    <col min="3852" max="3853" width="10.77734375" style="2074" customWidth="1"/>
    <col min="3854" max="3854" width="10" style="2074" customWidth="1"/>
    <col min="3855" max="3856" width="10.44140625" style="2074" customWidth="1"/>
    <col min="3857" max="3857" width="10" style="2074" customWidth="1"/>
    <col min="3858" max="3858" width="10.109375" style="2074" customWidth="1"/>
    <col min="3859" max="3859" width="10" style="2074" customWidth="1"/>
    <col min="3860" max="3860" width="26.109375" style="2074" customWidth="1"/>
    <col min="3861" max="4096" width="8.88671875" style="2074"/>
    <col min="4097" max="4097" width="9.44140625" style="2074" customWidth="1"/>
    <col min="4098" max="4098" width="8.88671875" style="2074"/>
    <col min="4099" max="4101" width="12.88671875" style="2074" customWidth="1"/>
    <col min="4102" max="4102" width="47.44140625" style="2074" customWidth="1"/>
    <col min="4103" max="4103" width="13" style="2074" customWidth="1"/>
    <col min="4104" max="4105" width="8.88671875" style="2074"/>
    <col min="4106" max="4106" width="5.77734375" style="2074" customWidth="1"/>
    <col min="4107" max="4107" width="11.77734375" style="2074" customWidth="1"/>
    <col min="4108" max="4109" width="10.77734375" style="2074" customWidth="1"/>
    <col min="4110" max="4110" width="10" style="2074" customWidth="1"/>
    <col min="4111" max="4112" width="10.44140625" style="2074" customWidth="1"/>
    <col min="4113" max="4113" width="10" style="2074" customWidth="1"/>
    <col min="4114" max="4114" width="10.109375" style="2074" customWidth="1"/>
    <col min="4115" max="4115" width="10" style="2074" customWidth="1"/>
    <col min="4116" max="4116" width="26.109375" style="2074" customWidth="1"/>
    <col min="4117" max="4352" width="8.88671875" style="2074"/>
    <col min="4353" max="4353" width="9.44140625" style="2074" customWidth="1"/>
    <col min="4354" max="4354" width="8.88671875" style="2074"/>
    <col min="4355" max="4357" width="12.88671875" style="2074" customWidth="1"/>
    <col min="4358" max="4358" width="47.44140625" style="2074" customWidth="1"/>
    <col min="4359" max="4359" width="13" style="2074" customWidth="1"/>
    <col min="4360" max="4361" width="8.88671875" style="2074"/>
    <col min="4362" max="4362" width="5.77734375" style="2074" customWidth="1"/>
    <col min="4363" max="4363" width="11.77734375" style="2074" customWidth="1"/>
    <col min="4364" max="4365" width="10.77734375" style="2074" customWidth="1"/>
    <col min="4366" max="4366" width="10" style="2074" customWidth="1"/>
    <col min="4367" max="4368" width="10.44140625" style="2074" customWidth="1"/>
    <col min="4369" max="4369" width="10" style="2074" customWidth="1"/>
    <col min="4370" max="4370" width="10.109375" style="2074" customWidth="1"/>
    <col min="4371" max="4371" width="10" style="2074" customWidth="1"/>
    <col min="4372" max="4372" width="26.109375" style="2074" customWidth="1"/>
    <col min="4373" max="4608" width="8.88671875" style="2074"/>
    <col min="4609" max="4609" width="9.44140625" style="2074" customWidth="1"/>
    <col min="4610" max="4610" width="8.88671875" style="2074"/>
    <col min="4611" max="4613" width="12.88671875" style="2074" customWidth="1"/>
    <col min="4614" max="4614" width="47.44140625" style="2074" customWidth="1"/>
    <col min="4615" max="4615" width="13" style="2074" customWidth="1"/>
    <col min="4616" max="4617" width="8.88671875" style="2074"/>
    <col min="4618" max="4618" width="5.77734375" style="2074" customWidth="1"/>
    <col min="4619" max="4619" width="11.77734375" style="2074" customWidth="1"/>
    <col min="4620" max="4621" width="10.77734375" style="2074" customWidth="1"/>
    <col min="4622" max="4622" width="10" style="2074" customWidth="1"/>
    <col min="4623" max="4624" width="10.44140625" style="2074" customWidth="1"/>
    <col min="4625" max="4625" width="10" style="2074" customWidth="1"/>
    <col min="4626" max="4626" width="10.109375" style="2074" customWidth="1"/>
    <col min="4627" max="4627" width="10" style="2074" customWidth="1"/>
    <col min="4628" max="4628" width="26.109375" style="2074" customWidth="1"/>
    <col min="4629" max="4864" width="8.88671875" style="2074"/>
    <col min="4865" max="4865" width="9.44140625" style="2074" customWidth="1"/>
    <col min="4866" max="4866" width="8.88671875" style="2074"/>
    <col min="4867" max="4869" width="12.88671875" style="2074" customWidth="1"/>
    <col min="4870" max="4870" width="47.44140625" style="2074" customWidth="1"/>
    <col min="4871" max="4871" width="13" style="2074" customWidth="1"/>
    <col min="4872" max="4873" width="8.88671875" style="2074"/>
    <col min="4874" max="4874" width="5.77734375" style="2074" customWidth="1"/>
    <col min="4875" max="4875" width="11.77734375" style="2074" customWidth="1"/>
    <col min="4876" max="4877" width="10.77734375" style="2074" customWidth="1"/>
    <col min="4878" max="4878" width="10" style="2074" customWidth="1"/>
    <col min="4879" max="4880" width="10.44140625" style="2074" customWidth="1"/>
    <col min="4881" max="4881" width="10" style="2074" customWidth="1"/>
    <col min="4882" max="4882" width="10.109375" style="2074" customWidth="1"/>
    <col min="4883" max="4883" width="10" style="2074" customWidth="1"/>
    <col min="4884" max="4884" width="26.109375" style="2074" customWidth="1"/>
    <col min="4885" max="5120" width="8.88671875" style="2074"/>
    <col min="5121" max="5121" width="9.44140625" style="2074" customWidth="1"/>
    <col min="5122" max="5122" width="8.88671875" style="2074"/>
    <col min="5123" max="5125" width="12.88671875" style="2074" customWidth="1"/>
    <col min="5126" max="5126" width="47.44140625" style="2074" customWidth="1"/>
    <col min="5127" max="5127" width="13" style="2074" customWidth="1"/>
    <col min="5128" max="5129" width="8.88671875" style="2074"/>
    <col min="5130" max="5130" width="5.77734375" style="2074" customWidth="1"/>
    <col min="5131" max="5131" width="11.77734375" style="2074" customWidth="1"/>
    <col min="5132" max="5133" width="10.77734375" style="2074" customWidth="1"/>
    <col min="5134" max="5134" width="10" style="2074" customWidth="1"/>
    <col min="5135" max="5136" width="10.44140625" style="2074" customWidth="1"/>
    <col min="5137" max="5137" width="10" style="2074" customWidth="1"/>
    <col min="5138" max="5138" width="10.109375" style="2074" customWidth="1"/>
    <col min="5139" max="5139" width="10" style="2074" customWidth="1"/>
    <col min="5140" max="5140" width="26.109375" style="2074" customWidth="1"/>
    <col min="5141" max="5376" width="8.88671875" style="2074"/>
    <col min="5377" max="5377" width="9.44140625" style="2074" customWidth="1"/>
    <col min="5378" max="5378" width="8.88671875" style="2074"/>
    <col min="5379" max="5381" width="12.88671875" style="2074" customWidth="1"/>
    <col min="5382" max="5382" width="47.44140625" style="2074" customWidth="1"/>
    <col min="5383" max="5383" width="13" style="2074" customWidth="1"/>
    <col min="5384" max="5385" width="8.88671875" style="2074"/>
    <col min="5386" max="5386" width="5.77734375" style="2074" customWidth="1"/>
    <col min="5387" max="5387" width="11.77734375" style="2074" customWidth="1"/>
    <col min="5388" max="5389" width="10.77734375" style="2074" customWidth="1"/>
    <col min="5390" max="5390" width="10" style="2074" customWidth="1"/>
    <col min="5391" max="5392" width="10.44140625" style="2074" customWidth="1"/>
    <col min="5393" max="5393" width="10" style="2074" customWidth="1"/>
    <col min="5394" max="5394" width="10.109375" style="2074" customWidth="1"/>
    <col min="5395" max="5395" width="10" style="2074" customWidth="1"/>
    <col min="5396" max="5396" width="26.109375" style="2074" customWidth="1"/>
    <col min="5397" max="5632" width="8.88671875" style="2074"/>
    <col min="5633" max="5633" width="9.44140625" style="2074" customWidth="1"/>
    <col min="5634" max="5634" width="8.88671875" style="2074"/>
    <col min="5635" max="5637" width="12.88671875" style="2074" customWidth="1"/>
    <col min="5638" max="5638" width="47.44140625" style="2074" customWidth="1"/>
    <col min="5639" max="5639" width="13" style="2074" customWidth="1"/>
    <col min="5640" max="5641" width="8.88671875" style="2074"/>
    <col min="5642" max="5642" width="5.77734375" style="2074" customWidth="1"/>
    <col min="5643" max="5643" width="11.77734375" style="2074" customWidth="1"/>
    <col min="5644" max="5645" width="10.77734375" style="2074" customWidth="1"/>
    <col min="5646" max="5646" width="10" style="2074" customWidth="1"/>
    <col min="5647" max="5648" width="10.44140625" style="2074" customWidth="1"/>
    <col min="5649" max="5649" width="10" style="2074" customWidth="1"/>
    <col min="5650" max="5650" width="10.109375" style="2074" customWidth="1"/>
    <col min="5651" max="5651" width="10" style="2074" customWidth="1"/>
    <col min="5652" max="5652" width="26.109375" style="2074" customWidth="1"/>
    <col min="5653" max="5888" width="8.88671875" style="2074"/>
    <col min="5889" max="5889" width="9.44140625" style="2074" customWidth="1"/>
    <col min="5890" max="5890" width="8.88671875" style="2074"/>
    <col min="5891" max="5893" width="12.88671875" style="2074" customWidth="1"/>
    <col min="5894" max="5894" width="47.44140625" style="2074" customWidth="1"/>
    <col min="5895" max="5895" width="13" style="2074" customWidth="1"/>
    <col min="5896" max="5897" width="8.88671875" style="2074"/>
    <col min="5898" max="5898" width="5.77734375" style="2074" customWidth="1"/>
    <col min="5899" max="5899" width="11.77734375" style="2074" customWidth="1"/>
    <col min="5900" max="5901" width="10.77734375" style="2074" customWidth="1"/>
    <col min="5902" max="5902" width="10" style="2074" customWidth="1"/>
    <col min="5903" max="5904" width="10.44140625" style="2074" customWidth="1"/>
    <col min="5905" max="5905" width="10" style="2074" customWidth="1"/>
    <col min="5906" max="5906" width="10.109375" style="2074" customWidth="1"/>
    <col min="5907" max="5907" width="10" style="2074" customWidth="1"/>
    <col min="5908" max="5908" width="26.109375" style="2074" customWidth="1"/>
    <col min="5909" max="6144" width="8.88671875" style="2074"/>
    <col min="6145" max="6145" width="9.44140625" style="2074" customWidth="1"/>
    <col min="6146" max="6146" width="8.88671875" style="2074"/>
    <col min="6147" max="6149" width="12.88671875" style="2074" customWidth="1"/>
    <col min="6150" max="6150" width="47.44140625" style="2074" customWidth="1"/>
    <col min="6151" max="6151" width="13" style="2074" customWidth="1"/>
    <col min="6152" max="6153" width="8.88671875" style="2074"/>
    <col min="6154" max="6154" width="5.77734375" style="2074" customWidth="1"/>
    <col min="6155" max="6155" width="11.77734375" style="2074" customWidth="1"/>
    <col min="6156" max="6157" width="10.77734375" style="2074" customWidth="1"/>
    <col min="6158" max="6158" width="10" style="2074" customWidth="1"/>
    <col min="6159" max="6160" width="10.44140625" style="2074" customWidth="1"/>
    <col min="6161" max="6161" width="10" style="2074" customWidth="1"/>
    <col min="6162" max="6162" width="10.109375" style="2074" customWidth="1"/>
    <col min="6163" max="6163" width="10" style="2074" customWidth="1"/>
    <col min="6164" max="6164" width="26.109375" style="2074" customWidth="1"/>
    <col min="6165" max="6400" width="8.88671875" style="2074"/>
    <col min="6401" max="6401" width="9.44140625" style="2074" customWidth="1"/>
    <col min="6402" max="6402" width="8.88671875" style="2074"/>
    <col min="6403" max="6405" width="12.88671875" style="2074" customWidth="1"/>
    <col min="6406" max="6406" width="47.44140625" style="2074" customWidth="1"/>
    <col min="6407" max="6407" width="13" style="2074" customWidth="1"/>
    <col min="6408" max="6409" width="8.88671875" style="2074"/>
    <col min="6410" max="6410" width="5.77734375" style="2074" customWidth="1"/>
    <col min="6411" max="6411" width="11.77734375" style="2074" customWidth="1"/>
    <col min="6412" max="6413" width="10.77734375" style="2074" customWidth="1"/>
    <col min="6414" max="6414" width="10" style="2074" customWidth="1"/>
    <col min="6415" max="6416" width="10.44140625" style="2074" customWidth="1"/>
    <col min="6417" max="6417" width="10" style="2074" customWidth="1"/>
    <col min="6418" max="6418" width="10.109375" style="2074" customWidth="1"/>
    <col min="6419" max="6419" width="10" style="2074" customWidth="1"/>
    <col min="6420" max="6420" width="26.109375" style="2074" customWidth="1"/>
    <col min="6421" max="6656" width="8.88671875" style="2074"/>
    <col min="6657" max="6657" width="9.44140625" style="2074" customWidth="1"/>
    <col min="6658" max="6658" width="8.88671875" style="2074"/>
    <col min="6659" max="6661" width="12.88671875" style="2074" customWidth="1"/>
    <col min="6662" max="6662" width="47.44140625" style="2074" customWidth="1"/>
    <col min="6663" max="6663" width="13" style="2074" customWidth="1"/>
    <col min="6664" max="6665" width="8.88671875" style="2074"/>
    <col min="6666" max="6666" width="5.77734375" style="2074" customWidth="1"/>
    <col min="6667" max="6667" width="11.77734375" style="2074" customWidth="1"/>
    <col min="6668" max="6669" width="10.77734375" style="2074" customWidth="1"/>
    <col min="6670" max="6670" width="10" style="2074" customWidth="1"/>
    <col min="6671" max="6672" width="10.44140625" style="2074" customWidth="1"/>
    <col min="6673" max="6673" width="10" style="2074" customWidth="1"/>
    <col min="6674" max="6674" width="10.109375" style="2074" customWidth="1"/>
    <col min="6675" max="6675" width="10" style="2074" customWidth="1"/>
    <col min="6676" max="6676" width="26.109375" style="2074" customWidth="1"/>
    <col min="6677" max="6912" width="8.88671875" style="2074"/>
    <col min="6913" max="6913" width="9.44140625" style="2074" customWidth="1"/>
    <col min="6914" max="6914" width="8.88671875" style="2074"/>
    <col min="6915" max="6917" width="12.88671875" style="2074" customWidth="1"/>
    <col min="6918" max="6918" width="47.44140625" style="2074" customWidth="1"/>
    <col min="6919" max="6919" width="13" style="2074" customWidth="1"/>
    <col min="6920" max="6921" width="8.88671875" style="2074"/>
    <col min="6922" max="6922" width="5.77734375" style="2074" customWidth="1"/>
    <col min="6923" max="6923" width="11.77734375" style="2074" customWidth="1"/>
    <col min="6924" max="6925" width="10.77734375" style="2074" customWidth="1"/>
    <col min="6926" max="6926" width="10" style="2074" customWidth="1"/>
    <col min="6927" max="6928" width="10.44140625" style="2074" customWidth="1"/>
    <col min="6929" max="6929" width="10" style="2074" customWidth="1"/>
    <col min="6930" max="6930" width="10.109375" style="2074" customWidth="1"/>
    <col min="6931" max="6931" width="10" style="2074" customWidth="1"/>
    <col min="6932" max="6932" width="26.109375" style="2074" customWidth="1"/>
    <col min="6933" max="7168" width="8.88671875" style="2074"/>
    <col min="7169" max="7169" width="9.44140625" style="2074" customWidth="1"/>
    <col min="7170" max="7170" width="8.88671875" style="2074"/>
    <col min="7171" max="7173" width="12.88671875" style="2074" customWidth="1"/>
    <col min="7174" max="7174" width="47.44140625" style="2074" customWidth="1"/>
    <col min="7175" max="7175" width="13" style="2074" customWidth="1"/>
    <col min="7176" max="7177" width="8.88671875" style="2074"/>
    <col min="7178" max="7178" width="5.77734375" style="2074" customWidth="1"/>
    <col min="7179" max="7179" width="11.77734375" style="2074" customWidth="1"/>
    <col min="7180" max="7181" width="10.77734375" style="2074" customWidth="1"/>
    <col min="7182" max="7182" width="10" style="2074" customWidth="1"/>
    <col min="7183" max="7184" width="10.44140625" style="2074" customWidth="1"/>
    <col min="7185" max="7185" width="10" style="2074" customWidth="1"/>
    <col min="7186" max="7186" width="10.109375" style="2074" customWidth="1"/>
    <col min="7187" max="7187" width="10" style="2074" customWidth="1"/>
    <col min="7188" max="7188" width="26.109375" style="2074" customWidth="1"/>
    <col min="7189" max="7424" width="8.88671875" style="2074"/>
    <col min="7425" max="7425" width="9.44140625" style="2074" customWidth="1"/>
    <col min="7426" max="7426" width="8.88671875" style="2074"/>
    <col min="7427" max="7429" width="12.88671875" style="2074" customWidth="1"/>
    <col min="7430" max="7430" width="47.44140625" style="2074" customWidth="1"/>
    <col min="7431" max="7431" width="13" style="2074" customWidth="1"/>
    <col min="7432" max="7433" width="8.88671875" style="2074"/>
    <col min="7434" max="7434" width="5.77734375" style="2074" customWidth="1"/>
    <col min="7435" max="7435" width="11.77734375" style="2074" customWidth="1"/>
    <col min="7436" max="7437" width="10.77734375" style="2074" customWidth="1"/>
    <col min="7438" max="7438" width="10" style="2074" customWidth="1"/>
    <col min="7439" max="7440" width="10.44140625" style="2074" customWidth="1"/>
    <col min="7441" max="7441" width="10" style="2074" customWidth="1"/>
    <col min="7442" max="7442" width="10.109375" style="2074" customWidth="1"/>
    <col min="7443" max="7443" width="10" style="2074" customWidth="1"/>
    <col min="7444" max="7444" width="26.109375" style="2074" customWidth="1"/>
    <col min="7445" max="7680" width="8.88671875" style="2074"/>
    <col min="7681" max="7681" width="9.44140625" style="2074" customWidth="1"/>
    <col min="7682" max="7682" width="8.88671875" style="2074"/>
    <col min="7683" max="7685" width="12.88671875" style="2074" customWidth="1"/>
    <col min="7686" max="7686" width="47.44140625" style="2074" customWidth="1"/>
    <col min="7687" max="7687" width="13" style="2074" customWidth="1"/>
    <col min="7688" max="7689" width="8.88671875" style="2074"/>
    <col min="7690" max="7690" width="5.77734375" style="2074" customWidth="1"/>
    <col min="7691" max="7691" width="11.77734375" style="2074" customWidth="1"/>
    <col min="7692" max="7693" width="10.77734375" style="2074" customWidth="1"/>
    <col min="7694" max="7694" width="10" style="2074" customWidth="1"/>
    <col min="7695" max="7696" width="10.44140625" style="2074" customWidth="1"/>
    <col min="7697" max="7697" width="10" style="2074" customWidth="1"/>
    <col min="7698" max="7698" width="10.109375" style="2074" customWidth="1"/>
    <col min="7699" max="7699" width="10" style="2074" customWidth="1"/>
    <col min="7700" max="7700" width="26.109375" style="2074" customWidth="1"/>
    <col min="7701" max="7936" width="8.88671875" style="2074"/>
    <col min="7937" max="7937" width="9.44140625" style="2074" customWidth="1"/>
    <col min="7938" max="7938" width="8.88671875" style="2074"/>
    <col min="7939" max="7941" width="12.88671875" style="2074" customWidth="1"/>
    <col min="7942" max="7942" width="47.44140625" style="2074" customWidth="1"/>
    <col min="7943" max="7943" width="13" style="2074" customWidth="1"/>
    <col min="7944" max="7945" width="8.88671875" style="2074"/>
    <col min="7946" max="7946" width="5.77734375" style="2074" customWidth="1"/>
    <col min="7947" max="7947" width="11.77734375" style="2074" customWidth="1"/>
    <col min="7948" max="7949" width="10.77734375" style="2074" customWidth="1"/>
    <col min="7950" max="7950" width="10" style="2074" customWidth="1"/>
    <col min="7951" max="7952" width="10.44140625" style="2074" customWidth="1"/>
    <col min="7953" max="7953" width="10" style="2074" customWidth="1"/>
    <col min="7954" max="7954" width="10.109375" style="2074" customWidth="1"/>
    <col min="7955" max="7955" width="10" style="2074" customWidth="1"/>
    <col min="7956" max="7956" width="26.109375" style="2074" customWidth="1"/>
    <col min="7957" max="8192" width="8.88671875" style="2074"/>
    <col min="8193" max="8193" width="9.44140625" style="2074" customWidth="1"/>
    <col min="8194" max="8194" width="8.88671875" style="2074"/>
    <col min="8195" max="8197" width="12.88671875" style="2074" customWidth="1"/>
    <col min="8198" max="8198" width="47.44140625" style="2074" customWidth="1"/>
    <col min="8199" max="8199" width="13" style="2074" customWidth="1"/>
    <col min="8200" max="8201" width="8.88671875" style="2074"/>
    <col min="8202" max="8202" width="5.77734375" style="2074" customWidth="1"/>
    <col min="8203" max="8203" width="11.77734375" style="2074" customWidth="1"/>
    <col min="8204" max="8205" width="10.77734375" style="2074" customWidth="1"/>
    <col min="8206" max="8206" width="10" style="2074" customWidth="1"/>
    <col min="8207" max="8208" width="10.44140625" style="2074" customWidth="1"/>
    <col min="8209" max="8209" width="10" style="2074" customWidth="1"/>
    <col min="8210" max="8210" width="10.109375" style="2074" customWidth="1"/>
    <col min="8211" max="8211" width="10" style="2074" customWidth="1"/>
    <col min="8212" max="8212" width="26.109375" style="2074" customWidth="1"/>
    <col min="8213" max="8448" width="8.88671875" style="2074"/>
    <col min="8449" max="8449" width="9.44140625" style="2074" customWidth="1"/>
    <col min="8450" max="8450" width="8.88671875" style="2074"/>
    <col min="8451" max="8453" width="12.88671875" style="2074" customWidth="1"/>
    <col min="8454" max="8454" width="47.44140625" style="2074" customWidth="1"/>
    <col min="8455" max="8455" width="13" style="2074" customWidth="1"/>
    <col min="8456" max="8457" width="8.88671875" style="2074"/>
    <col min="8458" max="8458" width="5.77734375" style="2074" customWidth="1"/>
    <col min="8459" max="8459" width="11.77734375" style="2074" customWidth="1"/>
    <col min="8460" max="8461" width="10.77734375" style="2074" customWidth="1"/>
    <col min="8462" max="8462" width="10" style="2074" customWidth="1"/>
    <col min="8463" max="8464" width="10.44140625" style="2074" customWidth="1"/>
    <col min="8465" max="8465" width="10" style="2074" customWidth="1"/>
    <col min="8466" max="8466" width="10.109375" style="2074" customWidth="1"/>
    <col min="8467" max="8467" width="10" style="2074" customWidth="1"/>
    <col min="8468" max="8468" width="26.109375" style="2074" customWidth="1"/>
    <col min="8469" max="8704" width="8.88671875" style="2074"/>
    <col min="8705" max="8705" width="9.44140625" style="2074" customWidth="1"/>
    <col min="8706" max="8706" width="8.88671875" style="2074"/>
    <col min="8707" max="8709" width="12.88671875" style="2074" customWidth="1"/>
    <col min="8710" max="8710" width="47.44140625" style="2074" customWidth="1"/>
    <col min="8711" max="8711" width="13" style="2074" customWidth="1"/>
    <col min="8712" max="8713" width="8.88671875" style="2074"/>
    <col min="8714" max="8714" width="5.77734375" style="2074" customWidth="1"/>
    <col min="8715" max="8715" width="11.77734375" style="2074" customWidth="1"/>
    <col min="8716" max="8717" width="10.77734375" style="2074" customWidth="1"/>
    <col min="8718" max="8718" width="10" style="2074" customWidth="1"/>
    <col min="8719" max="8720" width="10.44140625" style="2074" customWidth="1"/>
    <col min="8721" max="8721" width="10" style="2074" customWidth="1"/>
    <col min="8722" max="8722" width="10.109375" style="2074" customWidth="1"/>
    <col min="8723" max="8723" width="10" style="2074" customWidth="1"/>
    <col min="8724" max="8724" width="26.109375" style="2074" customWidth="1"/>
    <col min="8725" max="8960" width="8.88671875" style="2074"/>
    <col min="8961" max="8961" width="9.44140625" style="2074" customWidth="1"/>
    <col min="8962" max="8962" width="8.88671875" style="2074"/>
    <col min="8963" max="8965" width="12.88671875" style="2074" customWidth="1"/>
    <col min="8966" max="8966" width="47.44140625" style="2074" customWidth="1"/>
    <col min="8967" max="8967" width="13" style="2074" customWidth="1"/>
    <col min="8968" max="8969" width="8.88671875" style="2074"/>
    <col min="8970" max="8970" width="5.77734375" style="2074" customWidth="1"/>
    <col min="8971" max="8971" width="11.77734375" style="2074" customWidth="1"/>
    <col min="8972" max="8973" width="10.77734375" style="2074" customWidth="1"/>
    <col min="8974" max="8974" width="10" style="2074" customWidth="1"/>
    <col min="8975" max="8976" width="10.44140625" style="2074" customWidth="1"/>
    <col min="8977" max="8977" width="10" style="2074" customWidth="1"/>
    <col min="8978" max="8978" width="10.109375" style="2074" customWidth="1"/>
    <col min="8979" max="8979" width="10" style="2074" customWidth="1"/>
    <col min="8980" max="8980" width="26.109375" style="2074" customWidth="1"/>
    <col min="8981" max="9216" width="8.88671875" style="2074"/>
    <col min="9217" max="9217" width="9.44140625" style="2074" customWidth="1"/>
    <col min="9218" max="9218" width="8.88671875" style="2074"/>
    <col min="9219" max="9221" width="12.88671875" style="2074" customWidth="1"/>
    <col min="9222" max="9222" width="47.44140625" style="2074" customWidth="1"/>
    <col min="9223" max="9223" width="13" style="2074" customWidth="1"/>
    <col min="9224" max="9225" width="8.88671875" style="2074"/>
    <col min="9226" max="9226" width="5.77734375" style="2074" customWidth="1"/>
    <col min="9227" max="9227" width="11.77734375" style="2074" customWidth="1"/>
    <col min="9228" max="9229" width="10.77734375" style="2074" customWidth="1"/>
    <col min="9230" max="9230" width="10" style="2074" customWidth="1"/>
    <col min="9231" max="9232" width="10.44140625" style="2074" customWidth="1"/>
    <col min="9233" max="9233" width="10" style="2074" customWidth="1"/>
    <col min="9234" max="9234" width="10.109375" style="2074" customWidth="1"/>
    <col min="9235" max="9235" width="10" style="2074" customWidth="1"/>
    <col min="9236" max="9236" width="26.109375" style="2074" customWidth="1"/>
    <col min="9237" max="9472" width="8.88671875" style="2074"/>
    <col min="9473" max="9473" width="9.44140625" style="2074" customWidth="1"/>
    <col min="9474" max="9474" width="8.88671875" style="2074"/>
    <col min="9475" max="9477" width="12.88671875" style="2074" customWidth="1"/>
    <col min="9478" max="9478" width="47.44140625" style="2074" customWidth="1"/>
    <col min="9479" max="9479" width="13" style="2074" customWidth="1"/>
    <col min="9480" max="9481" width="8.88671875" style="2074"/>
    <col min="9482" max="9482" width="5.77734375" style="2074" customWidth="1"/>
    <col min="9483" max="9483" width="11.77734375" style="2074" customWidth="1"/>
    <col min="9484" max="9485" width="10.77734375" style="2074" customWidth="1"/>
    <col min="9486" max="9486" width="10" style="2074" customWidth="1"/>
    <col min="9487" max="9488" width="10.44140625" style="2074" customWidth="1"/>
    <col min="9489" max="9489" width="10" style="2074" customWidth="1"/>
    <col min="9490" max="9490" width="10.109375" style="2074" customWidth="1"/>
    <col min="9491" max="9491" width="10" style="2074" customWidth="1"/>
    <col min="9492" max="9492" width="26.109375" style="2074" customWidth="1"/>
    <col min="9493" max="9728" width="8.88671875" style="2074"/>
    <col min="9729" max="9729" width="9.44140625" style="2074" customWidth="1"/>
    <col min="9730" max="9730" width="8.88671875" style="2074"/>
    <col min="9731" max="9733" width="12.88671875" style="2074" customWidth="1"/>
    <col min="9734" max="9734" width="47.44140625" style="2074" customWidth="1"/>
    <col min="9735" max="9735" width="13" style="2074" customWidth="1"/>
    <col min="9736" max="9737" width="8.88671875" style="2074"/>
    <col min="9738" max="9738" width="5.77734375" style="2074" customWidth="1"/>
    <col min="9739" max="9739" width="11.77734375" style="2074" customWidth="1"/>
    <col min="9740" max="9741" width="10.77734375" style="2074" customWidth="1"/>
    <col min="9742" max="9742" width="10" style="2074" customWidth="1"/>
    <col min="9743" max="9744" width="10.44140625" style="2074" customWidth="1"/>
    <col min="9745" max="9745" width="10" style="2074" customWidth="1"/>
    <col min="9746" max="9746" width="10.109375" style="2074" customWidth="1"/>
    <col min="9747" max="9747" width="10" style="2074" customWidth="1"/>
    <col min="9748" max="9748" width="26.109375" style="2074" customWidth="1"/>
    <col min="9749" max="9984" width="8.88671875" style="2074"/>
    <col min="9985" max="9985" width="9.44140625" style="2074" customWidth="1"/>
    <col min="9986" max="9986" width="8.88671875" style="2074"/>
    <col min="9987" max="9989" width="12.88671875" style="2074" customWidth="1"/>
    <col min="9990" max="9990" width="47.44140625" style="2074" customWidth="1"/>
    <col min="9991" max="9991" width="13" style="2074" customWidth="1"/>
    <col min="9992" max="9993" width="8.88671875" style="2074"/>
    <col min="9994" max="9994" width="5.77734375" style="2074" customWidth="1"/>
    <col min="9995" max="9995" width="11.77734375" style="2074" customWidth="1"/>
    <col min="9996" max="9997" width="10.77734375" style="2074" customWidth="1"/>
    <col min="9998" max="9998" width="10" style="2074" customWidth="1"/>
    <col min="9999" max="10000" width="10.44140625" style="2074" customWidth="1"/>
    <col min="10001" max="10001" width="10" style="2074" customWidth="1"/>
    <col min="10002" max="10002" width="10.109375" style="2074" customWidth="1"/>
    <col min="10003" max="10003" width="10" style="2074" customWidth="1"/>
    <col min="10004" max="10004" width="26.109375" style="2074" customWidth="1"/>
    <col min="10005" max="10240" width="8.88671875" style="2074"/>
    <col min="10241" max="10241" width="9.44140625" style="2074" customWidth="1"/>
    <col min="10242" max="10242" width="8.88671875" style="2074"/>
    <col min="10243" max="10245" width="12.88671875" style="2074" customWidth="1"/>
    <col min="10246" max="10246" width="47.44140625" style="2074" customWidth="1"/>
    <col min="10247" max="10247" width="13" style="2074" customWidth="1"/>
    <col min="10248" max="10249" width="8.88671875" style="2074"/>
    <col min="10250" max="10250" width="5.77734375" style="2074" customWidth="1"/>
    <col min="10251" max="10251" width="11.77734375" style="2074" customWidth="1"/>
    <col min="10252" max="10253" width="10.77734375" style="2074" customWidth="1"/>
    <col min="10254" max="10254" width="10" style="2074" customWidth="1"/>
    <col min="10255" max="10256" width="10.44140625" style="2074" customWidth="1"/>
    <col min="10257" max="10257" width="10" style="2074" customWidth="1"/>
    <col min="10258" max="10258" width="10.109375" style="2074" customWidth="1"/>
    <col min="10259" max="10259" width="10" style="2074" customWidth="1"/>
    <col min="10260" max="10260" width="26.109375" style="2074" customWidth="1"/>
    <col min="10261" max="10496" width="8.88671875" style="2074"/>
    <col min="10497" max="10497" width="9.44140625" style="2074" customWidth="1"/>
    <col min="10498" max="10498" width="8.88671875" style="2074"/>
    <col min="10499" max="10501" width="12.88671875" style="2074" customWidth="1"/>
    <col min="10502" max="10502" width="47.44140625" style="2074" customWidth="1"/>
    <col min="10503" max="10503" width="13" style="2074" customWidth="1"/>
    <col min="10504" max="10505" width="8.88671875" style="2074"/>
    <col min="10506" max="10506" width="5.77734375" style="2074" customWidth="1"/>
    <col min="10507" max="10507" width="11.77734375" style="2074" customWidth="1"/>
    <col min="10508" max="10509" width="10.77734375" style="2074" customWidth="1"/>
    <col min="10510" max="10510" width="10" style="2074" customWidth="1"/>
    <col min="10511" max="10512" width="10.44140625" style="2074" customWidth="1"/>
    <col min="10513" max="10513" width="10" style="2074" customWidth="1"/>
    <col min="10514" max="10514" width="10.109375" style="2074" customWidth="1"/>
    <col min="10515" max="10515" width="10" style="2074" customWidth="1"/>
    <col min="10516" max="10516" width="26.109375" style="2074" customWidth="1"/>
    <col min="10517" max="10752" width="8.88671875" style="2074"/>
    <col min="10753" max="10753" width="9.44140625" style="2074" customWidth="1"/>
    <col min="10754" max="10754" width="8.88671875" style="2074"/>
    <col min="10755" max="10757" width="12.88671875" style="2074" customWidth="1"/>
    <col min="10758" max="10758" width="47.44140625" style="2074" customWidth="1"/>
    <col min="10759" max="10759" width="13" style="2074" customWidth="1"/>
    <col min="10760" max="10761" width="8.88671875" style="2074"/>
    <col min="10762" max="10762" width="5.77734375" style="2074" customWidth="1"/>
    <col min="10763" max="10763" width="11.77734375" style="2074" customWidth="1"/>
    <col min="10764" max="10765" width="10.77734375" style="2074" customWidth="1"/>
    <col min="10766" max="10766" width="10" style="2074" customWidth="1"/>
    <col min="10767" max="10768" width="10.44140625" style="2074" customWidth="1"/>
    <col min="10769" max="10769" width="10" style="2074" customWidth="1"/>
    <col min="10770" max="10770" width="10.109375" style="2074" customWidth="1"/>
    <col min="10771" max="10771" width="10" style="2074" customWidth="1"/>
    <col min="10772" max="10772" width="26.109375" style="2074" customWidth="1"/>
    <col min="10773" max="11008" width="8.88671875" style="2074"/>
    <col min="11009" max="11009" width="9.44140625" style="2074" customWidth="1"/>
    <col min="11010" max="11010" width="8.88671875" style="2074"/>
    <col min="11011" max="11013" width="12.88671875" style="2074" customWidth="1"/>
    <col min="11014" max="11014" width="47.44140625" style="2074" customWidth="1"/>
    <col min="11015" max="11015" width="13" style="2074" customWidth="1"/>
    <col min="11016" max="11017" width="8.88671875" style="2074"/>
    <col min="11018" max="11018" width="5.77734375" style="2074" customWidth="1"/>
    <col min="11019" max="11019" width="11.77734375" style="2074" customWidth="1"/>
    <col min="11020" max="11021" width="10.77734375" style="2074" customWidth="1"/>
    <col min="11022" max="11022" width="10" style="2074" customWidth="1"/>
    <col min="11023" max="11024" width="10.44140625" style="2074" customWidth="1"/>
    <col min="11025" max="11025" width="10" style="2074" customWidth="1"/>
    <col min="11026" max="11026" width="10.109375" style="2074" customWidth="1"/>
    <col min="11027" max="11027" width="10" style="2074" customWidth="1"/>
    <col min="11028" max="11028" width="26.109375" style="2074" customWidth="1"/>
    <col min="11029" max="11264" width="8.88671875" style="2074"/>
    <col min="11265" max="11265" width="9.44140625" style="2074" customWidth="1"/>
    <col min="11266" max="11266" width="8.88671875" style="2074"/>
    <col min="11267" max="11269" width="12.88671875" style="2074" customWidth="1"/>
    <col min="11270" max="11270" width="47.44140625" style="2074" customWidth="1"/>
    <col min="11271" max="11271" width="13" style="2074" customWidth="1"/>
    <col min="11272" max="11273" width="8.88671875" style="2074"/>
    <col min="11274" max="11274" width="5.77734375" style="2074" customWidth="1"/>
    <col min="11275" max="11275" width="11.77734375" style="2074" customWidth="1"/>
    <col min="11276" max="11277" width="10.77734375" style="2074" customWidth="1"/>
    <col min="11278" max="11278" width="10" style="2074" customWidth="1"/>
    <col min="11279" max="11280" width="10.44140625" style="2074" customWidth="1"/>
    <col min="11281" max="11281" width="10" style="2074" customWidth="1"/>
    <col min="11282" max="11282" width="10.109375" style="2074" customWidth="1"/>
    <col min="11283" max="11283" width="10" style="2074" customWidth="1"/>
    <col min="11284" max="11284" width="26.109375" style="2074" customWidth="1"/>
    <col min="11285" max="11520" width="8.88671875" style="2074"/>
    <col min="11521" max="11521" width="9.44140625" style="2074" customWidth="1"/>
    <col min="11522" max="11522" width="8.88671875" style="2074"/>
    <col min="11523" max="11525" width="12.88671875" style="2074" customWidth="1"/>
    <col min="11526" max="11526" width="47.44140625" style="2074" customWidth="1"/>
    <col min="11527" max="11527" width="13" style="2074" customWidth="1"/>
    <col min="11528" max="11529" width="8.88671875" style="2074"/>
    <col min="11530" max="11530" width="5.77734375" style="2074" customWidth="1"/>
    <col min="11531" max="11531" width="11.77734375" style="2074" customWidth="1"/>
    <col min="11532" max="11533" width="10.77734375" style="2074" customWidth="1"/>
    <col min="11534" max="11534" width="10" style="2074" customWidth="1"/>
    <col min="11535" max="11536" width="10.44140625" style="2074" customWidth="1"/>
    <col min="11537" max="11537" width="10" style="2074" customWidth="1"/>
    <col min="11538" max="11538" width="10.109375" style="2074" customWidth="1"/>
    <col min="11539" max="11539" width="10" style="2074" customWidth="1"/>
    <col min="11540" max="11540" width="26.109375" style="2074" customWidth="1"/>
    <col min="11541" max="11776" width="8.88671875" style="2074"/>
    <col min="11777" max="11777" width="9.44140625" style="2074" customWidth="1"/>
    <col min="11778" max="11778" width="8.88671875" style="2074"/>
    <col min="11779" max="11781" width="12.88671875" style="2074" customWidth="1"/>
    <col min="11782" max="11782" width="47.44140625" style="2074" customWidth="1"/>
    <col min="11783" max="11783" width="13" style="2074" customWidth="1"/>
    <col min="11784" max="11785" width="8.88671875" style="2074"/>
    <col min="11786" max="11786" width="5.77734375" style="2074" customWidth="1"/>
    <col min="11787" max="11787" width="11.77734375" style="2074" customWidth="1"/>
    <col min="11788" max="11789" width="10.77734375" style="2074" customWidth="1"/>
    <col min="11790" max="11790" width="10" style="2074" customWidth="1"/>
    <col min="11791" max="11792" width="10.44140625" style="2074" customWidth="1"/>
    <col min="11793" max="11793" width="10" style="2074" customWidth="1"/>
    <col min="11794" max="11794" width="10.109375" style="2074" customWidth="1"/>
    <col min="11795" max="11795" width="10" style="2074" customWidth="1"/>
    <col min="11796" max="11796" width="26.109375" style="2074" customWidth="1"/>
    <col min="11797" max="12032" width="8.88671875" style="2074"/>
    <col min="12033" max="12033" width="9.44140625" style="2074" customWidth="1"/>
    <col min="12034" max="12034" width="8.88671875" style="2074"/>
    <col min="12035" max="12037" width="12.88671875" style="2074" customWidth="1"/>
    <col min="12038" max="12038" width="47.44140625" style="2074" customWidth="1"/>
    <col min="12039" max="12039" width="13" style="2074" customWidth="1"/>
    <col min="12040" max="12041" width="8.88671875" style="2074"/>
    <col min="12042" max="12042" width="5.77734375" style="2074" customWidth="1"/>
    <col min="12043" max="12043" width="11.77734375" style="2074" customWidth="1"/>
    <col min="12044" max="12045" width="10.77734375" style="2074" customWidth="1"/>
    <col min="12046" max="12046" width="10" style="2074" customWidth="1"/>
    <col min="12047" max="12048" width="10.44140625" style="2074" customWidth="1"/>
    <col min="12049" max="12049" width="10" style="2074" customWidth="1"/>
    <col min="12050" max="12050" width="10.109375" style="2074" customWidth="1"/>
    <col min="12051" max="12051" width="10" style="2074" customWidth="1"/>
    <col min="12052" max="12052" width="26.109375" style="2074" customWidth="1"/>
    <col min="12053" max="12288" width="8.88671875" style="2074"/>
    <col min="12289" max="12289" width="9.44140625" style="2074" customWidth="1"/>
    <col min="12290" max="12290" width="8.88671875" style="2074"/>
    <col min="12291" max="12293" width="12.88671875" style="2074" customWidth="1"/>
    <col min="12294" max="12294" width="47.44140625" style="2074" customWidth="1"/>
    <col min="12295" max="12295" width="13" style="2074" customWidth="1"/>
    <col min="12296" max="12297" width="8.88671875" style="2074"/>
    <col min="12298" max="12298" width="5.77734375" style="2074" customWidth="1"/>
    <col min="12299" max="12299" width="11.77734375" style="2074" customWidth="1"/>
    <col min="12300" max="12301" width="10.77734375" style="2074" customWidth="1"/>
    <col min="12302" max="12302" width="10" style="2074" customWidth="1"/>
    <col min="12303" max="12304" width="10.44140625" style="2074" customWidth="1"/>
    <col min="12305" max="12305" width="10" style="2074" customWidth="1"/>
    <col min="12306" max="12306" width="10.109375" style="2074" customWidth="1"/>
    <col min="12307" max="12307" width="10" style="2074" customWidth="1"/>
    <col min="12308" max="12308" width="26.109375" style="2074" customWidth="1"/>
    <col min="12309" max="12544" width="8.88671875" style="2074"/>
    <col min="12545" max="12545" width="9.44140625" style="2074" customWidth="1"/>
    <col min="12546" max="12546" width="8.88671875" style="2074"/>
    <col min="12547" max="12549" width="12.88671875" style="2074" customWidth="1"/>
    <col min="12550" max="12550" width="47.44140625" style="2074" customWidth="1"/>
    <col min="12551" max="12551" width="13" style="2074" customWidth="1"/>
    <col min="12552" max="12553" width="8.88671875" style="2074"/>
    <col min="12554" max="12554" width="5.77734375" style="2074" customWidth="1"/>
    <col min="12555" max="12555" width="11.77734375" style="2074" customWidth="1"/>
    <col min="12556" max="12557" width="10.77734375" style="2074" customWidth="1"/>
    <col min="12558" max="12558" width="10" style="2074" customWidth="1"/>
    <col min="12559" max="12560" width="10.44140625" style="2074" customWidth="1"/>
    <col min="12561" max="12561" width="10" style="2074" customWidth="1"/>
    <col min="12562" max="12562" width="10.109375" style="2074" customWidth="1"/>
    <col min="12563" max="12563" width="10" style="2074" customWidth="1"/>
    <col min="12564" max="12564" width="26.109375" style="2074" customWidth="1"/>
    <col min="12565" max="12800" width="8.88671875" style="2074"/>
    <col min="12801" max="12801" width="9.44140625" style="2074" customWidth="1"/>
    <col min="12802" max="12802" width="8.88671875" style="2074"/>
    <col min="12803" max="12805" width="12.88671875" style="2074" customWidth="1"/>
    <col min="12806" max="12806" width="47.44140625" style="2074" customWidth="1"/>
    <col min="12807" max="12807" width="13" style="2074" customWidth="1"/>
    <col min="12808" max="12809" width="8.88671875" style="2074"/>
    <col min="12810" max="12810" width="5.77734375" style="2074" customWidth="1"/>
    <col min="12811" max="12811" width="11.77734375" style="2074" customWidth="1"/>
    <col min="12812" max="12813" width="10.77734375" style="2074" customWidth="1"/>
    <col min="12814" max="12814" width="10" style="2074" customWidth="1"/>
    <col min="12815" max="12816" width="10.44140625" style="2074" customWidth="1"/>
    <col min="12817" max="12817" width="10" style="2074" customWidth="1"/>
    <col min="12818" max="12818" width="10.109375" style="2074" customWidth="1"/>
    <col min="12819" max="12819" width="10" style="2074" customWidth="1"/>
    <col min="12820" max="12820" width="26.109375" style="2074" customWidth="1"/>
    <col min="12821" max="13056" width="8.88671875" style="2074"/>
    <col min="13057" max="13057" width="9.44140625" style="2074" customWidth="1"/>
    <col min="13058" max="13058" width="8.88671875" style="2074"/>
    <col min="13059" max="13061" width="12.88671875" style="2074" customWidth="1"/>
    <col min="13062" max="13062" width="47.44140625" style="2074" customWidth="1"/>
    <col min="13063" max="13063" width="13" style="2074" customWidth="1"/>
    <col min="13064" max="13065" width="8.88671875" style="2074"/>
    <col min="13066" max="13066" width="5.77734375" style="2074" customWidth="1"/>
    <col min="13067" max="13067" width="11.77734375" style="2074" customWidth="1"/>
    <col min="13068" max="13069" width="10.77734375" style="2074" customWidth="1"/>
    <col min="13070" max="13070" width="10" style="2074" customWidth="1"/>
    <col min="13071" max="13072" width="10.44140625" style="2074" customWidth="1"/>
    <col min="13073" max="13073" width="10" style="2074" customWidth="1"/>
    <col min="13074" max="13074" width="10.109375" style="2074" customWidth="1"/>
    <col min="13075" max="13075" width="10" style="2074" customWidth="1"/>
    <col min="13076" max="13076" width="26.109375" style="2074" customWidth="1"/>
    <col min="13077" max="13312" width="8.88671875" style="2074"/>
    <col min="13313" max="13313" width="9.44140625" style="2074" customWidth="1"/>
    <col min="13314" max="13314" width="8.88671875" style="2074"/>
    <col min="13315" max="13317" width="12.88671875" style="2074" customWidth="1"/>
    <col min="13318" max="13318" width="47.44140625" style="2074" customWidth="1"/>
    <col min="13319" max="13319" width="13" style="2074" customWidth="1"/>
    <col min="13320" max="13321" width="8.88671875" style="2074"/>
    <col min="13322" max="13322" width="5.77734375" style="2074" customWidth="1"/>
    <col min="13323" max="13323" width="11.77734375" style="2074" customWidth="1"/>
    <col min="13324" max="13325" width="10.77734375" style="2074" customWidth="1"/>
    <col min="13326" max="13326" width="10" style="2074" customWidth="1"/>
    <col min="13327" max="13328" width="10.44140625" style="2074" customWidth="1"/>
    <col min="13329" max="13329" width="10" style="2074" customWidth="1"/>
    <col min="13330" max="13330" width="10.109375" style="2074" customWidth="1"/>
    <col min="13331" max="13331" width="10" style="2074" customWidth="1"/>
    <col min="13332" max="13332" width="26.109375" style="2074" customWidth="1"/>
    <col min="13333" max="13568" width="8.88671875" style="2074"/>
    <col min="13569" max="13569" width="9.44140625" style="2074" customWidth="1"/>
    <col min="13570" max="13570" width="8.88671875" style="2074"/>
    <col min="13571" max="13573" width="12.88671875" style="2074" customWidth="1"/>
    <col min="13574" max="13574" width="47.44140625" style="2074" customWidth="1"/>
    <col min="13575" max="13575" width="13" style="2074" customWidth="1"/>
    <col min="13576" max="13577" width="8.88671875" style="2074"/>
    <col min="13578" max="13578" width="5.77734375" style="2074" customWidth="1"/>
    <col min="13579" max="13579" width="11.77734375" style="2074" customWidth="1"/>
    <col min="13580" max="13581" width="10.77734375" style="2074" customWidth="1"/>
    <col min="13582" max="13582" width="10" style="2074" customWidth="1"/>
    <col min="13583" max="13584" width="10.44140625" style="2074" customWidth="1"/>
    <col min="13585" max="13585" width="10" style="2074" customWidth="1"/>
    <col min="13586" max="13586" width="10.109375" style="2074" customWidth="1"/>
    <col min="13587" max="13587" width="10" style="2074" customWidth="1"/>
    <col min="13588" max="13588" width="26.109375" style="2074" customWidth="1"/>
    <col min="13589" max="13824" width="8.88671875" style="2074"/>
    <col min="13825" max="13825" width="9.44140625" style="2074" customWidth="1"/>
    <col min="13826" max="13826" width="8.88671875" style="2074"/>
    <col min="13827" max="13829" width="12.88671875" style="2074" customWidth="1"/>
    <col min="13830" max="13830" width="47.44140625" style="2074" customWidth="1"/>
    <col min="13831" max="13831" width="13" style="2074" customWidth="1"/>
    <col min="13832" max="13833" width="8.88671875" style="2074"/>
    <col min="13834" max="13834" width="5.77734375" style="2074" customWidth="1"/>
    <col min="13835" max="13835" width="11.77734375" style="2074" customWidth="1"/>
    <col min="13836" max="13837" width="10.77734375" style="2074" customWidth="1"/>
    <col min="13838" max="13838" width="10" style="2074" customWidth="1"/>
    <col min="13839" max="13840" width="10.44140625" style="2074" customWidth="1"/>
    <col min="13841" max="13841" width="10" style="2074" customWidth="1"/>
    <col min="13842" max="13842" width="10.109375" style="2074" customWidth="1"/>
    <col min="13843" max="13843" width="10" style="2074" customWidth="1"/>
    <col min="13844" max="13844" width="26.109375" style="2074" customWidth="1"/>
    <col min="13845" max="14080" width="8.88671875" style="2074"/>
    <col min="14081" max="14081" width="9.44140625" style="2074" customWidth="1"/>
    <col min="14082" max="14082" width="8.88671875" style="2074"/>
    <col min="14083" max="14085" width="12.88671875" style="2074" customWidth="1"/>
    <col min="14086" max="14086" width="47.44140625" style="2074" customWidth="1"/>
    <col min="14087" max="14087" width="13" style="2074" customWidth="1"/>
    <col min="14088" max="14089" width="8.88671875" style="2074"/>
    <col min="14090" max="14090" width="5.77734375" style="2074" customWidth="1"/>
    <col min="14091" max="14091" width="11.77734375" style="2074" customWidth="1"/>
    <col min="14092" max="14093" width="10.77734375" style="2074" customWidth="1"/>
    <col min="14094" max="14094" width="10" style="2074" customWidth="1"/>
    <col min="14095" max="14096" width="10.44140625" style="2074" customWidth="1"/>
    <col min="14097" max="14097" width="10" style="2074" customWidth="1"/>
    <col min="14098" max="14098" width="10.109375" style="2074" customWidth="1"/>
    <col min="14099" max="14099" width="10" style="2074" customWidth="1"/>
    <col min="14100" max="14100" width="26.109375" style="2074" customWidth="1"/>
    <col min="14101" max="14336" width="8.88671875" style="2074"/>
    <col min="14337" max="14337" width="9.44140625" style="2074" customWidth="1"/>
    <col min="14338" max="14338" width="8.88671875" style="2074"/>
    <col min="14339" max="14341" width="12.88671875" style="2074" customWidth="1"/>
    <col min="14342" max="14342" width="47.44140625" style="2074" customWidth="1"/>
    <col min="14343" max="14343" width="13" style="2074" customWidth="1"/>
    <col min="14344" max="14345" width="8.88671875" style="2074"/>
    <col min="14346" max="14346" width="5.77734375" style="2074" customWidth="1"/>
    <col min="14347" max="14347" width="11.77734375" style="2074" customWidth="1"/>
    <col min="14348" max="14349" width="10.77734375" style="2074" customWidth="1"/>
    <col min="14350" max="14350" width="10" style="2074" customWidth="1"/>
    <col min="14351" max="14352" width="10.44140625" style="2074" customWidth="1"/>
    <col min="14353" max="14353" width="10" style="2074" customWidth="1"/>
    <col min="14354" max="14354" width="10.109375" style="2074" customWidth="1"/>
    <col min="14355" max="14355" width="10" style="2074" customWidth="1"/>
    <col min="14356" max="14356" width="26.109375" style="2074" customWidth="1"/>
    <col min="14357" max="14592" width="8.88671875" style="2074"/>
    <col min="14593" max="14593" width="9.44140625" style="2074" customWidth="1"/>
    <col min="14594" max="14594" width="8.88671875" style="2074"/>
    <col min="14595" max="14597" width="12.88671875" style="2074" customWidth="1"/>
    <col min="14598" max="14598" width="47.44140625" style="2074" customWidth="1"/>
    <col min="14599" max="14599" width="13" style="2074" customWidth="1"/>
    <col min="14600" max="14601" width="8.88671875" style="2074"/>
    <col min="14602" max="14602" width="5.77734375" style="2074" customWidth="1"/>
    <col min="14603" max="14603" width="11.77734375" style="2074" customWidth="1"/>
    <col min="14604" max="14605" width="10.77734375" style="2074" customWidth="1"/>
    <col min="14606" max="14606" width="10" style="2074" customWidth="1"/>
    <col min="14607" max="14608" width="10.44140625" style="2074" customWidth="1"/>
    <col min="14609" max="14609" width="10" style="2074" customWidth="1"/>
    <col min="14610" max="14610" width="10.109375" style="2074" customWidth="1"/>
    <col min="14611" max="14611" width="10" style="2074" customWidth="1"/>
    <col min="14612" max="14612" width="26.109375" style="2074" customWidth="1"/>
    <col min="14613" max="14848" width="8.88671875" style="2074"/>
    <col min="14849" max="14849" width="9.44140625" style="2074" customWidth="1"/>
    <col min="14850" max="14850" width="8.88671875" style="2074"/>
    <col min="14851" max="14853" width="12.88671875" style="2074" customWidth="1"/>
    <col min="14854" max="14854" width="47.44140625" style="2074" customWidth="1"/>
    <col min="14855" max="14855" width="13" style="2074" customWidth="1"/>
    <col min="14856" max="14857" width="8.88671875" style="2074"/>
    <col min="14858" max="14858" width="5.77734375" style="2074" customWidth="1"/>
    <col min="14859" max="14859" width="11.77734375" style="2074" customWidth="1"/>
    <col min="14860" max="14861" width="10.77734375" style="2074" customWidth="1"/>
    <col min="14862" max="14862" width="10" style="2074" customWidth="1"/>
    <col min="14863" max="14864" width="10.44140625" style="2074" customWidth="1"/>
    <col min="14865" max="14865" width="10" style="2074" customWidth="1"/>
    <col min="14866" max="14866" width="10.109375" style="2074" customWidth="1"/>
    <col min="14867" max="14867" width="10" style="2074" customWidth="1"/>
    <col min="14868" max="14868" width="26.109375" style="2074" customWidth="1"/>
    <col min="14869" max="15104" width="8.88671875" style="2074"/>
    <col min="15105" max="15105" width="9.44140625" style="2074" customWidth="1"/>
    <col min="15106" max="15106" width="8.88671875" style="2074"/>
    <col min="15107" max="15109" width="12.88671875" style="2074" customWidth="1"/>
    <col min="15110" max="15110" width="47.44140625" style="2074" customWidth="1"/>
    <col min="15111" max="15111" width="13" style="2074" customWidth="1"/>
    <col min="15112" max="15113" width="8.88671875" style="2074"/>
    <col min="15114" max="15114" width="5.77734375" style="2074" customWidth="1"/>
    <col min="15115" max="15115" width="11.77734375" style="2074" customWidth="1"/>
    <col min="15116" max="15117" width="10.77734375" style="2074" customWidth="1"/>
    <col min="15118" max="15118" width="10" style="2074" customWidth="1"/>
    <col min="15119" max="15120" width="10.44140625" style="2074" customWidth="1"/>
    <col min="15121" max="15121" width="10" style="2074" customWidth="1"/>
    <col min="15122" max="15122" width="10.109375" style="2074" customWidth="1"/>
    <col min="15123" max="15123" width="10" style="2074" customWidth="1"/>
    <col min="15124" max="15124" width="26.109375" style="2074" customWidth="1"/>
    <col min="15125" max="15360" width="8.88671875" style="2074"/>
    <col min="15361" max="15361" width="9.44140625" style="2074" customWidth="1"/>
    <col min="15362" max="15362" width="8.88671875" style="2074"/>
    <col min="15363" max="15365" width="12.88671875" style="2074" customWidth="1"/>
    <col min="15366" max="15366" width="47.44140625" style="2074" customWidth="1"/>
    <col min="15367" max="15367" width="13" style="2074" customWidth="1"/>
    <col min="15368" max="15369" width="8.88671875" style="2074"/>
    <col min="15370" max="15370" width="5.77734375" style="2074" customWidth="1"/>
    <col min="15371" max="15371" width="11.77734375" style="2074" customWidth="1"/>
    <col min="15372" max="15373" width="10.77734375" style="2074" customWidth="1"/>
    <col min="15374" max="15374" width="10" style="2074" customWidth="1"/>
    <col min="15375" max="15376" width="10.44140625" style="2074" customWidth="1"/>
    <col min="15377" max="15377" width="10" style="2074" customWidth="1"/>
    <col min="15378" max="15378" width="10.109375" style="2074" customWidth="1"/>
    <col min="15379" max="15379" width="10" style="2074" customWidth="1"/>
    <col min="15380" max="15380" width="26.109375" style="2074" customWidth="1"/>
    <col min="15381" max="15616" width="8.88671875" style="2074"/>
    <col min="15617" max="15617" width="9.44140625" style="2074" customWidth="1"/>
    <col min="15618" max="15618" width="8.88671875" style="2074"/>
    <col min="15619" max="15621" width="12.88671875" style="2074" customWidth="1"/>
    <col min="15622" max="15622" width="47.44140625" style="2074" customWidth="1"/>
    <col min="15623" max="15623" width="13" style="2074" customWidth="1"/>
    <col min="15624" max="15625" width="8.88671875" style="2074"/>
    <col min="15626" max="15626" width="5.77734375" style="2074" customWidth="1"/>
    <col min="15627" max="15627" width="11.77734375" style="2074" customWidth="1"/>
    <col min="15628" max="15629" width="10.77734375" style="2074" customWidth="1"/>
    <col min="15630" max="15630" width="10" style="2074" customWidth="1"/>
    <col min="15631" max="15632" width="10.44140625" style="2074" customWidth="1"/>
    <col min="15633" max="15633" width="10" style="2074" customWidth="1"/>
    <col min="15634" max="15634" width="10.109375" style="2074" customWidth="1"/>
    <col min="15635" max="15635" width="10" style="2074" customWidth="1"/>
    <col min="15636" max="15636" width="26.109375" style="2074" customWidth="1"/>
    <col min="15637" max="15872" width="8.88671875" style="2074"/>
    <col min="15873" max="15873" width="9.44140625" style="2074" customWidth="1"/>
    <col min="15874" max="15874" width="8.88671875" style="2074"/>
    <col min="15875" max="15877" width="12.88671875" style="2074" customWidth="1"/>
    <col min="15878" max="15878" width="47.44140625" style="2074" customWidth="1"/>
    <col min="15879" max="15879" width="13" style="2074" customWidth="1"/>
    <col min="15880" max="15881" width="8.88671875" style="2074"/>
    <col min="15882" max="15882" width="5.77734375" style="2074" customWidth="1"/>
    <col min="15883" max="15883" width="11.77734375" style="2074" customWidth="1"/>
    <col min="15884" max="15885" width="10.77734375" style="2074" customWidth="1"/>
    <col min="15886" max="15886" width="10" style="2074" customWidth="1"/>
    <col min="15887" max="15888" width="10.44140625" style="2074" customWidth="1"/>
    <col min="15889" max="15889" width="10" style="2074" customWidth="1"/>
    <col min="15890" max="15890" width="10.109375" style="2074" customWidth="1"/>
    <col min="15891" max="15891" width="10" style="2074" customWidth="1"/>
    <col min="15892" max="15892" width="26.109375" style="2074" customWidth="1"/>
    <col min="15893" max="16128" width="8.88671875" style="2074"/>
    <col min="16129" max="16129" width="9.44140625" style="2074" customWidth="1"/>
    <col min="16130" max="16130" width="8.88671875" style="2074"/>
    <col min="16131" max="16133" width="12.88671875" style="2074" customWidth="1"/>
    <col min="16134" max="16134" width="47.44140625" style="2074" customWidth="1"/>
    <col min="16135" max="16135" width="13" style="2074" customWidth="1"/>
    <col min="16136" max="16137" width="8.88671875" style="2074"/>
    <col min="16138" max="16138" width="5.77734375" style="2074" customWidth="1"/>
    <col min="16139" max="16139" width="11.77734375" style="2074" customWidth="1"/>
    <col min="16140" max="16141" width="10.77734375" style="2074" customWidth="1"/>
    <col min="16142" max="16142" width="10" style="2074" customWidth="1"/>
    <col min="16143" max="16144" width="10.44140625" style="2074" customWidth="1"/>
    <col min="16145" max="16145" width="10" style="2074" customWidth="1"/>
    <col min="16146" max="16146" width="10.109375" style="2074" customWidth="1"/>
    <col min="16147" max="16147" width="10" style="2074" customWidth="1"/>
    <col min="16148" max="16148" width="26.109375" style="2074" customWidth="1"/>
    <col min="16149" max="16384" width="8.88671875" style="2074"/>
  </cols>
  <sheetData>
    <row r="1" spans="1:22" ht="21" customHeight="1">
      <c r="A1" s="2078" t="s">
        <v>1502</v>
      </c>
      <c r="B1" s="2079"/>
      <c r="C1" s="2080"/>
      <c r="D1" s="2080"/>
      <c r="E1" s="2081"/>
      <c r="F1" s="2082"/>
      <c r="G1" s="2083"/>
      <c r="J1" s="2181" t="s">
        <v>1503</v>
      </c>
      <c r="K1" s="2182"/>
      <c r="L1" s="2182"/>
      <c r="M1" s="2182"/>
      <c r="N1" s="2182"/>
      <c r="O1" s="2182"/>
      <c r="P1" s="2182"/>
      <c r="Q1" s="2182"/>
      <c r="R1" s="2219"/>
      <c r="S1" s="2141"/>
      <c r="T1" s="2141"/>
      <c r="U1" s="2141"/>
    </row>
    <row r="2" spans="1:22" s="2072" customFormat="1" ht="13.2" customHeight="1">
      <c r="A2" s="142" t="s">
        <v>1304</v>
      </c>
      <c r="B2" s="2084" t="e">
        <f>C40</f>
        <v>#DIV/0!</v>
      </c>
      <c r="C2" s="2080" t="s">
        <v>1305</v>
      </c>
      <c r="D2" s="2080"/>
      <c r="E2" s="2085"/>
      <c r="F2" s="2086"/>
      <c r="G2" s="2087"/>
      <c r="H2" s="2088"/>
      <c r="I2" s="2172"/>
      <c r="J2" s="3251" t="s">
        <v>1504</v>
      </c>
      <c r="K2" s="3252"/>
      <c r="L2" s="2183" t="s">
        <v>1505</v>
      </c>
      <c r="M2" s="2183" t="s">
        <v>1506</v>
      </c>
      <c r="N2" s="2183" t="s">
        <v>1507</v>
      </c>
      <c r="O2" s="2183" t="s">
        <v>1508</v>
      </c>
      <c r="P2" s="2183" t="s">
        <v>1509</v>
      </c>
      <c r="Q2" s="2220" t="s">
        <v>1510</v>
      </c>
      <c r="R2" s="2221" t="s">
        <v>1511</v>
      </c>
      <c r="S2" s="2141"/>
      <c r="T2" s="2141"/>
      <c r="U2" s="2141"/>
      <c r="V2" s="2172"/>
    </row>
    <row r="3" spans="1:22" s="2072" customFormat="1" ht="13.2" customHeight="1">
      <c r="A3" s="2089" t="s">
        <v>1306</v>
      </c>
      <c r="B3" s="2090" t="e">
        <f>ROUND(B2*10000/B4,0)</f>
        <v>#DIV/0!</v>
      </c>
      <c r="C3" s="2080" t="s">
        <v>1307</v>
      </c>
      <c r="D3" s="2080"/>
      <c r="E3" s="2085"/>
      <c r="F3" s="2086"/>
      <c r="G3" s="2087"/>
      <c r="H3" s="2088"/>
      <c r="I3" s="2172"/>
      <c r="J3" s="3253" t="s">
        <v>1512</v>
      </c>
      <c r="K3" s="3254"/>
      <c r="L3" s="2184"/>
      <c r="M3" s="2184"/>
      <c r="N3" s="2184"/>
      <c r="O3" s="2184"/>
      <c r="P3" s="2184"/>
      <c r="Q3" s="2222"/>
      <c r="R3" s="2223">
        <f>SUM(L3:Q3)</f>
        <v>0</v>
      </c>
      <c r="S3" s="2141"/>
      <c r="T3" s="2141"/>
      <c r="U3" s="2141"/>
      <c r="V3" s="2172"/>
    </row>
    <row r="4" spans="1:22" s="2072" customFormat="1" ht="13.2" customHeight="1">
      <c r="A4" s="2091" t="s">
        <v>441</v>
      </c>
      <c r="B4" s="2092"/>
      <c r="C4" s="2080"/>
      <c r="D4" s="2080"/>
      <c r="E4" s="2085"/>
      <c r="F4" s="2086"/>
      <c r="G4" s="2087"/>
      <c r="H4" s="2088"/>
      <c r="I4" s="2172"/>
      <c r="J4" s="3253" t="s">
        <v>1513</v>
      </c>
      <c r="K4" s="3254"/>
      <c r="L4" s="2185"/>
      <c r="M4" s="2185"/>
      <c r="N4" s="2185"/>
      <c r="O4" s="2185"/>
      <c r="P4" s="2185"/>
      <c r="Q4" s="2224"/>
      <c r="R4" s="2225">
        <f>SUM(L4:Q4)</f>
        <v>0</v>
      </c>
      <c r="S4" s="2141"/>
      <c r="T4" s="2141"/>
      <c r="U4" s="2141"/>
      <c r="V4" s="2172"/>
    </row>
    <row r="5" spans="1:22" s="2072" customFormat="1" ht="13.2" customHeight="1">
      <c r="A5" s="2093" t="s">
        <v>1514</v>
      </c>
      <c r="B5" s="2094"/>
      <c r="C5" s="2080"/>
      <c r="D5" s="2095"/>
      <c r="E5" s="2086"/>
      <c r="F5" s="2086"/>
      <c r="G5" s="2087"/>
      <c r="H5" s="2088"/>
      <c r="I5" s="2172"/>
      <c r="J5" s="2186" t="s">
        <v>1515</v>
      </c>
      <c r="K5" s="2187"/>
      <c r="L5" s="2187"/>
      <c r="M5" s="2188"/>
      <c r="N5" s="2188"/>
      <c r="O5" s="2188"/>
      <c r="P5" s="2188"/>
      <c r="Q5" s="2188"/>
      <c r="R5" s="2221">
        <f>SUM(R14,R19,R24,R25,R27,R28)</f>
        <v>0</v>
      </c>
      <c r="S5" s="2141"/>
      <c r="T5" s="2141" t="s">
        <v>1516</v>
      </c>
      <c r="U5" s="2141" t="e">
        <f>ROUND(R5*10000/365/R3,1)</f>
        <v>#DIV/0!</v>
      </c>
      <c r="V5" s="2172"/>
    </row>
    <row r="6" spans="1:22" s="2072" customFormat="1" ht="13.2" customHeight="1">
      <c r="A6" s="3255" t="s">
        <v>1517</v>
      </c>
      <c r="B6" s="3256"/>
      <c r="C6" s="3257"/>
      <c r="D6" s="2096"/>
      <c r="E6" s="2097"/>
      <c r="F6" s="2098"/>
      <c r="G6" s="2099"/>
      <c r="H6" s="2088"/>
      <c r="I6" s="2172"/>
      <c r="J6" s="3264">
        <v>1</v>
      </c>
      <c r="K6" s="3267" t="s">
        <v>1518</v>
      </c>
      <c r="L6" s="2190" t="s">
        <v>1519</v>
      </c>
      <c r="M6" s="2191" t="s">
        <v>1520</v>
      </c>
      <c r="N6" s="2191" t="s">
        <v>1521</v>
      </c>
      <c r="O6" s="2191" t="s">
        <v>1522</v>
      </c>
      <c r="P6" s="2191" t="s">
        <v>1523</v>
      </c>
      <c r="Q6" s="2191" t="s">
        <v>1524</v>
      </c>
      <c r="R6" s="2223" t="s">
        <v>1525</v>
      </c>
      <c r="S6" s="2141"/>
      <c r="T6" s="2141" t="s">
        <v>1526</v>
      </c>
      <c r="U6" s="2141"/>
      <c r="V6" s="2172"/>
    </row>
    <row r="7" spans="1:22" s="2072" customFormat="1" ht="13.2" customHeight="1">
      <c r="A7" s="2100" t="s">
        <v>1527</v>
      </c>
      <c r="B7" s="2101"/>
      <c r="C7" s="2102"/>
      <c r="D7" s="2103">
        <f>SUM(D9,D10,D11,D17,0)</f>
        <v>0</v>
      </c>
      <c r="E7" s="2104" t="e">
        <f>E9+E10+E11+E17</f>
        <v>#DIV/0!</v>
      </c>
      <c r="F7" s="2105"/>
      <c r="G7" s="2106"/>
      <c r="H7" s="2088"/>
      <c r="I7" s="2172"/>
      <c r="J7" s="3264"/>
      <c r="K7" s="3268"/>
      <c r="L7" s="2192" t="s">
        <v>1528</v>
      </c>
      <c r="M7" s="2193"/>
      <c r="N7" s="2092"/>
      <c r="O7" s="2194"/>
      <c r="P7" s="2194"/>
      <c r="Q7" s="2125">
        <v>365</v>
      </c>
      <c r="R7" s="2226">
        <f>ROUND(M7*N7*O7*P7*Q7/10000,0)</f>
        <v>0</v>
      </c>
      <c r="S7" s="2141"/>
      <c r="T7" s="2141" t="s">
        <v>1529</v>
      </c>
      <c r="U7" s="2141"/>
      <c r="V7" s="2172"/>
    </row>
    <row r="8" spans="1:22" s="2072" customFormat="1" ht="13.2" customHeight="1">
      <c r="A8" s="2107" t="s">
        <v>1530</v>
      </c>
      <c r="B8" s="3258" t="s">
        <v>1531</v>
      </c>
      <c r="C8" s="3259"/>
      <c r="D8" s="2110" t="s">
        <v>1532</v>
      </c>
      <c r="E8" s="2111" t="s">
        <v>1533</v>
      </c>
      <c r="F8" s="2112" t="s">
        <v>1534</v>
      </c>
      <c r="G8" s="2113"/>
      <c r="H8" s="2088"/>
      <c r="I8" s="2172"/>
      <c r="J8" s="3264"/>
      <c r="K8" s="3268"/>
      <c r="L8" s="2192" t="s">
        <v>1535</v>
      </c>
      <c r="M8" s="2193"/>
      <c r="N8" s="2092"/>
      <c r="O8" s="2194"/>
      <c r="P8" s="2194"/>
      <c r="Q8" s="2125">
        <v>365</v>
      </c>
      <c r="R8" s="2226">
        <f t="shared" ref="R8:R13" si="0">ROUND(M8*N8*O8*P8*Q8/10000,0)</f>
        <v>0</v>
      </c>
      <c r="S8" s="2141"/>
      <c r="T8" s="2141" t="s">
        <v>1536</v>
      </c>
      <c r="U8" s="2141"/>
      <c r="V8" s="2172"/>
    </row>
    <row r="9" spans="1:22" s="2072" customFormat="1" ht="13.2" customHeight="1">
      <c r="A9" s="2107">
        <v>1</v>
      </c>
      <c r="B9" s="3258" t="s">
        <v>1537</v>
      </c>
      <c r="C9" s="3259"/>
      <c r="D9" s="2110">
        <f>ROUND(D6*E9,0)</f>
        <v>0</v>
      </c>
      <c r="E9" s="2114"/>
      <c r="F9" s="2115" t="s">
        <v>1538</v>
      </c>
      <c r="G9" s="2099"/>
      <c r="H9" s="2088"/>
      <c r="I9" s="2172"/>
      <c r="J9" s="3264"/>
      <c r="K9" s="3268"/>
      <c r="L9" s="2192" t="s">
        <v>1539</v>
      </c>
      <c r="M9" s="2193"/>
      <c r="N9" s="2092"/>
      <c r="O9" s="2194"/>
      <c r="P9" s="2194"/>
      <c r="Q9" s="2125">
        <v>365</v>
      </c>
      <c r="R9" s="2226">
        <f t="shared" si="0"/>
        <v>0</v>
      </c>
      <c r="S9" s="2141"/>
      <c r="T9" s="2141"/>
      <c r="U9" s="2141"/>
      <c r="V9" s="2172"/>
    </row>
    <row r="10" spans="1:22" s="2072" customFormat="1" ht="13.2" customHeight="1">
      <c r="A10" s="2107">
        <v>2</v>
      </c>
      <c r="B10" s="3258" t="s">
        <v>1540</v>
      </c>
      <c r="C10" s="3259"/>
      <c r="D10" s="2110">
        <f>ROUND(D6*E10,0)</f>
        <v>0</v>
      </c>
      <c r="E10" s="2114"/>
      <c r="F10" s="2115" t="s">
        <v>1541</v>
      </c>
      <c r="G10" s="2099"/>
      <c r="H10" s="2088"/>
      <c r="I10" s="2172"/>
      <c r="J10" s="3264"/>
      <c r="K10" s="3268"/>
      <c r="L10" s="2192" t="s">
        <v>1542</v>
      </c>
      <c r="M10" s="2193"/>
      <c r="N10" s="2092"/>
      <c r="O10" s="2194"/>
      <c r="P10" s="2194"/>
      <c r="Q10" s="2125">
        <v>365</v>
      </c>
      <c r="R10" s="2226">
        <f t="shared" si="0"/>
        <v>0</v>
      </c>
      <c r="S10" s="2141"/>
      <c r="T10" s="2141"/>
      <c r="U10" s="2141"/>
      <c r="V10" s="2172"/>
    </row>
    <row r="11" spans="1:22" s="2072" customFormat="1" ht="13.2" customHeight="1">
      <c r="A11" s="2107">
        <v>3</v>
      </c>
      <c r="B11" s="3258" t="s">
        <v>1543</v>
      </c>
      <c r="C11" s="3259"/>
      <c r="D11" s="2110">
        <f>D12+D14+D15+D16</f>
        <v>0</v>
      </c>
      <c r="E11" s="2116" t="e">
        <f>D11/D6</f>
        <v>#DIV/0!</v>
      </c>
      <c r="F11" s="2112"/>
      <c r="G11" s="2113"/>
      <c r="H11" s="2088"/>
      <c r="I11" s="2172"/>
      <c r="J11" s="3264"/>
      <c r="K11" s="3268"/>
      <c r="L11" s="2192" t="s">
        <v>1544</v>
      </c>
      <c r="M11" s="2193"/>
      <c r="N11" s="2092"/>
      <c r="O11" s="2194"/>
      <c r="P11" s="2194"/>
      <c r="Q11" s="2125">
        <v>365</v>
      </c>
      <c r="R11" s="2226">
        <f t="shared" si="0"/>
        <v>0</v>
      </c>
      <c r="S11" s="2141"/>
      <c r="T11" s="2141"/>
      <c r="U11" s="2141"/>
      <c r="V11" s="2172"/>
    </row>
    <row r="12" spans="1:22" s="2072" customFormat="1" ht="13.2" customHeight="1">
      <c r="A12" s="2117" t="s">
        <v>1545</v>
      </c>
      <c r="B12" s="3260" t="s">
        <v>1546</v>
      </c>
      <c r="C12" s="3261"/>
      <c r="D12" s="2120">
        <f>ROUND(D13*1.2%*(1-30%),0)</f>
        <v>0</v>
      </c>
      <c r="E12" s="2121">
        <v>1.2E-2</v>
      </c>
      <c r="F12" s="2112" t="s">
        <v>1547</v>
      </c>
      <c r="G12" s="2113"/>
      <c r="H12" s="2088"/>
      <c r="I12" s="2172"/>
      <c r="J12" s="3264"/>
      <c r="K12" s="3268"/>
      <c r="L12" s="2192" t="s">
        <v>1548</v>
      </c>
      <c r="M12" s="2193"/>
      <c r="N12" s="2092"/>
      <c r="O12" s="2194"/>
      <c r="P12" s="2194"/>
      <c r="Q12" s="2125">
        <v>365</v>
      </c>
      <c r="R12" s="2226">
        <f t="shared" si="0"/>
        <v>0</v>
      </c>
      <c r="S12" s="2141"/>
      <c r="T12" s="2141"/>
      <c r="U12" s="2141"/>
      <c r="V12" s="2172"/>
    </row>
    <row r="13" spans="1:22" s="2072" customFormat="1" ht="13.2" customHeight="1">
      <c r="A13" s="2117"/>
      <c r="B13" s="2118"/>
      <c r="C13" s="2122" t="s">
        <v>1549</v>
      </c>
      <c r="D13" s="2123"/>
      <c r="E13" s="2124"/>
      <c r="F13" s="2112"/>
      <c r="G13" s="2113"/>
      <c r="H13" s="2088"/>
      <c r="I13" s="2172"/>
      <c r="J13" s="3264"/>
      <c r="K13" s="3268"/>
      <c r="L13" s="2192" t="s">
        <v>1550</v>
      </c>
      <c r="M13" s="2193"/>
      <c r="N13" s="2092"/>
      <c r="O13" s="2194"/>
      <c r="P13" s="2194"/>
      <c r="Q13" s="2125">
        <v>365</v>
      </c>
      <c r="R13" s="2226">
        <f t="shared" si="0"/>
        <v>0</v>
      </c>
      <c r="S13" s="2141"/>
      <c r="T13" s="2141"/>
      <c r="U13" s="2141"/>
      <c r="V13" s="2172"/>
    </row>
    <row r="14" spans="1:22" s="2072" customFormat="1" ht="13.2" customHeight="1">
      <c r="A14" s="2117" t="s">
        <v>1551</v>
      </c>
      <c r="B14" s="3260" t="s">
        <v>1552</v>
      </c>
      <c r="C14" s="3261"/>
      <c r="D14" s="2120">
        <f>ROUND(E14*B5/10000,0)</f>
        <v>0</v>
      </c>
      <c r="E14" s="2125"/>
      <c r="F14" s="2112" t="s">
        <v>1553</v>
      </c>
      <c r="G14" s="2113"/>
      <c r="H14" s="2088"/>
      <c r="I14" s="2172"/>
      <c r="J14" s="3264"/>
      <c r="K14" s="3269"/>
      <c r="L14" s="2195" t="s">
        <v>1554</v>
      </c>
      <c r="M14" s="2196">
        <f>SUM(M7:M13)</f>
        <v>0</v>
      </c>
      <c r="N14" s="2196" t="e">
        <f>ROUND((N7*M7+N8*M8+N9*M9+N10*M10+N11*M11+N12*M12+N13*M13)/M14,0)</f>
        <v>#DIV/0!</v>
      </c>
      <c r="O14" s="2197"/>
      <c r="P14" s="2197"/>
      <c r="Q14" s="2227"/>
      <c r="R14" s="2221">
        <f>SUM(R7:R13)</f>
        <v>0</v>
      </c>
      <c r="S14" s="2141"/>
      <c r="T14" s="2141"/>
      <c r="U14" s="2141"/>
      <c r="V14" s="2172"/>
    </row>
    <row r="15" spans="1:22" s="2072" customFormat="1" ht="13.2" customHeight="1">
      <c r="A15" s="2117" t="s">
        <v>1555</v>
      </c>
      <c r="B15" s="3260" t="s">
        <v>1556</v>
      </c>
      <c r="C15" s="3261"/>
      <c r="D15" s="2120">
        <f>ROUND(D6*E15,0)</f>
        <v>0</v>
      </c>
      <c r="E15" s="2121">
        <v>5.5E-2</v>
      </c>
      <c r="F15" s="2112" t="s">
        <v>1557</v>
      </c>
      <c r="G15" s="2099"/>
      <c r="H15" s="2088"/>
      <c r="I15" s="2172"/>
      <c r="J15" s="3264">
        <v>2</v>
      </c>
      <c r="K15" s="3267" t="s">
        <v>1558</v>
      </c>
      <c r="L15" s="2192" t="s">
        <v>1559</v>
      </c>
      <c r="M15" s="2193" t="s">
        <v>1560</v>
      </c>
      <c r="N15" s="2193" t="s">
        <v>1561</v>
      </c>
      <c r="O15" s="2194" t="s">
        <v>1562</v>
      </c>
      <c r="P15" s="2194" t="s">
        <v>1524</v>
      </c>
      <c r="Q15" s="2092" t="s">
        <v>124</v>
      </c>
      <c r="R15" s="2228" t="s">
        <v>1525</v>
      </c>
      <c r="S15" s="2141"/>
      <c r="T15" s="2141"/>
      <c r="U15" s="2141"/>
      <c r="V15" s="2172"/>
    </row>
    <row r="16" spans="1:22" s="2072" customFormat="1" ht="13.2" customHeight="1">
      <c r="A16" s="2117" t="s">
        <v>1563</v>
      </c>
      <c r="B16" s="3260" t="s">
        <v>1564</v>
      </c>
      <c r="C16" s="3261"/>
      <c r="D16" s="2126">
        <f>D6*E16</f>
        <v>0</v>
      </c>
      <c r="E16" s="2127"/>
      <c r="F16" s="2115" t="s">
        <v>1565</v>
      </c>
      <c r="G16" s="2099"/>
      <c r="H16" s="2088"/>
      <c r="I16" s="2172"/>
      <c r="J16" s="3264"/>
      <c r="K16" s="3268"/>
      <c r="L16" s="2192" t="s">
        <v>1566</v>
      </c>
      <c r="M16" s="2193"/>
      <c r="N16" s="2193"/>
      <c r="O16" s="2194"/>
      <c r="P16" s="2125">
        <v>365</v>
      </c>
      <c r="Q16" s="2092"/>
      <c r="R16" s="2228">
        <f>ROUND(M16*N16*O16*P16/10000,0)</f>
        <v>0</v>
      </c>
      <c r="S16" s="2141"/>
      <c r="T16" s="2141"/>
      <c r="U16" s="2141"/>
      <c r="V16" s="2172"/>
    </row>
    <row r="17" spans="1:22" s="2072" customFormat="1" ht="13.2" customHeight="1">
      <c r="A17" s="2128">
        <v>4</v>
      </c>
      <c r="B17" s="3262" t="s">
        <v>1567</v>
      </c>
      <c r="C17" s="3263"/>
      <c r="D17" s="2129">
        <f>ROUND(D6*E17,0)</f>
        <v>0</v>
      </c>
      <c r="E17" s="2130"/>
      <c r="F17" s="2131" t="s">
        <v>1568</v>
      </c>
      <c r="G17" s="2099"/>
      <c r="H17" s="2088"/>
      <c r="I17" s="2172"/>
      <c r="J17" s="3264"/>
      <c r="K17" s="3268"/>
      <c r="L17" s="2192" t="s">
        <v>1569</v>
      </c>
      <c r="M17" s="2193"/>
      <c r="N17" s="2193"/>
      <c r="O17" s="2194"/>
      <c r="P17" s="2125">
        <v>365</v>
      </c>
      <c r="Q17" s="2092"/>
      <c r="R17" s="2228">
        <f>ROUND(M17*N17*O17*P17/10000,0)</f>
        <v>0</v>
      </c>
      <c r="S17" s="2141"/>
      <c r="T17" s="2141"/>
      <c r="U17" s="2141"/>
      <c r="V17" s="2172"/>
    </row>
    <row r="18" spans="1:22" s="2072" customFormat="1" ht="13.2" customHeight="1">
      <c r="A18" s="2100" t="s">
        <v>1570</v>
      </c>
      <c r="B18" s="2101"/>
      <c r="C18" s="2101"/>
      <c r="D18" s="2132">
        <f>ROUND(D6*E18,0)</f>
        <v>0</v>
      </c>
      <c r="E18" s="2133"/>
      <c r="F18" s="2134" t="s">
        <v>1571</v>
      </c>
      <c r="G18" s="2099"/>
      <c r="H18" s="2088"/>
      <c r="I18" s="2172"/>
      <c r="J18" s="3264"/>
      <c r="K18" s="3268"/>
      <c r="L18" s="2192" t="s">
        <v>1572</v>
      </c>
      <c r="M18" s="2193"/>
      <c r="N18" s="2193"/>
      <c r="O18" s="2194"/>
      <c r="P18" s="2125">
        <v>365</v>
      </c>
      <c r="Q18" s="2092"/>
      <c r="R18" s="2228">
        <f>ROUND(M18*N18*O18*P18/10000,0)</f>
        <v>0</v>
      </c>
      <c r="S18" s="2141"/>
      <c r="T18" s="2141"/>
      <c r="U18" s="2141"/>
      <c r="V18" s="2172"/>
    </row>
    <row r="19" spans="1:22" s="2072" customFormat="1" ht="13.2" customHeight="1">
      <c r="A19" s="2135" t="s">
        <v>1573</v>
      </c>
      <c r="B19" s="2097"/>
      <c r="C19" s="2097"/>
      <c r="D19" s="2097"/>
      <c r="E19" s="2097"/>
      <c r="F19" s="2098"/>
      <c r="G19" s="2113"/>
      <c r="H19" s="2088"/>
      <c r="I19" s="2172"/>
      <c r="J19" s="3264"/>
      <c r="K19" s="3269"/>
      <c r="L19" s="2195" t="s">
        <v>1554</v>
      </c>
      <c r="M19" s="2196"/>
      <c r="N19" s="2196">
        <f>SUM(N16:N18)</f>
        <v>0</v>
      </c>
      <c r="O19" s="2197"/>
      <c r="P19" s="2198" t="s">
        <v>1574</v>
      </c>
      <c r="Q19" s="2194">
        <v>0</v>
      </c>
      <c r="R19" s="2229">
        <f>ROUND(IF(P19="按比例",R14*Q19,SUM(R16:R18)),0)</f>
        <v>0</v>
      </c>
      <c r="S19" s="2141"/>
      <c r="T19" s="2141"/>
      <c r="U19" s="2141"/>
      <c r="V19" s="2172"/>
    </row>
    <row r="20" spans="1:22" s="2072" customFormat="1" ht="13.2" customHeight="1">
      <c r="A20" s="2100"/>
      <c r="B20" s="2101"/>
      <c r="C20" s="2101"/>
      <c r="D20" s="2101"/>
      <c r="E20" s="2101"/>
      <c r="F20" s="2136"/>
      <c r="G20" s="2113"/>
      <c r="H20" s="2088"/>
      <c r="I20" s="2172"/>
      <c r="J20" s="3264">
        <v>3</v>
      </c>
      <c r="K20" s="3267" t="s">
        <v>1575</v>
      </c>
      <c r="L20" s="2192" t="s">
        <v>1576</v>
      </c>
      <c r="M20" s="2193" t="s">
        <v>1577</v>
      </c>
      <c r="N20" s="2199" t="s">
        <v>1578</v>
      </c>
      <c r="O20" s="2194" t="s">
        <v>1579</v>
      </c>
      <c r="P20" s="2125" t="s">
        <v>1524</v>
      </c>
      <c r="Q20" s="2092" t="s">
        <v>124</v>
      </c>
      <c r="R20" s="2228" t="s">
        <v>1525</v>
      </c>
      <c r="S20" s="2141"/>
      <c r="T20" s="2141"/>
      <c r="U20" s="2141"/>
      <c r="V20" s="2172"/>
    </row>
    <row r="21" spans="1:22" s="2072" customFormat="1" ht="13.2" customHeight="1">
      <c r="A21" s="2100"/>
      <c r="B21" s="2101"/>
      <c r="C21" s="2108" t="s">
        <v>1580</v>
      </c>
      <c r="D21" s="2137" t="s">
        <v>1581</v>
      </c>
      <c r="E21" s="2109" t="s">
        <v>1582</v>
      </c>
      <c r="F21" s="2136"/>
      <c r="G21" s="2113"/>
      <c r="H21" s="2088"/>
      <c r="I21" s="2172"/>
      <c r="J21" s="3264"/>
      <c r="K21" s="3268"/>
      <c r="L21" s="2192" t="s">
        <v>1583</v>
      </c>
      <c r="M21" s="2193"/>
      <c r="N21" s="2193"/>
      <c r="O21" s="2194"/>
      <c r="P21" s="2125">
        <v>365</v>
      </c>
      <c r="Q21" s="2092"/>
      <c r="R21" s="2230">
        <f>ROUND(M21*N21*O21*P21/10000,0)</f>
        <v>0</v>
      </c>
      <c r="S21" s="2141"/>
      <c r="T21" s="2141"/>
      <c r="U21" s="2141"/>
      <c r="V21" s="2172"/>
    </row>
    <row r="22" spans="1:22" s="2072" customFormat="1" ht="13.2" customHeight="1">
      <c r="A22" s="2100"/>
      <c r="B22" s="2101"/>
      <c r="C22" s="2138" t="s">
        <v>1584</v>
      </c>
      <c r="D22" s="2139" t="s">
        <v>1585</v>
      </c>
      <c r="E22" s="2140" t="s">
        <v>1586</v>
      </c>
      <c r="F22" s="2136"/>
      <c r="G22" s="2141"/>
      <c r="H22" s="2088"/>
      <c r="I22" s="2172"/>
      <c r="J22" s="3264"/>
      <c r="K22" s="3268"/>
      <c r="L22" s="2192" t="s">
        <v>1587</v>
      </c>
      <c r="M22" s="2193"/>
      <c r="N22" s="2193"/>
      <c r="O22" s="2194"/>
      <c r="P22" s="2125">
        <v>365</v>
      </c>
      <c r="Q22" s="2092"/>
      <c r="R22" s="2230">
        <f>ROUND(M22*N22*O22*P22/10000,0)</f>
        <v>0</v>
      </c>
      <c r="S22" s="2141"/>
      <c r="T22" s="2141"/>
      <c r="U22" s="2141"/>
      <c r="V22" s="2172"/>
    </row>
    <row r="23" spans="1:22" s="2072" customFormat="1" ht="13.2" customHeight="1">
      <c r="A23" s="2142">
        <v>1</v>
      </c>
      <c r="B23" s="2143" t="s">
        <v>1588</v>
      </c>
      <c r="C23" s="2144">
        <f>D6</f>
        <v>0</v>
      </c>
      <c r="D23" s="2145">
        <f>C23*(1+D24)</f>
        <v>0</v>
      </c>
      <c r="E23" s="2146">
        <f>D23*(1+E24)</f>
        <v>0</v>
      </c>
      <c r="F23" s="2147"/>
      <c r="G23" s="2148"/>
      <c r="H23" s="2088"/>
      <c r="I23" s="2172"/>
      <c r="J23" s="3264"/>
      <c r="K23" s="3268"/>
      <c r="L23" s="2192" t="s">
        <v>1589</v>
      </c>
      <c r="M23" s="2193"/>
      <c r="N23" s="2193"/>
      <c r="O23" s="2194"/>
      <c r="P23" s="2125">
        <v>365</v>
      </c>
      <c r="Q23" s="2092"/>
      <c r="R23" s="2230">
        <f>ROUND(M23*N23*O23*P23/10000,0)</f>
        <v>0</v>
      </c>
      <c r="S23" s="2141"/>
      <c r="T23" s="2141"/>
      <c r="U23" s="2141"/>
      <c r="V23" s="2172"/>
    </row>
    <row r="24" spans="1:22" s="2072" customFormat="1" ht="13.2" customHeight="1">
      <c r="A24" s="2149"/>
      <c r="B24" s="2150" t="s">
        <v>1590</v>
      </c>
      <c r="C24" s="2151"/>
      <c r="D24" s="2152"/>
      <c r="E24" s="2153"/>
      <c r="F24" s="2154"/>
      <c r="G24" s="2148"/>
      <c r="H24" s="2088"/>
      <c r="I24" s="2172"/>
      <c r="J24" s="3264"/>
      <c r="K24" s="3269"/>
      <c r="L24" s="2195" t="s">
        <v>1554</v>
      </c>
      <c r="M24" s="2196">
        <f>SUM(M21:M23)</f>
        <v>0</v>
      </c>
      <c r="N24" s="2196"/>
      <c r="O24" s="2197"/>
      <c r="P24" s="2198" t="s">
        <v>1574</v>
      </c>
      <c r="Q24" s="2194">
        <v>0</v>
      </c>
      <c r="R24" s="2229">
        <f>ROUND(IF(P24="按比例",R14*Q24,SUM(R21:R23)),0)</f>
        <v>0</v>
      </c>
      <c r="S24" s="2141"/>
      <c r="T24" s="2141"/>
      <c r="U24" s="2141"/>
      <c r="V24" s="2172"/>
    </row>
    <row r="25" spans="1:22" s="2073" customFormat="1" ht="13.2" customHeight="1">
      <c r="A25" s="2149"/>
      <c r="B25" s="2150"/>
      <c r="C25" s="2151"/>
      <c r="D25" s="2152"/>
      <c r="E25" s="2153"/>
      <c r="F25" s="2154"/>
      <c r="G25" s="2141"/>
      <c r="H25" s="2088"/>
      <c r="I25" s="2172"/>
      <c r="J25" s="2189">
        <v>4</v>
      </c>
      <c r="K25" s="2200" t="s">
        <v>1591</v>
      </c>
      <c r="L25" s="2201"/>
      <c r="M25" s="2201"/>
      <c r="N25" s="2201"/>
      <c r="O25" s="2201"/>
      <c r="P25" s="2202"/>
      <c r="Q25" s="2231">
        <v>0</v>
      </c>
      <c r="R25" s="2229">
        <f>ROUND(R14*Q25,0)</f>
        <v>0</v>
      </c>
      <c r="S25" s="2141"/>
      <c r="T25" s="2141"/>
      <c r="U25" s="2141"/>
      <c r="V25" s="2208"/>
    </row>
    <row r="26" spans="1:22" s="2073" customFormat="1" ht="13.2" customHeight="1">
      <c r="A26" s="2142">
        <v>2</v>
      </c>
      <c r="B26" s="2143" t="s">
        <v>1592</v>
      </c>
      <c r="C26" s="2144">
        <f>D7</f>
        <v>0</v>
      </c>
      <c r="D26" s="2145">
        <f>D23*D27</f>
        <v>0</v>
      </c>
      <c r="E26" s="2146">
        <f>E23*E27</f>
        <v>0</v>
      </c>
      <c r="F26" s="2147"/>
      <c r="G26" s="2148"/>
      <c r="H26" s="2088"/>
      <c r="I26" s="2172"/>
      <c r="J26" s="3265">
        <v>5</v>
      </c>
      <c r="K26" s="2203" t="s">
        <v>1593</v>
      </c>
      <c r="L26" s="2204"/>
      <c r="M26" s="2205"/>
      <c r="N26" s="2206" t="s">
        <v>366</v>
      </c>
      <c r="O26" s="2206" t="s">
        <v>1594</v>
      </c>
      <c r="P26" s="2207" t="s">
        <v>1595</v>
      </c>
      <c r="Q26" s="2207" t="s">
        <v>1596</v>
      </c>
      <c r="R26" s="2223" t="s">
        <v>1525</v>
      </c>
      <c r="S26" s="2113"/>
      <c r="T26" s="2113"/>
      <c r="U26" s="2113"/>
      <c r="V26" s="2208"/>
    </row>
    <row r="27" spans="1:22" s="2072" customFormat="1" ht="13.2" customHeight="1">
      <c r="A27" s="2149"/>
      <c r="B27" s="2150" t="s">
        <v>1597</v>
      </c>
      <c r="C27" s="2155" t="e">
        <f>E7</f>
        <v>#DIV/0!</v>
      </c>
      <c r="D27" s="2152"/>
      <c r="E27" s="2153"/>
      <c r="F27" s="2154"/>
      <c r="G27" s="2148"/>
      <c r="H27" s="2156"/>
      <c r="I27" s="2208"/>
      <c r="J27" s="3266"/>
      <c r="K27" s="2209"/>
      <c r="L27" s="2210"/>
      <c r="M27" s="2211"/>
      <c r="N27" s="2212"/>
      <c r="O27" s="2212"/>
      <c r="P27" s="2212"/>
      <c r="Q27" s="2232"/>
      <c r="R27" s="2229">
        <f>ROUND(O27*N27*P27*(1-Q27)/10000,0)</f>
        <v>0</v>
      </c>
      <c r="S27" s="2141"/>
      <c r="T27" s="2141"/>
      <c r="U27" s="2141"/>
      <c r="V27" s="2172"/>
    </row>
    <row r="28" spans="1:22" s="2073" customFormat="1" ht="13.2" customHeight="1">
      <c r="A28" s="2149"/>
      <c r="B28" s="2150"/>
      <c r="C28" s="2155"/>
      <c r="D28" s="2152"/>
      <c r="E28" s="2153" t="s">
        <v>819</v>
      </c>
      <c r="F28" s="2154"/>
      <c r="G28" s="2141"/>
      <c r="H28" s="2156"/>
      <c r="I28" s="2208"/>
      <c r="J28" s="2213">
        <v>6</v>
      </c>
      <c r="K28" s="2214" t="s">
        <v>1598</v>
      </c>
      <c r="L28" s="2215" t="s">
        <v>1599</v>
      </c>
      <c r="M28" s="2216"/>
      <c r="N28" s="2215" t="s">
        <v>1600</v>
      </c>
      <c r="O28" s="2217"/>
      <c r="P28" s="2215" t="s">
        <v>1601</v>
      </c>
      <c r="Q28" s="2233">
        <v>1.4999999999999999E-2</v>
      </c>
      <c r="R28" s="2234"/>
      <c r="S28" s="2141"/>
      <c r="T28" s="2141"/>
      <c r="U28" s="2141"/>
      <c r="V28" s="2208"/>
    </row>
    <row r="29" spans="1:22" s="2073" customFormat="1" ht="13.2" customHeight="1">
      <c r="A29" s="2142">
        <v>3</v>
      </c>
      <c r="B29" s="2143" t="s">
        <v>1602</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2" customHeight="1">
      <c r="A30" s="2149"/>
      <c r="B30" s="2150" t="s">
        <v>1597</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2" customHeight="1">
      <c r="A31" s="2149"/>
      <c r="B31" s="2150"/>
      <c r="C31" s="2158"/>
      <c r="D31" s="2157"/>
      <c r="E31" s="2124"/>
      <c r="F31" s="2154"/>
      <c r="G31" s="2141"/>
      <c r="H31" s="2156"/>
      <c r="I31" s="2208"/>
      <c r="J31" s="2181" t="s">
        <v>1603</v>
      </c>
      <c r="K31" s="2182"/>
      <c r="L31" s="2182"/>
      <c r="M31" s="2182"/>
      <c r="N31" s="2182"/>
      <c r="O31" s="2182"/>
      <c r="P31" s="2182"/>
      <c r="Q31" s="2182"/>
      <c r="R31" s="2219"/>
      <c r="S31" s="2141"/>
      <c r="T31" s="2141"/>
      <c r="U31" s="2141"/>
      <c r="V31" s="2208"/>
    </row>
    <row r="32" spans="1:22" s="2073" customFormat="1" ht="13.2" customHeight="1">
      <c r="A32" s="2142">
        <v>4</v>
      </c>
      <c r="B32" s="2143" t="s">
        <v>1604</v>
      </c>
      <c r="C32" s="2144">
        <f>C23-C26-C29</f>
        <v>0</v>
      </c>
      <c r="D32" s="2145">
        <f>D23-D26-D29</f>
        <v>0</v>
      </c>
      <c r="E32" s="2146">
        <f>E23-E26-E29</f>
        <v>0</v>
      </c>
      <c r="F32" s="2147"/>
      <c r="G32" s="2141"/>
      <c r="H32" s="2088"/>
      <c r="I32" s="2172"/>
      <c r="J32" s="3251" t="s">
        <v>1504</v>
      </c>
      <c r="K32" s="3252"/>
      <c r="L32" s="2183" t="s">
        <v>1505</v>
      </c>
      <c r="M32" s="2183" t="s">
        <v>1506</v>
      </c>
      <c r="N32" s="2183" t="s">
        <v>1507</v>
      </c>
      <c r="O32" s="2183" t="s">
        <v>1508</v>
      </c>
      <c r="P32" s="2183" t="s">
        <v>1509</v>
      </c>
      <c r="Q32" s="2220" t="s">
        <v>1510</v>
      </c>
      <c r="R32" s="2235" t="s">
        <v>1511</v>
      </c>
      <c r="S32" s="2141"/>
      <c r="T32" s="2141"/>
      <c r="U32" s="2141"/>
      <c r="V32" s="2208"/>
    </row>
    <row r="33" spans="1:23" s="2072" customFormat="1" ht="13.2" customHeight="1">
      <c r="A33" s="2142"/>
      <c r="B33" s="2143"/>
      <c r="C33" s="2144"/>
      <c r="D33" s="2159"/>
      <c r="E33" s="2119"/>
      <c r="F33" s="2147"/>
      <c r="G33" s="2141"/>
      <c r="H33" s="2156"/>
      <c r="I33" s="2208"/>
      <c r="J33" s="3253" t="s">
        <v>1512</v>
      </c>
      <c r="K33" s="3254"/>
      <c r="L33" s="2184"/>
      <c r="M33" s="2184"/>
      <c r="N33" s="2184"/>
      <c r="O33" s="2184"/>
      <c r="P33" s="2184"/>
      <c r="Q33" s="2222"/>
      <c r="R33" s="2236">
        <f>SUM(L33:Q33)</f>
        <v>0</v>
      </c>
      <c r="S33" s="2141"/>
      <c r="T33" s="2141"/>
      <c r="U33" s="2141"/>
      <c r="V33" s="2172"/>
    </row>
    <row r="34" spans="1:23" s="2072" customFormat="1" ht="13.2" customHeight="1">
      <c r="A34" s="2142">
        <v>5</v>
      </c>
      <c r="B34" s="2143" t="s">
        <v>1605</v>
      </c>
      <c r="C34" s="2160"/>
      <c r="D34" s="2161"/>
      <c r="E34" s="2162"/>
      <c r="F34" s="2147"/>
      <c r="G34" s="2141"/>
      <c r="H34" s="2156"/>
      <c r="I34" s="2208"/>
      <c r="J34" s="3253" t="s">
        <v>1513</v>
      </c>
      <c r="K34" s="3254"/>
      <c r="L34" s="2185"/>
      <c r="M34" s="2185"/>
      <c r="N34" s="2185"/>
      <c r="O34" s="2185"/>
      <c r="P34" s="2185"/>
      <c r="Q34" s="2224"/>
      <c r="R34" s="2237">
        <f>SUM(L34:Q34)</f>
        <v>0</v>
      </c>
      <c r="S34" s="2141"/>
      <c r="T34" s="2141"/>
      <c r="U34" s="2141" t="e">
        <f>ROUND(R35*10000/365/R33,1)</f>
        <v>#DIV/0!</v>
      </c>
      <c r="V34" s="2172"/>
    </row>
    <row r="35" spans="1:23" s="2072" customFormat="1" ht="13.2" customHeight="1">
      <c r="A35" s="2142">
        <v>6</v>
      </c>
      <c r="B35" s="2143" t="s">
        <v>1606</v>
      </c>
      <c r="C35" s="2163"/>
      <c r="D35" s="2164"/>
      <c r="E35" s="2165"/>
      <c r="F35" s="2147"/>
      <c r="G35" s="2166"/>
      <c r="H35" s="2088"/>
      <c r="I35" s="2208"/>
      <c r="J35" s="2186" t="s">
        <v>1515</v>
      </c>
      <c r="K35" s="2187"/>
      <c r="L35" s="2187"/>
      <c r="M35" s="2188"/>
      <c r="N35" s="2188"/>
      <c r="O35" s="2188"/>
      <c r="P35" s="2188"/>
      <c r="Q35" s="2188"/>
      <c r="R35" s="2238">
        <f>R40+R41+R43</f>
        <v>0</v>
      </c>
      <c r="S35" s="2141"/>
      <c r="T35" s="2141" t="s">
        <v>1516</v>
      </c>
      <c r="U35" s="2141"/>
      <c r="V35" s="2172"/>
    </row>
    <row r="36" spans="1:23" s="2072" customFormat="1" ht="13.2" customHeight="1">
      <c r="A36" s="2142">
        <v>7</v>
      </c>
      <c r="B36" s="2167" t="s">
        <v>1607</v>
      </c>
      <c r="C36" s="2168"/>
      <c r="D36" s="2169"/>
      <c r="E36" s="2170"/>
      <c r="F36" s="2171">
        <f>C36+D36+E36</f>
        <v>0</v>
      </c>
      <c r="G36" s="2141"/>
      <c r="H36" s="2088"/>
      <c r="I36" s="2172"/>
      <c r="J36" s="3264">
        <v>1</v>
      </c>
      <c r="K36" s="3267" t="s">
        <v>1608</v>
      </c>
      <c r="L36" s="2190"/>
      <c r="M36" s="2191"/>
      <c r="N36" s="2191"/>
      <c r="O36" s="2191"/>
      <c r="P36" s="2191"/>
      <c r="Q36" s="2191"/>
      <c r="R36" s="2223" t="s">
        <v>1525</v>
      </c>
      <c r="S36" s="2141"/>
      <c r="T36" s="2141" t="s">
        <v>1526</v>
      </c>
      <c r="U36" s="2141"/>
      <c r="V36" s="2172"/>
    </row>
    <row r="37" spans="1:23" s="2072" customFormat="1" ht="13.2" customHeight="1">
      <c r="A37" s="2142"/>
      <c r="B37" s="2143"/>
      <c r="C37" s="2143"/>
      <c r="D37" s="2143"/>
      <c r="E37" s="2143"/>
      <c r="F37" s="2147"/>
      <c r="G37" s="2141"/>
      <c r="H37" s="2088"/>
      <c r="I37" s="2172"/>
      <c r="J37" s="3264"/>
      <c r="K37" s="3268"/>
      <c r="L37" s="2192"/>
      <c r="M37" s="2193"/>
      <c r="N37" s="2092"/>
      <c r="O37" s="2194"/>
      <c r="P37" s="2194"/>
      <c r="Q37" s="2125"/>
      <c r="R37" s="2226"/>
      <c r="S37" s="2141"/>
      <c r="T37" s="2141" t="s">
        <v>1529</v>
      </c>
      <c r="U37" s="2141"/>
      <c r="V37" s="2172"/>
    </row>
    <row r="38" spans="1:23" s="2072" customFormat="1" ht="13.2" customHeight="1">
      <c r="A38" s="2142">
        <v>8</v>
      </c>
      <c r="B38" s="2143"/>
      <c r="C38" s="2110" t="e">
        <f>ROUND(C32*(1-((1+C35)/(1+C34))^C36)/(C34-C35),0)</f>
        <v>#DIV/0!</v>
      </c>
      <c r="D38" s="2110">
        <f>IF(D23=0,0,ROUND(D32*(1-((1+D35)/(1+D34))^D36)/(D34-D35),0))</f>
        <v>0</v>
      </c>
      <c r="E38" s="2110">
        <f>IF(E23=0,0,ROUND(E32*(1-((1+E35)/(1+E34))^E36)/(E34-E35),0))</f>
        <v>0</v>
      </c>
      <c r="F38" s="2147"/>
      <c r="G38" s="2141"/>
      <c r="H38" s="2088"/>
      <c r="I38" s="2172"/>
      <c r="J38" s="3264"/>
      <c r="K38" s="3268"/>
      <c r="L38" s="2192"/>
      <c r="M38" s="2193"/>
      <c r="N38" s="2092"/>
      <c r="O38" s="2194"/>
      <c r="P38" s="2194"/>
      <c r="Q38" s="2125"/>
      <c r="R38" s="2226"/>
      <c r="S38" s="2141"/>
      <c r="T38" s="2141" t="s">
        <v>1536</v>
      </c>
      <c r="U38" s="2141"/>
      <c r="V38" s="2172"/>
    </row>
    <row r="39" spans="1:23" s="2072" customFormat="1" ht="13.2" customHeight="1">
      <c r="A39" s="2142">
        <v>9</v>
      </c>
      <c r="B39" s="2143" t="s">
        <v>1609</v>
      </c>
      <c r="C39" s="2120" t="e">
        <f>C38</f>
        <v>#DIV/0!</v>
      </c>
      <c r="D39" s="2143">
        <f>D38/(1+D34)^C36</f>
        <v>0</v>
      </c>
      <c r="E39" s="2143">
        <f>E38/(1+E34)^(C36+D36)</f>
        <v>0</v>
      </c>
      <c r="F39" s="2147"/>
      <c r="G39" s="2172"/>
      <c r="H39" s="2088"/>
      <c r="I39" s="2172"/>
      <c r="J39" s="3264"/>
      <c r="K39" s="3268"/>
      <c r="L39" s="2192"/>
      <c r="M39" s="2193"/>
      <c r="N39" s="2092"/>
      <c r="O39" s="2194"/>
      <c r="P39" s="2194"/>
      <c r="Q39" s="2125"/>
      <c r="R39" s="2226"/>
      <c r="S39" s="2141"/>
      <c r="T39" s="2141"/>
      <c r="U39" s="2141"/>
      <c r="V39" s="2172"/>
    </row>
    <row r="40" spans="1:23" s="2072" customFormat="1" ht="13.2" customHeight="1">
      <c r="A40" s="2173">
        <v>10</v>
      </c>
      <c r="B40" s="2143" t="s">
        <v>1610</v>
      </c>
      <c r="C40" s="2174" t="e">
        <f>C39+D39+E39</f>
        <v>#DIV/0!</v>
      </c>
      <c r="D40" s="2175"/>
      <c r="E40" s="2175"/>
      <c r="F40" s="2176"/>
      <c r="G40" s="2141"/>
      <c r="H40" s="2088"/>
      <c r="I40" s="2172"/>
      <c r="J40" s="3264"/>
      <c r="K40" s="3269"/>
      <c r="L40" s="2195" t="s">
        <v>1554</v>
      </c>
      <c r="M40" s="2196"/>
      <c r="N40" s="2196"/>
      <c r="O40" s="2197"/>
      <c r="P40" s="2197"/>
      <c r="Q40" s="2227"/>
      <c r="R40" s="2221">
        <f>SUM(R37:R39)</f>
        <v>0</v>
      </c>
      <c r="S40" s="2141"/>
      <c r="T40" s="2141"/>
      <c r="U40" s="2141"/>
      <c r="V40" s="2172"/>
    </row>
    <row r="41" spans="1:23" s="2072" customFormat="1" ht="13.2" customHeight="1">
      <c r="A41" s="2177">
        <v>11</v>
      </c>
      <c r="B41" s="2178" t="s">
        <v>1611</v>
      </c>
      <c r="C41" s="2178" t="e">
        <f>ROUND(C40*10000/B4,0)</f>
        <v>#DIV/0!</v>
      </c>
      <c r="D41" s="2179"/>
      <c r="E41" s="2179"/>
      <c r="F41" s="2180"/>
      <c r="G41" s="2088"/>
      <c r="H41" s="2088"/>
      <c r="I41" s="2172"/>
      <c r="J41" s="2189">
        <v>2</v>
      </c>
      <c r="K41" s="2200" t="s">
        <v>1591</v>
      </c>
      <c r="L41" s="2201"/>
      <c r="M41" s="2201"/>
      <c r="N41" s="2201"/>
      <c r="O41" s="2201"/>
      <c r="P41" s="2202"/>
      <c r="Q41" s="2231"/>
      <c r="R41" s="2229">
        <f>ROUND(R40*Q41,0)</f>
        <v>0</v>
      </c>
      <c r="S41" s="2141"/>
      <c r="T41" s="2141"/>
      <c r="U41" s="2113"/>
      <c r="V41" s="2172"/>
    </row>
    <row r="42" spans="1:23" s="2072" customFormat="1" ht="13.2" customHeight="1">
      <c r="G42" s="2088"/>
      <c r="H42" s="2088"/>
      <c r="I42" s="2172"/>
      <c r="J42" s="3265">
        <v>3</v>
      </c>
      <c r="K42" s="2203" t="s">
        <v>1593</v>
      </c>
      <c r="L42" s="2204"/>
      <c r="M42" s="2205"/>
      <c r="N42" s="2206" t="s">
        <v>366</v>
      </c>
      <c r="O42" s="2206" t="s">
        <v>1594</v>
      </c>
      <c r="P42" s="2207" t="s">
        <v>1595</v>
      </c>
      <c r="Q42" s="2207" t="s">
        <v>1596</v>
      </c>
      <c r="R42" s="2223" t="s">
        <v>1525</v>
      </c>
      <c r="S42" s="2113"/>
      <c r="T42" s="2113"/>
      <c r="U42" s="2141"/>
      <c r="V42" s="2172"/>
    </row>
    <row r="43" spans="1:23" ht="13.2" customHeight="1">
      <c r="A43" s="2072"/>
      <c r="B43" s="2072"/>
      <c r="C43" s="2072"/>
      <c r="D43" s="2072"/>
      <c r="E43" s="2072"/>
      <c r="F43" s="2072"/>
      <c r="I43" s="2075"/>
      <c r="J43" s="3266"/>
      <c r="K43" s="2209"/>
      <c r="L43" s="2210"/>
      <c r="M43" s="2211"/>
      <c r="N43" s="2193"/>
      <c r="O43" s="2193"/>
      <c r="P43" s="2193"/>
      <c r="Q43" s="2231"/>
      <c r="R43" s="2229">
        <f>ROUND(O43*N43*P43*(1-Q43)/10000,0)</f>
        <v>0</v>
      </c>
      <c r="S43" s="2141"/>
      <c r="T43" s="2141"/>
      <c r="V43" s="2077"/>
      <c r="W43" s="2239"/>
    </row>
    <row r="44" spans="1:23" ht="13.2" customHeight="1">
      <c r="J44" s="2213">
        <v>6</v>
      </c>
      <c r="K44" s="2214" t="s">
        <v>1598</v>
      </c>
      <c r="L44" s="2218" t="s">
        <v>1599</v>
      </c>
      <c r="M44" s="2216"/>
      <c r="N44" s="2218" t="s">
        <v>1600</v>
      </c>
      <c r="O44" s="2216"/>
      <c r="P44" s="2218" t="s">
        <v>1601</v>
      </c>
      <c r="Q44" s="2233">
        <v>1.4999999999999999E-2</v>
      </c>
      <c r="R44" s="22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3.8"/>
  <cols>
    <col min="1" max="1" width="23.6640625" style="710" customWidth="1"/>
    <col min="2" max="2" width="12" style="710" customWidth="1"/>
    <col min="3" max="3" width="9" style="710"/>
    <col min="4" max="4" width="14.109375" style="710" customWidth="1"/>
    <col min="5" max="5" width="9" style="710"/>
    <col min="6" max="6" width="12.88671875" style="710" customWidth="1"/>
    <col min="7" max="16384" width="9" style="710"/>
  </cols>
  <sheetData>
    <row r="1" spans="1:22" ht="21.6">
      <c r="A1" s="1370" t="s">
        <v>1612</v>
      </c>
      <c r="B1" s="1581"/>
      <c r="C1" s="1581"/>
      <c r="D1" s="1581"/>
      <c r="E1" s="2054"/>
      <c r="F1" s="2055"/>
      <c r="G1" s="973"/>
      <c r="H1" s="973"/>
      <c r="I1" s="973"/>
      <c r="J1" s="973"/>
      <c r="K1" s="973"/>
      <c r="L1" s="973"/>
      <c r="M1" s="973"/>
      <c r="N1" s="973"/>
      <c r="O1" s="973"/>
      <c r="P1" s="973"/>
      <c r="Q1" s="973"/>
      <c r="R1" s="973"/>
      <c r="S1" s="973"/>
    </row>
    <row r="2" spans="1:22" ht="15.6">
      <c r="A2" s="2056" t="s">
        <v>1055</v>
      </c>
      <c r="B2" s="1606">
        <f ca="1">SUMIF(B6:B13,"&lt;&gt;#ref!",B6:B13)</f>
        <v>245580</v>
      </c>
      <c r="C2" s="2057" t="s">
        <v>1613</v>
      </c>
      <c r="D2" s="2058" t="s">
        <v>1614</v>
      </c>
      <c r="E2" s="2059">
        <f>SUM(E6:E13)</f>
        <v>51096.2</v>
      </c>
      <c r="F2" s="2055"/>
      <c r="G2" s="973"/>
      <c r="H2" s="973"/>
      <c r="I2" s="973"/>
      <c r="J2" s="973"/>
      <c r="K2" s="973"/>
      <c r="L2" s="973"/>
      <c r="M2" s="973"/>
      <c r="N2" s="973"/>
      <c r="O2" s="973"/>
      <c r="P2" s="973"/>
      <c r="Q2" s="973"/>
      <c r="R2" s="973"/>
      <c r="S2" s="973"/>
    </row>
    <row r="3" spans="1:22" ht="15.6">
      <c r="A3" s="2056" t="s">
        <v>1057</v>
      </c>
      <c r="B3" s="2060">
        <f ca="1">ROUND(B2*10000/E2,0)</f>
        <v>48062</v>
      </c>
      <c r="C3" s="2057" t="s">
        <v>1615</v>
      </c>
      <c r="D3" s="2055"/>
      <c r="E3" s="2061"/>
      <c r="F3" s="2055"/>
      <c r="G3" s="973"/>
      <c r="H3" s="973"/>
      <c r="I3" s="973"/>
      <c r="J3" s="973"/>
      <c r="K3" s="973"/>
      <c r="L3" s="973"/>
      <c r="M3" s="973"/>
      <c r="N3" s="973"/>
      <c r="O3" s="973"/>
      <c r="P3" s="973"/>
      <c r="Q3" s="973"/>
      <c r="R3" s="973"/>
      <c r="S3" s="973"/>
    </row>
    <row r="4" spans="1:22" ht="15.6">
      <c r="A4" s="2062"/>
      <c r="B4" s="2055"/>
      <c r="C4" s="2055"/>
      <c r="D4" s="2055"/>
      <c r="E4" s="2061"/>
      <c r="F4" s="2055"/>
      <c r="G4" s="973"/>
      <c r="H4" s="973"/>
      <c r="I4" s="973"/>
      <c r="J4" s="973"/>
      <c r="K4" s="973"/>
      <c r="L4" s="973"/>
      <c r="M4" s="973"/>
      <c r="N4" s="973"/>
      <c r="O4" s="973"/>
      <c r="P4" s="973"/>
      <c r="Q4" s="973"/>
      <c r="R4" s="973"/>
      <c r="S4" s="973"/>
    </row>
    <row r="5" spans="1:22" ht="14.4">
      <c r="A5" s="2063" t="s">
        <v>1616</v>
      </c>
      <c r="B5" s="3270" t="s">
        <v>1617</v>
      </c>
      <c r="C5" s="3271"/>
      <c r="D5" s="2065"/>
      <c r="E5" s="2064" t="s">
        <v>1618</v>
      </c>
      <c r="F5" s="741" t="s">
        <v>1619</v>
      </c>
      <c r="G5" s="973"/>
      <c r="H5" s="973"/>
      <c r="I5" s="973"/>
      <c r="J5" s="973"/>
      <c r="K5" s="973"/>
      <c r="L5" s="973"/>
      <c r="M5" s="973"/>
      <c r="N5" s="973"/>
      <c r="O5" s="973"/>
      <c r="P5" s="973"/>
      <c r="Q5" s="973"/>
      <c r="R5" s="973"/>
      <c r="S5" s="973"/>
    </row>
    <row r="6" spans="1:22" ht="14.4">
      <c r="A6" s="2066" t="str">
        <f>'数据-取费表'!AN6</f>
        <v>收益法</v>
      </c>
      <c r="B6" s="1373">
        <f ca="1">IF(F6="是",'数据-取费表'!AO6,0)</f>
        <v>245580</v>
      </c>
      <c r="C6" s="2057" t="s">
        <v>1613</v>
      </c>
      <c r="D6" s="2055"/>
      <c r="E6" s="2067">
        <f>IF(OR(A6=0,F6="否"),0,'数据-取费表'!K6+'数据-取费表'!S6)</f>
        <v>51096.2</v>
      </c>
      <c r="F6" s="2068" t="s">
        <v>1620</v>
      </c>
      <c r="G6" s="973"/>
      <c r="H6" s="973"/>
      <c r="I6" s="973"/>
      <c r="J6" s="973"/>
      <c r="K6" s="973"/>
      <c r="L6" s="973"/>
      <c r="M6" s="973"/>
      <c r="N6" s="973"/>
      <c r="O6" s="973"/>
      <c r="P6" s="973"/>
      <c r="Q6" s="973"/>
      <c r="R6" s="973"/>
      <c r="S6" s="973"/>
    </row>
    <row r="7" spans="1:22" ht="14.4">
      <c r="A7" s="2066">
        <f>'数据-取费表'!AN7</f>
        <v>0</v>
      </c>
      <c r="B7" s="1373" t="e">
        <f ca="1">IF(F7="是",'数据-取费表'!AO7,0)</f>
        <v>#REF!</v>
      </c>
      <c r="C7" s="2057" t="s">
        <v>1613</v>
      </c>
      <c r="D7" s="2055"/>
      <c r="E7" s="2067">
        <f>IF(OR(A7=0,F7="否"),0,'数据-取费表'!K7+'数据-取费表'!S7)</f>
        <v>0</v>
      </c>
      <c r="F7" s="2068" t="s">
        <v>1620</v>
      </c>
      <c r="G7" s="973"/>
      <c r="H7" s="973"/>
      <c r="I7" s="973"/>
      <c r="J7" s="973"/>
      <c r="K7" s="973"/>
      <c r="L7" s="973"/>
      <c r="M7" s="973"/>
      <c r="N7" s="973"/>
      <c r="O7" s="973"/>
      <c r="P7" s="973"/>
      <c r="Q7" s="973"/>
      <c r="R7" s="973"/>
      <c r="S7" s="973"/>
    </row>
    <row r="8" spans="1:22" ht="14.4">
      <c r="A8" s="2066">
        <f>'数据-取费表'!AN8</f>
        <v>0</v>
      </c>
      <c r="B8" s="1373" t="e">
        <f ca="1">IF(F8="是",'数据-取费表'!AO8,0)</f>
        <v>#REF!</v>
      </c>
      <c r="C8" s="2057" t="s">
        <v>1613</v>
      </c>
      <c r="D8" s="2055"/>
      <c r="E8" s="2067">
        <f>IF(OR(A8=0,F8="否"),0,'数据-取费表'!K8+'数据-取费表'!S8)</f>
        <v>0</v>
      </c>
      <c r="F8" s="2068" t="s">
        <v>1620</v>
      </c>
      <c r="G8" s="973"/>
      <c r="H8" s="973"/>
      <c r="I8" s="973"/>
      <c r="J8" s="973"/>
      <c r="K8" s="973"/>
      <c r="L8" s="973"/>
      <c r="M8" s="973"/>
      <c r="N8" s="973"/>
      <c r="O8" s="973"/>
      <c r="P8" s="973"/>
      <c r="Q8" s="973"/>
      <c r="R8" s="973"/>
      <c r="S8" s="973"/>
    </row>
    <row r="9" spans="1:22" ht="14.4">
      <c r="A9" s="2066">
        <f>'数据-取费表'!AN9</f>
        <v>0</v>
      </c>
      <c r="B9" s="1373" t="e">
        <f ca="1">IF(F9="是",'数据-取费表'!AO9,0)</f>
        <v>#REF!</v>
      </c>
      <c r="C9" s="2057" t="s">
        <v>1613</v>
      </c>
      <c r="D9" s="2055"/>
      <c r="E9" s="2067">
        <f>IF(OR(A9=0,F9="否"),0,'数据-取费表'!K9+'数据-取费表'!S9)</f>
        <v>0</v>
      </c>
      <c r="F9" s="2068" t="s">
        <v>1620</v>
      </c>
      <c r="G9" s="973"/>
      <c r="H9" s="973"/>
      <c r="I9" s="973"/>
      <c r="J9" s="973"/>
      <c r="K9" s="973"/>
      <c r="L9" s="973"/>
      <c r="M9" s="973"/>
      <c r="N9" s="973"/>
      <c r="O9" s="973"/>
      <c r="P9" s="973"/>
      <c r="Q9" s="973"/>
      <c r="R9" s="973"/>
      <c r="S9" s="973"/>
    </row>
    <row r="10" spans="1:22" ht="14.4">
      <c r="A10" s="2066">
        <f>'数据-取费表'!AN10</f>
        <v>0</v>
      </c>
      <c r="B10" s="1373" t="e">
        <f ca="1">IF(F10="是",'数据-取费表'!AO10,0)</f>
        <v>#REF!</v>
      </c>
      <c r="C10" s="2057" t="s">
        <v>1613</v>
      </c>
      <c r="D10" s="2055"/>
      <c r="E10" s="2067">
        <f>IF(OR(A10=0,F10="否"),0,'数据-取费表'!K10+'数据-取费表'!S10)</f>
        <v>0</v>
      </c>
      <c r="F10" s="2068" t="s">
        <v>1620</v>
      </c>
      <c r="G10" s="973"/>
      <c r="H10" s="973"/>
      <c r="I10" s="973"/>
      <c r="J10" s="973"/>
      <c r="K10" s="973"/>
      <c r="L10" s="973"/>
      <c r="M10" s="973"/>
      <c r="N10" s="973"/>
      <c r="O10" s="973"/>
      <c r="P10" s="973"/>
      <c r="Q10" s="973"/>
      <c r="R10" s="973"/>
      <c r="S10" s="973"/>
    </row>
    <row r="11" spans="1:22" ht="14.4">
      <c r="A11" s="2066">
        <f>'数据-取费表'!AN11</f>
        <v>0</v>
      </c>
      <c r="B11" s="1373" t="e">
        <f ca="1">IF(F11="是",'数据-取费表'!AO11,0)</f>
        <v>#REF!</v>
      </c>
      <c r="C11" s="2057" t="s">
        <v>1613</v>
      </c>
      <c r="D11" s="2055"/>
      <c r="E11" s="2067">
        <f>IF(OR(A11=0,F11="否"),0,'数据-取费表'!K11+'数据-取费表'!S11)</f>
        <v>0</v>
      </c>
      <c r="F11" s="2068" t="s">
        <v>1620</v>
      </c>
      <c r="G11" s="973"/>
      <c r="H11" s="973"/>
      <c r="I11" s="973"/>
      <c r="J11" s="973"/>
      <c r="K11" s="973"/>
      <c r="L11" s="973"/>
      <c r="M11" s="973"/>
      <c r="N11" s="973"/>
      <c r="O11" s="973"/>
      <c r="P11" s="973"/>
      <c r="Q11" s="973"/>
      <c r="R11" s="973"/>
      <c r="S11" s="973"/>
    </row>
    <row r="12" spans="1:22" ht="14.4">
      <c r="A12" s="2066">
        <f>'数据-取费表'!AN12</f>
        <v>0</v>
      </c>
      <c r="B12" s="1373" t="e">
        <f ca="1">IF(F12="是",'数据-取费表'!AO12,0)</f>
        <v>#REF!</v>
      </c>
      <c r="C12" s="2057" t="s">
        <v>1613</v>
      </c>
      <c r="D12" s="2055"/>
      <c r="E12" s="2067">
        <f>IF(OR(A12=0,F12="否"),0,'数据-取费表'!K12+'数据-取费表'!S12)</f>
        <v>0</v>
      </c>
      <c r="F12" s="2068" t="s">
        <v>1620</v>
      </c>
      <c r="G12" s="973"/>
      <c r="H12" s="973"/>
      <c r="I12" s="973"/>
      <c r="J12" s="973"/>
      <c r="K12" s="973"/>
      <c r="L12" s="973"/>
      <c r="M12" s="973"/>
      <c r="N12" s="973"/>
      <c r="O12" s="973"/>
      <c r="P12" s="973"/>
      <c r="Q12" s="973"/>
      <c r="R12" s="973"/>
      <c r="S12" s="973"/>
    </row>
    <row r="13" spans="1:22" ht="14.4">
      <c r="A13" s="2069">
        <f>'数据-取费表'!AN13</f>
        <v>0</v>
      </c>
      <c r="B13" s="1373" t="e">
        <f ca="1">IF(F13="是",'数据-取费表'!AO13,0)</f>
        <v>#REF!</v>
      </c>
      <c r="C13" s="2070" t="s">
        <v>1613</v>
      </c>
      <c r="D13" s="2071"/>
      <c r="E13" s="2067">
        <f>IF(OR(A13=0,F13="否"),0,'数据-取费表'!K13+'数据-取费表'!S13)</f>
        <v>0</v>
      </c>
      <c r="F13" s="2068" t="s">
        <v>1620</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423" customWidth="1"/>
    <col min="2" max="2" width="15.77734375" style="423" customWidth="1"/>
    <col min="3" max="3" width="15.10937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1948"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1203</v>
      </c>
      <c r="B1" s="1949" t="s">
        <v>1621</v>
      </c>
      <c r="C1" s="1907" t="s">
        <v>1205</v>
      </c>
      <c r="D1" s="430"/>
      <c r="E1" s="1975"/>
      <c r="F1" s="432" t="s">
        <v>1622</v>
      </c>
      <c r="G1" s="1893" t="s">
        <v>1207</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1055</v>
      </c>
      <c r="B2" s="435" t="e">
        <f ca="1">IF(C2="——",ROUND(C49*D3/10000,0),ROUND(C49*D3/10000,0)-D2)</f>
        <v>#DIV/0!</v>
      </c>
      <c r="C2" s="436"/>
      <c r="D2" s="1951" t="e">
        <f ca="1">SUMIF(INDIRECT("'"&amp;F2&amp;"'"&amp;"!A:A"),"承租人权益价值",INDIRECT("'"&amp;F2&amp;"'"&amp;"!c:c"))</f>
        <v>#REF!</v>
      </c>
      <c r="E2" s="438" t="s">
        <v>1056</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1057</v>
      </c>
      <c r="B3" s="443" t="e">
        <f ca="1">IF(C2="——",C49,ROUND(B2*10000/D3,0))</f>
        <v>#DIV/0!</v>
      </c>
      <c r="C3" s="442" t="s">
        <v>1208</v>
      </c>
      <c r="D3" s="443">
        <f>IF(D1="",'数据-汇总表'!E3,SUMIF('数据-汇总表'!$C19:$C33,D1,'数据-汇总表'!$E19:$E33))</f>
        <v>51096.2</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ht="14.4">
      <c r="A4" s="444" t="s">
        <v>1209</v>
      </c>
      <c r="B4" s="445"/>
      <c r="C4" s="3195" t="s">
        <v>1210</v>
      </c>
      <c r="D4" s="3196"/>
      <c r="E4" s="3197" t="s">
        <v>1211</v>
      </c>
      <c r="F4" s="3198"/>
      <c r="G4" s="3195" t="s">
        <v>1212</v>
      </c>
      <c r="H4" s="3196"/>
      <c r="I4" s="3195" t="s">
        <v>1213</v>
      </c>
      <c r="J4" s="3196"/>
      <c r="K4" s="1991"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76" t="s">
        <v>1212</v>
      </c>
      <c r="AC4" s="3276" t="s">
        <v>1213</v>
      </c>
    </row>
    <row r="5" spans="1:29">
      <c r="A5" s="448"/>
      <c r="B5" s="449"/>
      <c r="C5" s="3199" t="s">
        <v>1216</v>
      </c>
      <c r="D5" s="3200"/>
      <c r="E5" s="3272" t="s">
        <v>1623</v>
      </c>
      <c r="F5" s="3202"/>
      <c r="G5" s="3199" t="s">
        <v>1624</v>
      </c>
      <c r="H5" s="3200"/>
      <c r="I5" s="3199" t="s">
        <v>1625</v>
      </c>
      <c r="J5" s="3200"/>
      <c r="K5" s="1992"/>
      <c r="L5" s="593"/>
      <c r="M5" s="536"/>
      <c r="N5" s="536"/>
      <c r="O5" s="536"/>
      <c r="P5" s="3279"/>
      <c r="Q5" s="3236"/>
      <c r="R5" s="3241"/>
      <c r="S5" s="3242"/>
      <c r="T5" s="3241"/>
      <c r="U5" s="3242"/>
      <c r="V5" s="3214"/>
      <c r="W5" s="3214"/>
      <c r="X5" s="658"/>
      <c r="Y5" s="3241"/>
      <c r="Z5" s="3242"/>
      <c r="AA5" s="3228"/>
      <c r="AB5" s="3228"/>
      <c r="AC5" s="3228"/>
    </row>
    <row r="6" spans="1:29" ht="14.4">
      <c r="A6" s="450"/>
      <c r="B6" s="451"/>
      <c r="C6" s="3204" t="s">
        <v>1217</v>
      </c>
      <c r="D6" s="3205"/>
      <c r="E6" s="3206" t="s">
        <v>1217</v>
      </c>
      <c r="F6" s="3207"/>
      <c r="G6" s="3204" t="s">
        <v>1217</v>
      </c>
      <c r="H6" s="3205"/>
      <c r="I6" s="3204" t="s">
        <v>1217</v>
      </c>
      <c r="J6" s="3205"/>
      <c r="K6" s="1992" t="s">
        <v>1218</v>
      </c>
      <c r="L6" s="593"/>
      <c r="M6" s="536"/>
      <c r="N6" s="536"/>
      <c r="O6" s="536"/>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1993"/>
      <c r="L7" s="595"/>
      <c r="M7" s="596"/>
      <c r="N7" s="596"/>
      <c r="O7" s="596"/>
      <c r="P7" s="3210" t="s">
        <v>1220</v>
      </c>
      <c r="Q7" s="3209"/>
      <c r="R7" s="659" t="s">
        <v>1221</v>
      </c>
      <c r="S7" s="660">
        <f t="shared" ref="S7:S15" si="0">F7</f>
        <v>0</v>
      </c>
      <c r="T7" s="659" t="s">
        <v>1221</v>
      </c>
      <c r="U7" s="660">
        <f t="shared" ref="U7:U15" si="1">H7</f>
        <v>0</v>
      </c>
      <c r="V7" s="659" t="s">
        <v>1221</v>
      </c>
      <c r="W7" s="660">
        <f t="shared" ref="W7:W15"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10" t="s">
        <v>1224</v>
      </c>
      <c r="Q8" s="3211"/>
      <c r="R8" s="659" t="s">
        <v>1221</v>
      </c>
      <c r="S8" s="660">
        <f t="shared" si="0"/>
        <v>0</v>
      </c>
      <c r="T8" s="659" t="s">
        <v>1221</v>
      </c>
      <c r="U8" s="660">
        <f t="shared" si="1"/>
        <v>0</v>
      </c>
      <c r="V8" s="659" t="s">
        <v>1221</v>
      </c>
      <c r="W8" s="660">
        <f t="shared" si="2"/>
        <v>0</v>
      </c>
      <c r="X8" s="661"/>
      <c r="Y8" s="3210" t="s">
        <v>1224</v>
      </c>
      <c r="Z8" s="3211"/>
      <c r="AA8" s="677" t="e">
        <f t="shared" ref="AA8:AA19" si="3">D8/F8</f>
        <v>#DIV/0!</v>
      </c>
      <c r="AB8" s="677" t="e">
        <f t="shared" ref="AB8:AB19" si="4">D8/H8</f>
        <v>#DIV/0!</v>
      </c>
      <c r="AC8" s="677" t="e">
        <f t="shared" ref="AC8:AC19" si="5">D8/J8</f>
        <v>#DIV/0!</v>
      </c>
    </row>
    <row r="9" spans="1:29" s="418" customFormat="1" ht="14.4">
      <c r="A9" s="1740" t="s">
        <v>1225</v>
      </c>
      <c r="B9" s="1741" t="s">
        <v>1226</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12" t="s">
        <v>1227</v>
      </c>
      <c r="Q9" s="663" t="str">
        <f t="shared" ref="Q9:Q15" si="6">B9</f>
        <v>用途</v>
      </c>
      <c r="R9" s="659" t="s">
        <v>1221</v>
      </c>
      <c r="S9" s="660">
        <f t="shared" si="0"/>
        <v>100</v>
      </c>
      <c r="T9" s="659" t="s">
        <v>1221</v>
      </c>
      <c r="U9" s="660">
        <f t="shared" si="1"/>
        <v>100</v>
      </c>
      <c r="V9" s="659" t="s">
        <v>1221</v>
      </c>
      <c r="W9" s="660">
        <f t="shared" si="2"/>
        <v>100</v>
      </c>
      <c r="X9" s="661"/>
      <c r="Y9" s="3186" t="s">
        <v>1228</v>
      </c>
      <c r="Z9" s="677" t="str">
        <f t="shared" ref="Z9:Z15" si="7">Q9</f>
        <v>用途</v>
      </c>
      <c r="AA9" s="677">
        <f t="shared" si="3"/>
        <v>1</v>
      </c>
      <c r="AB9" s="677">
        <f t="shared" si="4"/>
        <v>1</v>
      </c>
      <c r="AC9" s="677">
        <f t="shared" si="5"/>
        <v>1</v>
      </c>
    </row>
    <row r="10" spans="1:29" s="419" customFormat="1" ht="28.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12"/>
      <c r="Q10" s="663" t="str">
        <f t="shared" si="6"/>
        <v>土地使用年限（年）</v>
      </c>
      <c r="R10" s="659" t="s">
        <v>1221</v>
      </c>
      <c r="S10" s="660">
        <f t="shared" si="0"/>
        <v>100</v>
      </c>
      <c r="T10" s="659" t="s">
        <v>1221</v>
      </c>
      <c r="U10" s="660">
        <f t="shared" si="1"/>
        <v>100</v>
      </c>
      <c r="V10" s="659" t="s">
        <v>1221</v>
      </c>
      <c r="W10" s="660">
        <f t="shared" si="2"/>
        <v>100</v>
      </c>
      <c r="X10" s="661"/>
      <c r="Y10" s="3186"/>
      <c r="Z10" s="677" t="str">
        <f t="shared" si="7"/>
        <v>土地使用年限（年）</v>
      </c>
      <c r="AA10" s="677">
        <f t="shared" si="3"/>
        <v>1</v>
      </c>
      <c r="AB10" s="677">
        <f t="shared" si="4"/>
        <v>1</v>
      </c>
      <c r="AC10" s="677">
        <f t="shared" si="5"/>
        <v>1</v>
      </c>
    </row>
    <row r="11" spans="1:29" ht="1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12"/>
      <c r="Q11" s="663" t="str">
        <f t="shared" si="6"/>
        <v>容积率</v>
      </c>
      <c r="R11" s="659" t="s">
        <v>1221</v>
      </c>
      <c r="S11" s="660" t="e">
        <f t="shared" si="0"/>
        <v>#N/A</v>
      </c>
      <c r="T11" s="659" t="s">
        <v>1221</v>
      </c>
      <c r="U11" s="660" t="e">
        <f t="shared" si="1"/>
        <v>#N/A</v>
      </c>
      <c r="V11" s="659" t="s">
        <v>1221</v>
      </c>
      <c r="W11" s="660" t="e">
        <f t="shared" si="2"/>
        <v>#N/A</v>
      </c>
      <c r="X11" s="661"/>
      <c r="Y11" s="3186"/>
      <c r="Z11" s="677" t="str">
        <f t="shared" si="7"/>
        <v>容积率</v>
      </c>
      <c r="AA11" s="677" t="e">
        <f t="shared" si="3"/>
        <v>#N/A</v>
      </c>
      <c r="AB11" s="677" t="e">
        <f t="shared" si="4"/>
        <v>#N/A</v>
      </c>
      <c r="AC11" s="677" t="e">
        <f t="shared" si="5"/>
        <v>#N/A</v>
      </c>
    </row>
    <row r="12" spans="1:29" s="418" customFormat="1" ht="1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12"/>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12"/>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1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12"/>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677">
        <f t="shared" si="5"/>
        <v>1</v>
      </c>
    </row>
    <row r="15" spans="1:29" ht="96.6">
      <c r="A15" s="565" t="s">
        <v>1233</v>
      </c>
      <c r="B15" s="1869" t="s">
        <v>1626</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15" t="s">
        <v>1235</v>
      </c>
      <c r="Q15" s="598" t="str">
        <f t="shared" si="6"/>
        <v>居住社区成熟度</v>
      </c>
      <c r="R15" s="664" t="s">
        <v>1221</v>
      </c>
      <c r="S15" s="665">
        <f t="shared" si="0"/>
        <v>100</v>
      </c>
      <c r="T15" s="664" t="s">
        <v>1221</v>
      </c>
      <c r="U15" s="665">
        <f t="shared" si="1"/>
        <v>100</v>
      </c>
      <c r="V15" s="664" t="s">
        <v>1221</v>
      </c>
      <c r="W15" s="665">
        <f t="shared" si="2"/>
        <v>100</v>
      </c>
      <c r="X15" s="658"/>
      <c r="Y15" s="3220" t="s">
        <v>1235</v>
      </c>
      <c r="Z15" s="657" t="str">
        <f t="shared" si="7"/>
        <v>居住社区成熟度</v>
      </c>
      <c r="AA15" s="657">
        <f t="shared" si="3"/>
        <v>1</v>
      </c>
      <c r="AB15" s="657">
        <f t="shared" si="4"/>
        <v>1</v>
      </c>
      <c r="AC15" s="657">
        <f t="shared" si="5"/>
        <v>1</v>
      </c>
    </row>
    <row r="16" spans="1:29" ht="15">
      <c r="A16" s="569"/>
      <c r="B16" s="670"/>
      <c r="C16" s="485"/>
      <c r="D16" s="486"/>
      <c r="E16" s="1874"/>
      <c r="F16" s="486"/>
      <c r="G16" s="1753"/>
      <c r="H16" s="488"/>
      <c r="I16" s="1753"/>
      <c r="J16" s="486"/>
      <c r="K16" s="1997"/>
      <c r="L16" s="604"/>
      <c r="M16" s="536"/>
      <c r="N16" s="536"/>
      <c r="O16" s="536"/>
      <c r="P16" s="3216"/>
      <c r="Q16" s="598"/>
      <c r="R16" s="664"/>
      <c r="S16" s="665"/>
      <c r="T16" s="664"/>
      <c r="U16" s="665"/>
      <c r="V16" s="664"/>
      <c r="W16" s="665"/>
      <c r="X16" s="658"/>
      <c r="Y16" s="3221"/>
      <c r="Z16" s="657"/>
      <c r="AA16" s="657">
        <v>1</v>
      </c>
      <c r="AB16" s="657">
        <v>1</v>
      </c>
      <c r="AC16" s="657">
        <v>1</v>
      </c>
    </row>
    <row r="17" spans="1:29" ht="82.8">
      <c r="A17" s="569"/>
      <c r="B17" s="1871" t="s">
        <v>1238</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16"/>
      <c r="Q17" s="598" t="str">
        <f>B17</f>
        <v>交通便捷度</v>
      </c>
      <c r="R17" s="664" t="s">
        <v>1221</v>
      </c>
      <c r="S17" s="665">
        <f>F17</f>
        <v>100</v>
      </c>
      <c r="T17" s="664" t="s">
        <v>1221</v>
      </c>
      <c r="U17" s="665">
        <f>H17</f>
        <v>100</v>
      </c>
      <c r="V17" s="664" t="s">
        <v>1221</v>
      </c>
      <c r="W17" s="665">
        <f>J17</f>
        <v>100</v>
      </c>
      <c r="X17" s="658"/>
      <c r="Y17" s="3221"/>
      <c r="Z17" s="657" t="str">
        <f>Q17</f>
        <v>交通便捷度</v>
      </c>
      <c r="AA17" s="657">
        <f t="shared" si="3"/>
        <v>1</v>
      </c>
      <c r="AB17" s="657">
        <f t="shared" si="4"/>
        <v>1</v>
      </c>
      <c r="AC17" s="657">
        <f t="shared" si="5"/>
        <v>1</v>
      </c>
    </row>
    <row r="18" spans="1:29" ht="15">
      <c r="A18" s="569"/>
      <c r="B18" s="1767"/>
      <c r="C18" s="496"/>
      <c r="D18" s="488"/>
      <c r="E18" s="1880"/>
      <c r="F18" s="488"/>
      <c r="G18" s="1872"/>
      <c r="H18" s="486"/>
      <c r="I18" s="1872"/>
      <c r="J18" s="486"/>
      <c r="K18" s="1997"/>
      <c r="L18" s="604"/>
      <c r="M18" s="536"/>
      <c r="N18" s="536"/>
      <c r="O18" s="536"/>
      <c r="P18" s="3216"/>
      <c r="Q18" s="598"/>
      <c r="R18" s="664"/>
      <c r="S18" s="665"/>
      <c r="T18" s="664"/>
      <c r="U18" s="665"/>
      <c r="V18" s="664"/>
      <c r="W18" s="665"/>
      <c r="X18" s="658"/>
      <c r="Y18" s="3221"/>
      <c r="Z18" s="657"/>
      <c r="AA18" s="657">
        <v>1</v>
      </c>
      <c r="AB18" s="657">
        <v>1</v>
      </c>
      <c r="AC18" s="657">
        <v>1</v>
      </c>
    </row>
    <row r="19" spans="1:29" ht="41.4">
      <c r="A19" s="569"/>
      <c r="B19" s="1871" t="s">
        <v>1239</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16"/>
      <c r="Q19" s="598" t="str">
        <f>B19</f>
        <v>公共配套设施</v>
      </c>
      <c r="R19" s="664" t="s">
        <v>1221</v>
      </c>
      <c r="S19" s="665">
        <f>F19</f>
        <v>100</v>
      </c>
      <c r="T19" s="664" t="s">
        <v>1221</v>
      </c>
      <c r="U19" s="665">
        <f>H19</f>
        <v>100</v>
      </c>
      <c r="V19" s="664" t="s">
        <v>1221</v>
      </c>
      <c r="W19" s="665">
        <f>J19</f>
        <v>100</v>
      </c>
      <c r="X19" s="658"/>
      <c r="Y19" s="3221"/>
      <c r="Z19" s="657" t="str">
        <f>Q19</f>
        <v>公共配套设施</v>
      </c>
      <c r="AA19" s="657">
        <f t="shared" si="3"/>
        <v>1</v>
      </c>
      <c r="AB19" s="657">
        <f t="shared" si="4"/>
        <v>1</v>
      </c>
      <c r="AC19" s="657">
        <f t="shared" si="5"/>
        <v>1</v>
      </c>
    </row>
    <row r="20" spans="1:29" ht="15">
      <c r="A20" s="569"/>
      <c r="B20" s="1767"/>
      <c r="C20" s="485"/>
      <c r="D20" s="486"/>
      <c r="E20" s="1874"/>
      <c r="F20" s="486"/>
      <c r="G20" s="1753"/>
      <c r="H20" s="486"/>
      <c r="I20" s="1753"/>
      <c r="J20" s="486"/>
      <c r="K20" s="1997"/>
      <c r="L20" s="604"/>
      <c r="M20" s="536"/>
      <c r="N20" s="536"/>
      <c r="O20" s="536"/>
      <c r="P20" s="3216"/>
      <c r="Q20" s="598"/>
      <c r="R20" s="664"/>
      <c r="S20" s="665"/>
      <c r="T20" s="664"/>
      <c r="U20" s="665"/>
      <c r="V20" s="664"/>
      <c r="W20" s="665"/>
      <c r="X20" s="658"/>
      <c r="Y20" s="3221"/>
      <c r="Z20" s="657"/>
      <c r="AA20" s="657">
        <v>1</v>
      </c>
      <c r="AB20" s="657">
        <v>1</v>
      </c>
      <c r="AC20" s="657">
        <v>1</v>
      </c>
    </row>
    <row r="21" spans="1:29" ht="27.6">
      <c r="A21" s="569"/>
      <c r="B21" s="1873" t="s">
        <v>1240</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16"/>
      <c r="Q21" s="598" t="str">
        <f>B21</f>
        <v>基础设施水平</v>
      </c>
      <c r="R21" s="664" t="s">
        <v>1221</v>
      </c>
      <c r="S21" s="665">
        <f>F21</f>
        <v>100</v>
      </c>
      <c r="T21" s="664" t="s">
        <v>1221</v>
      </c>
      <c r="U21" s="665">
        <f>H21</f>
        <v>100</v>
      </c>
      <c r="V21" s="664" t="s">
        <v>1221</v>
      </c>
      <c r="W21" s="665">
        <f>J21</f>
        <v>100</v>
      </c>
      <c r="X21" s="658"/>
      <c r="Y21" s="322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6"/>
      <c r="G22" s="1752"/>
      <c r="H22" s="486"/>
      <c r="I22" s="485"/>
      <c r="J22" s="486"/>
      <c r="K22" s="1998"/>
      <c r="L22" s="604"/>
      <c r="M22" s="536"/>
      <c r="N22" s="536"/>
      <c r="O22" s="536"/>
      <c r="P22" s="3216"/>
      <c r="Q22" s="598"/>
      <c r="R22" s="664"/>
      <c r="S22" s="665"/>
      <c r="T22" s="664"/>
      <c r="U22" s="665"/>
      <c r="V22" s="664"/>
      <c r="W22" s="665"/>
      <c r="X22" s="658"/>
      <c r="Y22" s="3221"/>
      <c r="Z22" s="657"/>
      <c r="AA22" s="657">
        <v>1</v>
      </c>
      <c r="AB22" s="657">
        <v>1</v>
      </c>
      <c r="AC22" s="657">
        <v>1</v>
      </c>
    </row>
    <row r="23" spans="1:29" ht="55.2">
      <c r="A23" s="569"/>
      <c r="B23" s="1871" t="s">
        <v>1627</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16"/>
      <c r="Q23" s="598" t="str">
        <f>B23</f>
        <v>自然及人文环境</v>
      </c>
      <c r="R23" s="664" t="s">
        <v>1221</v>
      </c>
      <c r="S23" s="665">
        <f>F23</f>
        <v>100</v>
      </c>
      <c r="T23" s="664" t="s">
        <v>1221</v>
      </c>
      <c r="U23" s="665">
        <f>H23</f>
        <v>100</v>
      </c>
      <c r="V23" s="664" t="s">
        <v>1221</v>
      </c>
      <c r="W23" s="665">
        <f>J23</f>
        <v>100</v>
      </c>
      <c r="X23" s="658"/>
      <c r="Y23" s="3221"/>
      <c r="Z23" s="657" t="str">
        <f>Q23</f>
        <v>自然及人文环境</v>
      </c>
      <c r="AA23" s="657">
        <f>D23/F23</f>
        <v>1</v>
      </c>
      <c r="AB23" s="657">
        <f>D23/H23</f>
        <v>1</v>
      </c>
      <c r="AC23" s="657">
        <f>D23/J23</f>
        <v>1</v>
      </c>
    </row>
    <row r="24" spans="1:29" ht="15">
      <c r="A24" s="569"/>
      <c r="B24" s="1767"/>
      <c r="C24" s="485"/>
      <c r="D24" s="486"/>
      <c r="E24" s="1874"/>
      <c r="F24" s="486"/>
      <c r="G24" s="1753"/>
      <c r="H24" s="486"/>
      <c r="I24" s="1753"/>
      <c r="J24" s="486"/>
      <c r="K24" s="1997"/>
      <c r="L24" s="604"/>
      <c r="M24" s="536"/>
      <c r="N24" s="536"/>
      <c r="O24" s="536"/>
      <c r="P24" s="3216"/>
      <c r="Q24" s="598"/>
      <c r="R24" s="664"/>
      <c r="S24" s="665"/>
      <c r="T24" s="664"/>
      <c r="U24" s="665"/>
      <c r="V24" s="664"/>
      <c r="W24" s="665"/>
      <c r="X24" s="658"/>
      <c r="Y24" s="3221"/>
      <c r="Z24" s="657"/>
      <c r="AA24" s="657">
        <v>1</v>
      </c>
      <c r="AB24" s="657">
        <v>1</v>
      </c>
      <c r="AC24" s="657">
        <v>1</v>
      </c>
    </row>
    <row r="25" spans="1:29" ht="15">
      <c r="A25" s="569"/>
      <c r="B25" s="1744" t="s">
        <v>1628</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16"/>
      <c r="Q25" s="598" t="str">
        <f t="shared" ref="Q25:Q46" si="11">B25</f>
        <v>楼层-1</v>
      </c>
      <c r="R25" s="664" t="s">
        <v>1221</v>
      </c>
      <c r="S25" s="665">
        <f t="shared" ref="S25:S46" si="12">F25</f>
        <v>100</v>
      </c>
      <c r="T25" s="664" t="s">
        <v>1221</v>
      </c>
      <c r="U25" s="665">
        <f t="shared" ref="U25:U46" si="13">H25</f>
        <v>100</v>
      </c>
      <c r="V25" s="664" t="s">
        <v>1221</v>
      </c>
      <c r="W25" s="665">
        <f t="shared" ref="W25:W46" si="14">J25</f>
        <v>100</v>
      </c>
      <c r="X25" s="658"/>
      <c r="Y25" s="3221"/>
      <c r="Z25" s="657" t="str">
        <f>Q25</f>
        <v>楼层-1</v>
      </c>
      <c r="AA25" s="657">
        <f t="shared" ref="AA25:AA46" si="15">D25/F25</f>
        <v>1</v>
      </c>
      <c r="AB25" s="657">
        <f t="shared" ref="AB25:AB46" si="16">D25/H25</f>
        <v>1</v>
      </c>
      <c r="AC25" s="657">
        <f t="shared" ref="AC25:AC46" si="17">D25/J25</f>
        <v>1</v>
      </c>
    </row>
    <row r="26" spans="1:29" ht="15">
      <c r="A26" s="569"/>
      <c r="B26" s="1744" t="s">
        <v>1244</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16"/>
      <c r="Q26" s="598" t="str">
        <f t="shared" si="11"/>
        <v>朝向</v>
      </c>
      <c r="R26" s="664" t="s">
        <v>1221</v>
      </c>
      <c r="S26" s="665">
        <f t="shared" si="12"/>
        <v>100</v>
      </c>
      <c r="T26" s="664" t="s">
        <v>1221</v>
      </c>
      <c r="U26" s="665">
        <f t="shared" si="13"/>
        <v>100</v>
      </c>
      <c r="V26" s="664" t="s">
        <v>1221</v>
      </c>
      <c r="W26" s="665">
        <f t="shared" si="14"/>
        <v>100</v>
      </c>
      <c r="X26" s="658"/>
      <c r="Y26" s="3221"/>
      <c r="Z26" s="657" t="str">
        <f>Q26</f>
        <v>朝向</v>
      </c>
      <c r="AA26" s="657">
        <f t="shared" si="15"/>
        <v>1</v>
      </c>
      <c r="AB26" s="657">
        <f t="shared" si="16"/>
        <v>1</v>
      </c>
      <c r="AC26" s="657">
        <f t="shared" si="17"/>
        <v>1</v>
      </c>
    </row>
    <row r="27" spans="1:29" s="418" customFormat="1" ht="1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16"/>
      <c r="Q27" s="663">
        <f t="shared" si="11"/>
        <v>111</v>
      </c>
      <c r="R27" s="659" t="s">
        <v>1221</v>
      </c>
      <c r="S27" s="660">
        <f t="shared" si="12"/>
        <v>100</v>
      </c>
      <c r="T27" s="659" t="s">
        <v>1221</v>
      </c>
      <c r="U27" s="660">
        <f t="shared" si="13"/>
        <v>100</v>
      </c>
      <c r="V27" s="659" t="s">
        <v>1221</v>
      </c>
      <c r="W27" s="660">
        <f t="shared" si="14"/>
        <v>100</v>
      </c>
      <c r="X27" s="661"/>
      <c r="Y27" s="3221"/>
      <c r="Z27" s="677">
        <f>Q27</f>
        <v>111</v>
      </c>
      <c r="AA27" s="657">
        <f t="shared" si="15"/>
        <v>1</v>
      </c>
      <c r="AB27" s="657">
        <f t="shared" si="16"/>
        <v>1</v>
      </c>
      <c r="AC27" s="657">
        <f t="shared" si="17"/>
        <v>1</v>
      </c>
    </row>
    <row r="28" spans="1:29" ht="1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16"/>
      <c r="Q28" s="598">
        <f t="shared" si="11"/>
        <v>111</v>
      </c>
      <c r="R28" s="664" t="s">
        <v>1221</v>
      </c>
      <c r="S28" s="665">
        <f t="shared" si="12"/>
        <v>100</v>
      </c>
      <c r="T28" s="664" t="s">
        <v>1221</v>
      </c>
      <c r="U28" s="665">
        <f t="shared" si="13"/>
        <v>100</v>
      </c>
      <c r="V28" s="664" t="s">
        <v>1221</v>
      </c>
      <c r="W28" s="665">
        <f t="shared" si="14"/>
        <v>100</v>
      </c>
      <c r="X28" s="658"/>
      <c r="Y28" s="3221"/>
      <c r="Z28" s="657">
        <f t="shared" ref="Z28:Z46" si="18">Q28</f>
        <v>111</v>
      </c>
      <c r="AA28" s="657">
        <f t="shared" si="15"/>
        <v>1</v>
      </c>
      <c r="AB28" s="657">
        <f t="shared" si="16"/>
        <v>1</v>
      </c>
      <c r="AC28" s="657">
        <f t="shared" si="17"/>
        <v>1</v>
      </c>
    </row>
    <row r="29" spans="1:29" ht="1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16"/>
      <c r="Q29" s="598">
        <f t="shared" si="11"/>
        <v>111</v>
      </c>
      <c r="R29" s="664" t="s">
        <v>1221</v>
      </c>
      <c r="S29" s="665">
        <f t="shared" si="12"/>
        <v>100</v>
      </c>
      <c r="T29" s="664" t="s">
        <v>1221</v>
      </c>
      <c r="U29" s="665">
        <f t="shared" si="13"/>
        <v>100</v>
      </c>
      <c r="V29" s="664" t="s">
        <v>1221</v>
      </c>
      <c r="W29" s="665">
        <f t="shared" si="14"/>
        <v>100</v>
      </c>
      <c r="X29" s="658"/>
      <c r="Y29" s="3221"/>
      <c r="Z29" s="657">
        <f t="shared" si="18"/>
        <v>111</v>
      </c>
      <c r="AA29" s="657">
        <f t="shared" si="15"/>
        <v>1</v>
      </c>
      <c r="AB29" s="657">
        <f t="shared" si="16"/>
        <v>1</v>
      </c>
      <c r="AC29" s="657">
        <f t="shared" si="17"/>
        <v>1</v>
      </c>
    </row>
    <row r="30" spans="1:29" ht="1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16"/>
      <c r="Q30" s="598">
        <f t="shared" si="11"/>
        <v>111</v>
      </c>
      <c r="R30" s="664" t="s">
        <v>1221</v>
      </c>
      <c r="S30" s="665">
        <f t="shared" si="12"/>
        <v>100</v>
      </c>
      <c r="T30" s="664" t="s">
        <v>1221</v>
      </c>
      <c r="U30" s="665">
        <f t="shared" si="13"/>
        <v>100</v>
      </c>
      <c r="V30" s="664" t="s">
        <v>1221</v>
      </c>
      <c r="W30" s="665">
        <f t="shared" si="14"/>
        <v>100</v>
      </c>
      <c r="X30" s="658"/>
      <c r="Y30" s="3221"/>
      <c r="Z30" s="657">
        <f t="shared" si="18"/>
        <v>111</v>
      </c>
      <c r="AA30" s="657">
        <f t="shared" si="15"/>
        <v>1</v>
      </c>
      <c r="AB30" s="657">
        <f t="shared" si="16"/>
        <v>1</v>
      </c>
      <c r="AC30" s="657">
        <f t="shared" si="17"/>
        <v>1</v>
      </c>
    </row>
    <row r="31" spans="1:29" ht="1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16"/>
      <c r="Q31" s="598">
        <f t="shared" si="11"/>
        <v>111</v>
      </c>
      <c r="R31" s="664" t="s">
        <v>1221</v>
      </c>
      <c r="S31" s="665">
        <f t="shared" si="12"/>
        <v>100</v>
      </c>
      <c r="T31" s="664" t="s">
        <v>1221</v>
      </c>
      <c r="U31" s="665">
        <f t="shared" si="13"/>
        <v>100</v>
      </c>
      <c r="V31" s="664" t="s">
        <v>1221</v>
      </c>
      <c r="W31" s="665">
        <f t="shared" si="14"/>
        <v>100</v>
      </c>
      <c r="X31" s="658"/>
      <c r="Y31" s="3221"/>
      <c r="Z31" s="657">
        <f t="shared" si="18"/>
        <v>111</v>
      </c>
      <c r="AA31" s="657">
        <f t="shared" si="15"/>
        <v>1</v>
      </c>
      <c r="AB31" s="657">
        <f t="shared" si="16"/>
        <v>1</v>
      </c>
      <c r="AC31" s="657">
        <f t="shared" si="17"/>
        <v>1</v>
      </c>
    </row>
    <row r="32" spans="1:29" ht="15">
      <c r="A32" s="565" t="s">
        <v>1245</v>
      </c>
      <c r="B32" s="1741" t="s">
        <v>1246</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17" t="s">
        <v>1247</v>
      </c>
      <c r="Q32" s="598" t="str">
        <f t="shared" si="11"/>
        <v>建筑类型</v>
      </c>
      <c r="R32" s="664" t="s">
        <v>1221</v>
      </c>
      <c r="S32" s="665">
        <f t="shared" si="12"/>
        <v>100</v>
      </c>
      <c r="T32" s="664" t="s">
        <v>1221</v>
      </c>
      <c r="U32" s="665">
        <f t="shared" si="13"/>
        <v>100</v>
      </c>
      <c r="V32" s="664" t="s">
        <v>1221</v>
      </c>
      <c r="W32" s="665">
        <f t="shared" si="14"/>
        <v>100</v>
      </c>
      <c r="X32" s="658"/>
      <c r="Y32" s="3222" t="s">
        <v>1247</v>
      </c>
      <c r="Z32" s="657" t="str">
        <f t="shared" si="18"/>
        <v>建筑类型</v>
      </c>
      <c r="AA32" s="657">
        <f t="shared" si="15"/>
        <v>1</v>
      </c>
      <c r="AB32" s="657">
        <f t="shared" si="16"/>
        <v>1</v>
      </c>
      <c r="AC32" s="657">
        <f t="shared" si="17"/>
        <v>1</v>
      </c>
    </row>
    <row r="33" spans="1:29" s="420" customFormat="1" ht="15">
      <c r="A33" s="687"/>
      <c r="B33" s="1744" t="s">
        <v>1248</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18"/>
      <c r="Q33" s="666" t="str">
        <f t="shared" si="11"/>
        <v>项目建筑规模</v>
      </c>
      <c r="R33" s="667" t="s">
        <v>1221</v>
      </c>
      <c r="S33" s="668" t="e">
        <f t="shared" si="12"/>
        <v>#N/A</v>
      </c>
      <c r="T33" s="667" t="s">
        <v>1221</v>
      </c>
      <c r="U33" s="668" t="e">
        <f t="shared" si="13"/>
        <v>#N/A</v>
      </c>
      <c r="V33" s="667" t="s">
        <v>1221</v>
      </c>
      <c r="W33" s="668" t="e">
        <f t="shared" si="14"/>
        <v>#N/A</v>
      </c>
      <c r="X33" s="669"/>
      <c r="Y33" s="3222"/>
      <c r="Z33" s="678" t="str">
        <f t="shared" si="18"/>
        <v>项目建筑规模</v>
      </c>
      <c r="AA33" s="657" t="e">
        <f t="shared" si="15"/>
        <v>#N/A</v>
      </c>
      <c r="AB33" s="657" t="e">
        <f t="shared" si="16"/>
        <v>#N/A</v>
      </c>
      <c r="AC33" s="657" t="e">
        <f t="shared" si="17"/>
        <v>#N/A</v>
      </c>
    </row>
    <row r="34" spans="1:29" ht="15">
      <c r="A34" s="685"/>
      <c r="B34" s="1744" t="s">
        <v>1249</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18"/>
      <c r="Q34" s="598" t="str">
        <f t="shared" si="11"/>
        <v>建筑结构</v>
      </c>
      <c r="R34" s="664" t="s">
        <v>1221</v>
      </c>
      <c r="S34" s="665">
        <f t="shared" si="12"/>
        <v>100</v>
      </c>
      <c r="T34" s="664" t="s">
        <v>1221</v>
      </c>
      <c r="U34" s="665">
        <f t="shared" si="13"/>
        <v>100</v>
      </c>
      <c r="V34" s="664" t="s">
        <v>1221</v>
      </c>
      <c r="W34" s="665">
        <f t="shared" si="14"/>
        <v>100</v>
      </c>
      <c r="X34" s="658"/>
      <c r="Y34" s="3222"/>
      <c r="Z34" s="657" t="str">
        <f t="shared" si="18"/>
        <v>建筑结构</v>
      </c>
      <c r="AA34" s="657">
        <f t="shared" si="15"/>
        <v>1</v>
      </c>
      <c r="AB34" s="657">
        <f t="shared" si="16"/>
        <v>1</v>
      </c>
      <c r="AC34" s="657">
        <f t="shared" si="17"/>
        <v>1</v>
      </c>
    </row>
    <row r="35" spans="1:29" ht="15">
      <c r="A35" s="685"/>
      <c r="B35" s="1744" t="s">
        <v>1629</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18"/>
      <c r="Q35" s="598" t="str">
        <f t="shared" si="11"/>
        <v>建筑品质</v>
      </c>
      <c r="R35" s="664" t="s">
        <v>1221</v>
      </c>
      <c r="S35" s="665">
        <f t="shared" si="12"/>
        <v>100</v>
      </c>
      <c r="T35" s="664" t="s">
        <v>1221</v>
      </c>
      <c r="U35" s="665">
        <f t="shared" si="13"/>
        <v>100</v>
      </c>
      <c r="V35" s="664" t="s">
        <v>1221</v>
      </c>
      <c r="W35" s="665">
        <f t="shared" si="14"/>
        <v>100</v>
      </c>
      <c r="X35" s="658"/>
      <c r="Y35" s="3222"/>
      <c r="Z35" s="657" t="str">
        <f t="shared" si="18"/>
        <v>建筑品质</v>
      </c>
      <c r="AA35" s="657">
        <f t="shared" si="15"/>
        <v>1</v>
      </c>
      <c r="AB35" s="657">
        <f t="shared" si="16"/>
        <v>1</v>
      </c>
      <c r="AC35" s="657">
        <f t="shared" si="17"/>
        <v>1</v>
      </c>
    </row>
    <row r="36" spans="1:29" ht="15">
      <c r="A36" s="685"/>
      <c r="B36" s="1744" t="s">
        <v>1251</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18"/>
      <c r="Q36" s="598" t="str">
        <f t="shared" si="11"/>
        <v>公共部分装修</v>
      </c>
      <c r="R36" s="664" t="s">
        <v>1221</v>
      </c>
      <c r="S36" s="665">
        <f t="shared" si="12"/>
        <v>100</v>
      </c>
      <c r="T36" s="664" t="s">
        <v>1221</v>
      </c>
      <c r="U36" s="665">
        <f t="shared" si="13"/>
        <v>100</v>
      </c>
      <c r="V36" s="664" t="s">
        <v>1221</v>
      </c>
      <c r="W36" s="665">
        <f t="shared" si="14"/>
        <v>100</v>
      </c>
      <c r="X36" s="658"/>
      <c r="Y36" s="3222"/>
      <c r="Z36" s="657" t="str">
        <f t="shared" si="18"/>
        <v>公共部分装修</v>
      </c>
      <c r="AA36" s="657">
        <f t="shared" si="15"/>
        <v>1</v>
      </c>
      <c r="AB36" s="657">
        <f t="shared" si="16"/>
        <v>1</v>
      </c>
      <c r="AC36" s="657">
        <f t="shared" si="17"/>
        <v>1</v>
      </c>
    </row>
    <row r="37" spans="1:29" s="418" customFormat="1" ht="15">
      <c r="A37" s="1770"/>
      <c r="B37" s="1744" t="s">
        <v>697</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18"/>
      <c r="Q37" s="663" t="str">
        <f t="shared" si="11"/>
        <v>成新度</v>
      </c>
      <c r="R37" s="659" t="s">
        <v>1221</v>
      </c>
      <c r="S37" s="660" t="e">
        <f t="shared" si="12"/>
        <v>#N/A</v>
      </c>
      <c r="T37" s="659" t="s">
        <v>1221</v>
      </c>
      <c r="U37" s="660" t="e">
        <f t="shared" si="13"/>
        <v>#N/A</v>
      </c>
      <c r="V37" s="659" t="s">
        <v>1221</v>
      </c>
      <c r="W37" s="660" t="e">
        <f t="shared" si="14"/>
        <v>#N/A</v>
      </c>
      <c r="X37" s="661"/>
      <c r="Y37" s="3222"/>
      <c r="Z37" s="677" t="str">
        <f t="shared" si="18"/>
        <v>成新度</v>
      </c>
      <c r="AA37" s="677" t="e">
        <f t="shared" si="15"/>
        <v>#N/A</v>
      </c>
      <c r="AB37" s="677" t="e">
        <f t="shared" si="16"/>
        <v>#N/A</v>
      </c>
      <c r="AC37" s="677" t="e">
        <f t="shared" si="17"/>
        <v>#N/A</v>
      </c>
    </row>
    <row r="38" spans="1:29" ht="15">
      <c r="A38" s="685"/>
      <c r="B38" s="1744" t="s">
        <v>1255</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18" t="s">
        <v>1247</v>
      </c>
      <c r="Q38" s="598" t="str">
        <f t="shared" si="11"/>
        <v>物业管理</v>
      </c>
      <c r="R38" s="664" t="s">
        <v>1221</v>
      </c>
      <c r="S38" s="665">
        <f t="shared" si="12"/>
        <v>100</v>
      </c>
      <c r="T38" s="664" t="s">
        <v>1221</v>
      </c>
      <c r="U38" s="665">
        <f t="shared" si="13"/>
        <v>100</v>
      </c>
      <c r="V38" s="664" t="s">
        <v>1221</v>
      </c>
      <c r="W38" s="665">
        <f t="shared" si="14"/>
        <v>100</v>
      </c>
      <c r="X38" s="658"/>
      <c r="Y38" s="3222" t="s">
        <v>1247</v>
      </c>
      <c r="Z38" s="657" t="str">
        <f t="shared" si="18"/>
        <v>物业管理</v>
      </c>
      <c r="AA38" s="657">
        <f t="shared" si="15"/>
        <v>1</v>
      </c>
      <c r="AB38" s="657">
        <f t="shared" si="16"/>
        <v>1</v>
      </c>
      <c r="AC38" s="657">
        <f t="shared" si="17"/>
        <v>1</v>
      </c>
    </row>
    <row r="39" spans="1:29" ht="15">
      <c r="A39" s="685"/>
      <c r="B39" s="1744" t="s">
        <v>1257</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18"/>
      <c r="Q39" s="598" t="str">
        <f t="shared" si="11"/>
        <v>市政基础设施</v>
      </c>
      <c r="R39" s="664" t="s">
        <v>1221</v>
      </c>
      <c r="S39" s="665">
        <f t="shared" si="12"/>
        <v>100</v>
      </c>
      <c r="T39" s="664" t="s">
        <v>1221</v>
      </c>
      <c r="U39" s="665">
        <f t="shared" si="13"/>
        <v>100</v>
      </c>
      <c r="V39" s="664" t="s">
        <v>1221</v>
      </c>
      <c r="W39" s="665">
        <f t="shared" si="14"/>
        <v>100</v>
      </c>
      <c r="X39" s="658"/>
      <c r="Y39" s="3222"/>
      <c r="Z39" s="657" t="str">
        <f t="shared" si="18"/>
        <v>市政基础设施</v>
      </c>
      <c r="AA39" s="657">
        <f t="shared" si="15"/>
        <v>1</v>
      </c>
      <c r="AB39" s="657">
        <f t="shared" si="16"/>
        <v>1</v>
      </c>
      <c r="AC39" s="657">
        <f t="shared" si="17"/>
        <v>1</v>
      </c>
    </row>
    <row r="40" spans="1:29" ht="15">
      <c r="A40" s="685"/>
      <c r="B40" s="1744" t="s">
        <v>1630</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18"/>
      <c r="Q40" s="598" t="str">
        <f t="shared" si="11"/>
        <v>房型</v>
      </c>
      <c r="R40" s="664" t="s">
        <v>1221</v>
      </c>
      <c r="S40" s="665">
        <f t="shared" si="12"/>
        <v>100</v>
      </c>
      <c r="T40" s="664" t="s">
        <v>1221</v>
      </c>
      <c r="U40" s="665">
        <f t="shared" si="13"/>
        <v>100</v>
      </c>
      <c r="V40" s="664" t="s">
        <v>1221</v>
      </c>
      <c r="W40" s="665">
        <f t="shared" si="14"/>
        <v>100</v>
      </c>
      <c r="X40" s="658"/>
      <c r="Y40" s="3222"/>
      <c r="Z40" s="657" t="str">
        <f t="shared" si="18"/>
        <v>房型</v>
      </c>
      <c r="AA40" s="657">
        <f t="shared" si="15"/>
        <v>1</v>
      </c>
      <c r="AB40" s="657">
        <f t="shared" si="16"/>
        <v>1</v>
      </c>
      <c r="AC40" s="657">
        <f t="shared" si="17"/>
        <v>1</v>
      </c>
    </row>
    <row r="41" spans="1:29" s="420" customFormat="1" ht="28.8">
      <c r="A41" s="687"/>
      <c r="B41" s="1744" t="s">
        <v>1631</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18"/>
      <c r="Q41" s="666" t="str">
        <f t="shared" si="11"/>
        <v>单套/主力户型建筑面积</v>
      </c>
      <c r="R41" s="667" t="s">
        <v>1221</v>
      </c>
      <c r="S41" s="668">
        <f t="shared" si="12"/>
        <v>100</v>
      </c>
      <c r="T41" s="667" t="s">
        <v>1221</v>
      </c>
      <c r="U41" s="668">
        <f t="shared" si="13"/>
        <v>100</v>
      </c>
      <c r="V41" s="667" t="s">
        <v>1221</v>
      </c>
      <c r="W41" s="668">
        <f t="shared" si="14"/>
        <v>100</v>
      </c>
      <c r="X41" s="669"/>
      <c r="Y41" s="3222"/>
      <c r="Z41" s="678" t="str">
        <f t="shared" si="18"/>
        <v>单套/主力户型建筑面积</v>
      </c>
      <c r="AA41" s="657">
        <f t="shared" si="15"/>
        <v>1</v>
      </c>
      <c r="AB41" s="657">
        <f t="shared" si="16"/>
        <v>1</v>
      </c>
      <c r="AC41" s="657">
        <f t="shared" si="17"/>
        <v>1</v>
      </c>
    </row>
    <row r="42" spans="1:29" ht="15">
      <c r="A42" s="685"/>
      <c r="B42" s="1744" t="s">
        <v>1261</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18"/>
      <c r="Q42" s="598" t="str">
        <f t="shared" si="11"/>
        <v>内部装修</v>
      </c>
      <c r="R42" s="664" t="s">
        <v>1221</v>
      </c>
      <c r="S42" s="665">
        <f t="shared" si="12"/>
        <v>100</v>
      </c>
      <c r="T42" s="664" t="s">
        <v>1221</v>
      </c>
      <c r="U42" s="665">
        <f t="shared" si="13"/>
        <v>100</v>
      </c>
      <c r="V42" s="664" t="s">
        <v>1221</v>
      </c>
      <c r="W42" s="665">
        <f t="shared" si="14"/>
        <v>100</v>
      </c>
      <c r="X42" s="658"/>
      <c r="Y42" s="3222"/>
      <c r="Z42" s="657" t="str">
        <f t="shared" si="18"/>
        <v>内部装修</v>
      </c>
      <c r="AA42" s="657">
        <f t="shared" si="15"/>
        <v>1</v>
      </c>
      <c r="AB42" s="657">
        <f t="shared" si="16"/>
        <v>1</v>
      </c>
      <c r="AC42" s="657">
        <f t="shared" si="17"/>
        <v>1</v>
      </c>
    </row>
    <row r="43" spans="1:29" ht="28.8">
      <c r="A43" s="685"/>
      <c r="B43" s="1744" t="s">
        <v>1262</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18"/>
      <c r="Q43" s="598" t="str">
        <f t="shared" si="11"/>
        <v>内部装修维护情况</v>
      </c>
      <c r="R43" s="664" t="s">
        <v>1221</v>
      </c>
      <c r="S43" s="665">
        <f t="shared" si="12"/>
        <v>100</v>
      </c>
      <c r="T43" s="664" t="s">
        <v>1221</v>
      </c>
      <c r="U43" s="665">
        <f t="shared" si="13"/>
        <v>100</v>
      </c>
      <c r="V43" s="664" t="s">
        <v>1221</v>
      </c>
      <c r="W43" s="665">
        <f t="shared" si="14"/>
        <v>100</v>
      </c>
      <c r="X43" s="658"/>
      <c r="Y43" s="3222"/>
      <c r="Z43" s="657" t="str">
        <f t="shared" si="18"/>
        <v>内部装修维护情况</v>
      </c>
      <c r="AA43" s="657">
        <f t="shared" si="15"/>
        <v>1</v>
      </c>
      <c r="AB43" s="657">
        <f t="shared" si="16"/>
        <v>1</v>
      </c>
      <c r="AC43" s="657">
        <f t="shared" si="17"/>
        <v>1</v>
      </c>
    </row>
    <row r="44" spans="1:29" s="418" customFormat="1" ht="1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18"/>
      <c r="Q44" s="663">
        <f t="shared" si="11"/>
        <v>111</v>
      </c>
      <c r="R44" s="659" t="s">
        <v>1221</v>
      </c>
      <c r="S44" s="660">
        <f t="shared" si="12"/>
        <v>100</v>
      </c>
      <c r="T44" s="659" t="s">
        <v>1221</v>
      </c>
      <c r="U44" s="660">
        <f t="shared" si="13"/>
        <v>100</v>
      </c>
      <c r="V44" s="659" t="s">
        <v>1221</v>
      </c>
      <c r="W44" s="660">
        <f t="shared" si="14"/>
        <v>100</v>
      </c>
      <c r="X44" s="661"/>
      <c r="Y44" s="3222"/>
      <c r="Z44" s="677">
        <f t="shared" si="18"/>
        <v>111</v>
      </c>
      <c r="AA44" s="677">
        <f t="shared" si="15"/>
        <v>1</v>
      </c>
      <c r="AB44" s="677">
        <f t="shared" si="16"/>
        <v>1</v>
      </c>
      <c r="AC44" s="677">
        <f t="shared" si="17"/>
        <v>1</v>
      </c>
    </row>
    <row r="45" spans="1:29" ht="1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18"/>
      <c r="Q45" s="598">
        <f t="shared" si="11"/>
        <v>111</v>
      </c>
      <c r="R45" s="664" t="s">
        <v>1221</v>
      </c>
      <c r="S45" s="665">
        <f t="shared" si="12"/>
        <v>100</v>
      </c>
      <c r="T45" s="664" t="s">
        <v>1221</v>
      </c>
      <c r="U45" s="665">
        <f t="shared" si="13"/>
        <v>100</v>
      </c>
      <c r="V45" s="664" t="s">
        <v>1221</v>
      </c>
      <c r="W45" s="665">
        <f t="shared" si="14"/>
        <v>100</v>
      </c>
      <c r="X45" s="658"/>
      <c r="Y45" s="3222"/>
      <c r="Z45" s="657">
        <f t="shared" si="18"/>
        <v>111</v>
      </c>
      <c r="AA45" s="657">
        <f t="shared" si="15"/>
        <v>1</v>
      </c>
      <c r="AB45" s="657">
        <f t="shared" si="16"/>
        <v>1</v>
      </c>
      <c r="AC45" s="657">
        <f t="shared" si="17"/>
        <v>1</v>
      </c>
    </row>
    <row r="46" spans="1:29" ht="1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19"/>
      <c r="Q46" s="598">
        <f t="shared" si="11"/>
        <v>111</v>
      </c>
      <c r="R46" s="664" t="s">
        <v>1221</v>
      </c>
      <c r="S46" s="665">
        <f t="shared" si="12"/>
        <v>100</v>
      </c>
      <c r="T46" s="664" t="s">
        <v>1221</v>
      </c>
      <c r="U46" s="665">
        <f t="shared" si="13"/>
        <v>100</v>
      </c>
      <c r="V46" s="664" t="s">
        <v>1221</v>
      </c>
      <c r="W46" s="665">
        <f t="shared" si="14"/>
        <v>100</v>
      </c>
      <c r="X46" s="658"/>
      <c r="Y46" s="3223"/>
      <c r="Z46" s="657">
        <f t="shared" si="18"/>
        <v>111</v>
      </c>
      <c r="AA46" s="657">
        <f t="shared" si="15"/>
        <v>1</v>
      </c>
      <c r="AB46" s="657">
        <f t="shared" si="16"/>
        <v>1</v>
      </c>
      <c r="AC46" s="657">
        <f t="shared" si="17"/>
        <v>1</v>
      </c>
    </row>
    <row r="47" spans="1:29" ht="14.4">
      <c r="A47" s="520" t="s">
        <v>1267</v>
      </c>
      <c r="B47" s="1903"/>
      <c r="C47" s="522" t="s">
        <v>124</v>
      </c>
      <c r="D47" s="523"/>
      <c r="E47" s="524"/>
      <c r="F47" s="525"/>
      <c r="G47" s="526"/>
      <c r="H47" s="527"/>
      <c r="I47" s="524"/>
      <c r="J47" s="527"/>
      <c r="K47" s="1999"/>
      <c r="L47" s="610"/>
      <c r="M47" s="536"/>
      <c r="N47" s="536"/>
      <c r="O47" s="536"/>
      <c r="P47" s="3213" t="str">
        <f>A47</f>
        <v>成交单价（元/平方米）</v>
      </c>
      <c r="Q47" s="3213"/>
      <c r="R47" s="3214">
        <f>E47</f>
        <v>0</v>
      </c>
      <c r="S47" s="3214"/>
      <c r="T47" s="3214">
        <f>G47</f>
        <v>0</v>
      </c>
      <c r="U47" s="3214"/>
      <c r="V47" s="3214">
        <f>I47</f>
        <v>0</v>
      </c>
      <c r="W47" s="3214"/>
      <c r="X47" s="670"/>
      <c r="Y47" s="679"/>
      <c r="Z47" s="670"/>
      <c r="AA47" s="670"/>
      <c r="AB47" s="670"/>
      <c r="AC47" s="670"/>
    </row>
    <row r="48" spans="1:29" ht="14.4">
      <c r="A48" s="528" t="s">
        <v>1268</v>
      </c>
      <c r="B48" s="529"/>
      <c r="C48" s="530" t="e">
        <f>R49</f>
        <v>#DIV/0!</v>
      </c>
      <c r="D48" s="531" t="s">
        <v>1269</v>
      </c>
      <c r="E48" s="532" t="e">
        <f>R48</f>
        <v>#DIV/0!</v>
      </c>
      <c r="F48" s="533"/>
      <c r="G48" s="530" t="e">
        <f>T48</f>
        <v>#DIV/0!</v>
      </c>
      <c r="H48" s="533"/>
      <c r="I48" s="532" t="e">
        <f>V48</f>
        <v>#DIV/0!</v>
      </c>
      <c r="J48" s="533"/>
      <c r="K48" s="2000">
        <f>F48+H48+J48</f>
        <v>0</v>
      </c>
      <c r="L48" s="610"/>
      <c r="M48" s="536"/>
      <c r="N48" s="536"/>
      <c r="O48" s="536"/>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ht="14.4">
      <c r="A49" s="534" t="s">
        <v>1270</v>
      </c>
      <c r="B49" s="535"/>
      <c r="C49" s="1983" t="e">
        <f>R49</f>
        <v>#DIV/0!</v>
      </c>
      <c r="D49" s="451"/>
      <c r="E49" s="451"/>
      <c r="F49" s="451"/>
      <c r="G49" s="451"/>
      <c r="H49" s="451"/>
      <c r="I49" s="451"/>
      <c r="J49" s="451"/>
      <c r="K49" s="2001"/>
      <c r="L49" s="610"/>
      <c r="M49" s="536"/>
      <c r="N49" s="536"/>
      <c r="O49" s="536"/>
      <c r="P49" s="3273" t="str">
        <f>A49</f>
        <v>估价对象XX用房的比较价值（楼面单价，元/平方米）</v>
      </c>
      <c r="Q49" s="3274"/>
      <c r="R49" s="3275" t="e">
        <f>IF(F1="售价",ROUND(IF(D48="简单平均",AVERAGE(R48:V48),R48*F48+T48*H48+V48*J48),0),ROUND(IF(D48="简单平均",AVERAGE(R48:V48),R48*F48+T48*H48+V48*J48),1))</f>
        <v>#DIV/0!</v>
      </c>
      <c r="S49" s="3275"/>
      <c r="T49" s="3275"/>
      <c r="U49" s="3275"/>
      <c r="V49" s="3275"/>
      <c r="W49" s="3275"/>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6">
      <c r="A57" s="1807" t="s">
        <v>1274</v>
      </c>
      <c r="B57" s="670"/>
      <c r="C57" s="1808"/>
      <c r="D57" s="1808"/>
      <c r="E57" s="1808"/>
      <c r="F57" s="1809"/>
      <c r="G57" s="1809"/>
      <c r="H57" s="1808"/>
      <c r="I57" s="1808"/>
      <c r="J57" s="1808"/>
      <c r="K57" s="619"/>
      <c r="L57" s="620"/>
      <c r="M57" s="548"/>
      <c r="N57" s="548"/>
      <c r="O57" s="548"/>
      <c r="P57" s="2003"/>
      <c r="Q57" s="1934"/>
    </row>
    <row r="58" spans="1:29" s="422" customFormat="1" ht="14.4">
      <c r="A58" s="550" t="s">
        <v>1219</v>
      </c>
      <c r="B58" s="551"/>
      <c r="C58" s="1984" t="str">
        <f>YEAR(C7)&amp;"-"&amp;MONTH(C7)</f>
        <v>2022-12</v>
      </c>
      <c r="D58" s="553">
        <f>EDATE(C58,-1)</f>
        <v>44866</v>
      </c>
      <c r="E58" s="553">
        <f>EDATE(D58,-1)</f>
        <v>44835</v>
      </c>
      <c r="F58" s="553">
        <f t="shared" ref="F58:O58" si="19">EDATE(E58,-1)</f>
        <v>44805</v>
      </c>
      <c r="G58" s="553">
        <f t="shared" si="19"/>
        <v>44774</v>
      </c>
      <c r="H58" s="553">
        <f t="shared" si="19"/>
        <v>44743</v>
      </c>
      <c r="I58" s="553">
        <f t="shared" si="19"/>
        <v>44713</v>
      </c>
      <c r="J58" s="553">
        <f t="shared" si="19"/>
        <v>44682</v>
      </c>
      <c r="K58" s="553">
        <f t="shared" si="19"/>
        <v>44652</v>
      </c>
      <c r="L58" s="553">
        <f t="shared" si="19"/>
        <v>44621</v>
      </c>
      <c r="M58" s="553">
        <f t="shared" si="19"/>
        <v>44593</v>
      </c>
      <c r="N58" s="553">
        <f t="shared" si="19"/>
        <v>44562</v>
      </c>
      <c r="O58" s="553">
        <f t="shared" si="19"/>
        <v>44531</v>
      </c>
      <c r="P58" s="2004"/>
    </row>
    <row r="59" spans="1:29" s="418" customFormat="1">
      <c r="A59" s="504"/>
      <c r="B59" s="1985"/>
      <c r="C59" s="1904">
        <v>100</v>
      </c>
      <c r="D59" s="1956"/>
      <c r="E59" s="556"/>
      <c r="F59" s="556"/>
      <c r="G59" s="556"/>
      <c r="H59" s="556"/>
      <c r="I59" s="556"/>
      <c r="J59" s="556"/>
      <c r="K59" s="556"/>
      <c r="L59" s="556"/>
      <c r="M59" s="624"/>
      <c r="N59" s="556"/>
      <c r="O59" s="624"/>
      <c r="P59" s="2005"/>
    </row>
    <row r="60" spans="1:29" s="418" customFormat="1" ht="14.4">
      <c r="A60" s="557" t="s">
        <v>1275</v>
      </c>
      <c r="B60" s="558"/>
      <c r="C60" s="559"/>
      <c r="D60" s="560"/>
      <c r="E60" s="560"/>
      <c r="F60" s="560"/>
      <c r="G60" s="560"/>
      <c r="H60" s="560"/>
      <c r="I60" s="560"/>
      <c r="J60" s="560"/>
      <c r="K60" s="560"/>
      <c r="L60" s="560"/>
      <c r="M60" s="626"/>
      <c r="N60" s="560"/>
      <c r="O60" s="626"/>
      <c r="P60" s="2005"/>
      <c r="Q60" s="1934"/>
    </row>
    <row r="61" spans="1:29" s="418" customFormat="1" ht="14.4">
      <c r="A61" s="561" t="s">
        <v>1222</v>
      </c>
      <c r="B61" s="554"/>
      <c r="C61" s="562" t="s">
        <v>1223</v>
      </c>
      <c r="D61" s="563"/>
      <c r="E61" s="563"/>
      <c r="F61" s="563"/>
      <c r="G61" s="563"/>
      <c r="H61" s="563"/>
      <c r="I61" s="563"/>
      <c r="J61" s="563"/>
      <c r="K61" s="563"/>
      <c r="L61" s="627"/>
      <c r="M61" s="628"/>
      <c r="N61" s="1937"/>
      <c r="O61" s="1937"/>
      <c r="P61" s="2006"/>
      <c r="Q61" s="1934"/>
    </row>
    <row r="62" spans="1:29" s="418" customFormat="1">
      <c r="A62" s="561"/>
      <c r="B62" s="554"/>
      <c r="C62" s="1956">
        <v>100</v>
      </c>
      <c r="D62" s="556"/>
      <c r="E62" s="556"/>
      <c r="F62" s="556"/>
      <c r="G62" s="556"/>
      <c r="H62" s="556"/>
      <c r="I62" s="556"/>
      <c r="J62" s="556"/>
      <c r="K62" s="556"/>
      <c r="L62" s="556"/>
      <c r="M62" s="503"/>
      <c r="N62" s="1937"/>
      <c r="O62" s="1937"/>
      <c r="P62" s="2005"/>
      <c r="Q62" s="1934"/>
    </row>
    <row r="63" spans="1:29" ht="14.4">
      <c r="A63" s="565" t="s">
        <v>1276</v>
      </c>
      <c r="B63" s="566" t="s">
        <v>1226</v>
      </c>
      <c r="C63" s="567">
        <f>C9</f>
        <v>0</v>
      </c>
      <c r="D63" s="568"/>
      <c r="E63" s="568"/>
      <c r="F63" s="568"/>
      <c r="G63" s="568"/>
      <c r="H63" s="568"/>
      <c r="I63" s="568"/>
      <c r="J63" s="568"/>
      <c r="K63" s="631"/>
      <c r="L63" s="632"/>
      <c r="M63" s="633"/>
      <c r="N63" s="1938"/>
      <c r="O63" s="1938"/>
      <c r="P63" s="2007"/>
      <c r="Q63" s="1934"/>
    </row>
    <row r="64" spans="1:29">
      <c r="A64" s="569"/>
      <c r="B64" s="570"/>
      <c r="C64" s="571">
        <v>100</v>
      </c>
      <c r="D64" s="571"/>
      <c r="E64" s="571"/>
      <c r="F64" s="571"/>
      <c r="G64" s="571"/>
      <c r="H64" s="571"/>
      <c r="I64" s="571"/>
      <c r="J64" s="571"/>
      <c r="K64" s="571"/>
      <c r="L64" s="571"/>
      <c r="M64" s="636"/>
      <c r="N64" s="1940"/>
      <c r="O64" s="1940"/>
      <c r="P64" s="2007"/>
      <c r="Q64" s="1934"/>
    </row>
    <row r="65" spans="1:17" ht="28.8">
      <c r="A65" s="569"/>
      <c r="B65" s="572" t="s">
        <v>1229</v>
      </c>
      <c r="C65" s="573" t="s">
        <v>1278</v>
      </c>
      <c r="D65" s="573" t="s">
        <v>1279</v>
      </c>
      <c r="E65" s="573" t="s">
        <v>1280</v>
      </c>
      <c r="F65" s="573" t="s">
        <v>1281</v>
      </c>
      <c r="G65" s="573" t="s">
        <v>1282</v>
      </c>
      <c r="H65" s="573" t="s">
        <v>1283</v>
      </c>
      <c r="I65" s="573" t="s">
        <v>1284</v>
      </c>
      <c r="J65" s="573"/>
      <c r="K65" s="638"/>
      <c r="L65" s="639"/>
      <c r="M65" s="640"/>
      <c r="N65" s="1938"/>
      <c r="O65" s="1938"/>
      <c r="P65" s="2007"/>
      <c r="Q65" s="1934"/>
    </row>
    <row r="66" spans="1:17">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ht="14.4">
      <c r="A67" s="569"/>
      <c r="B67" s="681" t="s">
        <v>1232</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c r="A68" s="569"/>
      <c r="B68" s="1836"/>
      <c r="C68" s="577"/>
      <c r="D68" s="577"/>
      <c r="E68" s="577"/>
      <c r="F68" s="577"/>
      <c r="G68" s="577"/>
      <c r="H68" s="577"/>
      <c r="I68" s="577"/>
      <c r="J68" s="577"/>
      <c r="K68" s="642"/>
      <c r="L68" s="643"/>
      <c r="M68" s="644"/>
      <c r="N68" s="1938"/>
      <c r="O68" s="1938"/>
      <c r="P68" s="2007"/>
      <c r="Q68" s="1934"/>
    </row>
    <row r="69" spans="1:17">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c r="A70" s="579"/>
      <c r="B70" s="572">
        <f>B12</f>
        <v>111</v>
      </c>
      <c r="C70" s="580"/>
      <c r="D70" s="580"/>
      <c r="E70" s="580"/>
      <c r="F70" s="580"/>
      <c r="G70" s="580"/>
      <c r="H70" s="581"/>
      <c r="I70" s="581"/>
      <c r="J70" s="581"/>
      <c r="K70" s="581"/>
      <c r="L70" s="645"/>
      <c r="M70" s="646"/>
      <c r="N70" s="1941"/>
      <c r="O70" s="1941"/>
      <c r="P70" s="2010"/>
      <c r="Q70" s="1943"/>
    </row>
    <row r="71" spans="1:17" s="420" customFormat="1">
      <c r="A71" s="579"/>
      <c r="B71" s="574"/>
      <c r="C71" s="578"/>
      <c r="D71" s="571"/>
      <c r="E71" s="571"/>
      <c r="F71" s="571"/>
      <c r="G71" s="571"/>
      <c r="H71" s="571"/>
      <c r="I71" s="571"/>
      <c r="J71" s="571"/>
      <c r="K71" s="571"/>
      <c r="L71" s="571"/>
      <c r="M71" s="636"/>
      <c r="N71" s="1940"/>
      <c r="O71" s="1940"/>
      <c r="P71" s="2010"/>
      <c r="Q71" s="1943"/>
    </row>
    <row r="72" spans="1:17" s="420" customFormat="1">
      <c r="A72" s="579"/>
      <c r="B72" s="572">
        <f>B13</f>
        <v>111</v>
      </c>
      <c r="C72" s="580"/>
      <c r="D72" s="580"/>
      <c r="E72" s="580"/>
      <c r="F72" s="580"/>
      <c r="G72" s="580"/>
      <c r="H72" s="581"/>
      <c r="I72" s="581"/>
      <c r="J72" s="581"/>
      <c r="K72" s="581"/>
      <c r="L72" s="645"/>
      <c r="M72" s="646"/>
      <c r="N72" s="1941"/>
      <c r="O72" s="1941"/>
      <c r="P72" s="2011"/>
      <c r="Q72" s="1946"/>
    </row>
    <row r="73" spans="1:17" s="420" customFormat="1">
      <c r="A73" s="579"/>
      <c r="B73" s="574"/>
      <c r="C73" s="578"/>
      <c r="D73" s="578"/>
      <c r="E73" s="578"/>
      <c r="F73" s="578"/>
      <c r="G73" s="578"/>
      <c r="H73" s="582"/>
      <c r="I73" s="582"/>
      <c r="J73" s="582"/>
      <c r="K73" s="582"/>
      <c r="L73" s="582"/>
      <c r="M73" s="650"/>
      <c r="N73" s="1941"/>
      <c r="O73" s="1941"/>
      <c r="P73" s="2010"/>
      <c r="Q73" s="1943"/>
    </row>
    <row r="74" spans="1:17" s="420" customFormat="1">
      <c r="A74" s="579"/>
      <c r="B74" s="681">
        <f>B14</f>
        <v>111</v>
      </c>
      <c r="C74" s="580"/>
      <c r="D74" s="580"/>
      <c r="E74" s="580"/>
      <c r="F74" s="580"/>
      <c r="G74" s="563"/>
      <c r="H74" s="1837"/>
      <c r="I74" s="1837"/>
      <c r="J74" s="1837"/>
      <c r="K74" s="1837"/>
      <c r="L74" s="1851"/>
      <c r="M74" s="1852"/>
      <c r="N74" s="1941"/>
      <c r="O74" s="1941"/>
      <c r="P74" s="2012"/>
      <c r="Q74" s="1943"/>
    </row>
    <row r="75" spans="1:17" s="420" customFormat="1">
      <c r="A75" s="1838"/>
      <c r="B75" s="1839"/>
      <c r="C75" s="1840"/>
      <c r="D75" s="1840"/>
      <c r="E75" s="1840"/>
      <c r="F75" s="1840"/>
      <c r="G75" s="1840"/>
      <c r="H75" s="1841"/>
      <c r="I75" s="1841"/>
      <c r="J75" s="1841"/>
      <c r="K75" s="1841"/>
      <c r="L75" s="1841"/>
      <c r="M75" s="1854"/>
      <c r="N75" s="1941"/>
      <c r="O75" s="1941"/>
      <c r="P75" s="2010"/>
      <c r="Q75" s="1943"/>
    </row>
    <row r="76" spans="1:17" ht="14.4">
      <c r="A76" s="565" t="s">
        <v>1233</v>
      </c>
      <c r="B76" s="566" t="s">
        <v>1626</v>
      </c>
      <c r="C76" s="583" t="s">
        <v>1286</v>
      </c>
      <c r="D76" s="583" t="s">
        <v>1287</v>
      </c>
      <c r="E76" s="583" t="s">
        <v>1288</v>
      </c>
      <c r="F76" s="583" t="s">
        <v>1289</v>
      </c>
      <c r="G76" s="583" t="s">
        <v>1290</v>
      </c>
      <c r="H76" s="567"/>
      <c r="I76" s="567"/>
      <c r="J76" s="567"/>
      <c r="K76" s="651"/>
      <c r="L76" s="652"/>
      <c r="M76" s="653"/>
      <c r="N76" s="1938"/>
      <c r="O76" s="1938"/>
      <c r="P76" s="2013"/>
      <c r="Q76" s="1934"/>
    </row>
    <row r="77" spans="1:17">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ht="14.4">
      <c r="A78" s="569"/>
      <c r="B78" s="572" t="s">
        <v>1238</v>
      </c>
      <c r="C78" s="680" t="s">
        <v>1286</v>
      </c>
      <c r="D78" s="680" t="s">
        <v>1287</v>
      </c>
      <c r="E78" s="680" t="s">
        <v>1288</v>
      </c>
      <c r="F78" s="680" t="s">
        <v>1289</v>
      </c>
      <c r="G78" s="680" t="s">
        <v>1290</v>
      </c>
      <c r="H78" s="573"/>
      <c r="I78" s="573"/>
      <c r="J78" s="573"/>
      <c r="K78" s="638"/>
      <c r="L78" s="639"/>
      <c r="M78" s="640"/>
      <c r="N78" s="1938"/>
      <c r="O78" s="1938"/>
      <c r="P78" s="2007"/>
      <c r="Q78" s="1934"/>
    </row>
    <row r="79" spans="1:17">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ht="14.4">
      <c r="A80" s="569"/>
      <c r="B80" s="572" t="s">
        <v>1239</v>
      </c>
      <c r="C80" s="680" t="s">
        <v>1286</v>
      </c>
      <c r="D80" s="680" t="s">
        <v>1287</v>
      </c>
      <c r="E80" s="680" t="s">
        <v>1288</v>
      </c>
      <c r="F80" s="680" t="s">
        <v>1289</v>
      </c>
      <c r="G80" s="680" t="s">
        <v>1290</v>
      </c>
      <c r="H80" s="573"/>
      <c r="I80" s="573"/>
      <c r="J80" s="573"/>
      <c r="K80" s="638"/>
      <c r="L80" s="639"/>
      <c r="M80" s="640"/>
      <c r="N80" s="1938"/>
      <c r="O80" s="1938"/>
      <c r="P80" s="2007"/>
      <c r="Q80" s="1934"/>
    </row>
    <row r="81" spans="1:17">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ht="14.4">
      <c r="A82" s="569"/>
      <c r="B82" s="681" t="s">
        <v>1240</v>
      </c>
      <c r="C82" s="573" t="s">
        <v>1291</v>
      </c>
      <c r="D82" s="573" t="s">
        <v>1292</v>
      </c>
      <c r="E82" s="573" t="s">
        <v>1293</v>
      </c>
      <c r="F82" s="573" t="s">
        <v>1294</v>
      </c>
      <c r="G82" s="573" t="s">
        <v>1295</v>
      </c>
      <c r="H82" s="573"/>
      <c r="I82" s="573"/>
      <c r="J82" s="573"/>
      <c r="K82" s="573"/>
      <c r="L82" s="573"/>
      <c r="M82" s="690"/>
      <c r="N82" s="1940"/>
      <c r="O82" s="1940"/>
      <c r="P82" s="2007"/>
      <c r="Q82" s="1934"/>
    </row>
    <row r="83" spans="1:17">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ht="14.4">
      <c r="A84" s="569"/>
      <c r="B84" s="572" t="s">
        <v>1627</v>
      </c>
      <c r="C84" s="680" t="s">
        <v>1286</v>
      </c>
      <c r="D84" s="680" t="s">
        <v>1287</v>
      </c>
      <c r="E84" s="680" t="s">
        <v>1288</v>
      </c>
      <c r="F84" s="680" t="s">
        <v>1289</v>
      </c>
      <c r="G84" s="680" t="s">
        <v>1290</v>
      </c>
      <c r="H84" s="573"/>
      <c r="I84" s="573"/>
      <c r="J84" s="573"/>
      <c r="K84" s="638"/>
      <c r="L84" s="639"/>
      <c r="M84" s="640"/>
      <c r="N84" s="1938"/>
      <c r="O84" s="1938"/>
      <c r="P84" s="2007"/>
      <c r="Q84" s="1934"/>
    </row>
    <row r="85" spans="1:17">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4.4">
      <c r="A86" s="683"/>
      <c r="B86" s="572" t="s">
        <v>1628</v>
      </c>
      <c r="C86" s="580"/>
      <c r="D86" s="580"/>
      <c r="E86" s="580"/>
      <c r="F86" s="580"/>
      <c r="G86" s="580"/>
      <c r="H86" s="580"/>
      <c r="I86" s="580"/>
      <c r="J86" s="580"/>
      <c r="K86" s="580"/>
      <c r="L86" s="694"/>
      <c r="M86" s="695"/>
      <c r="N86" s="1937"/>
      <c r="O86" s="1937"/>
      <c r="P86" s="2007"/>
      <c r="Q86" s="1934"/>
    </row>
    <row r="87" spans="1:17" s="418" customFormat="1">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ht="14.4">
      <c r="A88" s="683"/>
      <c r="B88" s="572" t="s">
        <v>1244</v>
      </c>
      <c r="C88" s="580"/>
      <c r="D88" s="580"/>
      <c r="E88" s="580"/>
      <c r="F88" s="1968"/>
      <c r="G88" s="580"/>
      <c r="H88" s="580"/>
      <c r="I88" s="580"/>
      <c r="J88" s="580"/>
      <c r="K88" s="580"/>
      <c r="L88" s="580"/>
      <c r="M88" s="695"/>
      <c r="N88" s="1937"/>
      <c r="O88" s="1937"/>
      <c r="P88" s="2007"/>
      <c r="Q88" s="1934"/>
    </row>
    <row r="89" spans="1:17" s="418" customFormat="1">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c r="A90" s="579"/>
      <c r="B90" s="572">
        <f>B27</f>
        <v>111</v>
      </c>
      <c r="C90" s="580"/>
      <c r="D90" s="580"/>
      <c r="E90" s="580"/>
      <c r="F90" s="580"/>
      <c r="G90" s="580"/>
      <c r="H90" s="581"/>
      <c r="I90" s="581"/>
      <c r="J90" s="581"/>
      <c r="K90" s="581"/>
      <c r="L90" s="645"/>
      <c r="M90" s="646"/>
      <c r="N90" s="1941"/>
      <c r="O90" s="1941"/>
      <c r="P90" s="2010"/>
      <c r="Q90" s="1943"/>
    </row>
    <row r="91" spans="1:17" s="420" customFormat="1">
      <c r="A91" s="579"/>
      <c r="B91" s="574"/>
      <c r="C91" s="578"/>
      <c r="D91" s="578"/>
      <c r="E91" s="578"/>
      <c r="F91" s="578"/>
      <c r="G91" s="578"/>
      <c r="H91" s="582"/>
      <c r="I91" s="582"/>
      <c r="J91" s="582"/>
      <c r="K91" s="582"/>
      <c r="L91" s="582"/>
      <c r="M91" s="650"/>
      <c r="N91" s="1941"/>
      <c r="O91" s="1941"/>
      <c r="P91" s="2010"/>
      <c r="Q91" s="1943"/>
    </row>
    <row r="92" spans="1:17">
      <c r="A92" s="569"/>
      <c r="B92" s="572">
        <f>B28</f>
        <v>111</v>
      </c>
      <c r="C92" s="580"/>
      <c r="D92" s="580"/>
      <c r="E92" s="580"/>
      <c r="F92" s="580"/>
      <c r="G92" s="682"/>
      <c r="H92" s="682"/>
      <c r="I92" s="682"/>
      <c r="J92" s="682"/>
      <c r="K92" s="691"/>
      <c r="L92" s="692"/>
      <c r="M92" s="693"/>
      <c r="N92" s="1938"/>
      <c r="O92" s="1938"/>
      <c r="P92" s="2007"/>
      <c r="Q92" s="1934"/>
    </row>
    <row r="93" spans="1:17">
      <c r="A93" s="569"/>
      <c r="B93" s="574"/>
      <c r="C93" s="578"/>
      <c r="D93" s="571"/>
      <c r="E93" s="571"/>
      <c r="F93" s="571"/>
      <c r="G93" s="571"/>
      <c r="H93" s="571"/>
      <c r="I93" s="571"/>
      <c r="J93" s="571"/>
      <c r="K93" s="571"/>
      <c r="L93" s="571"/>
      <c r="M93" s="636"/>
      <c r="N93" s="1940"/>
      <c r="O93" s="1940"/>
      <c r="P93" s="2007"/>
      <c r="Q93" s="1934"/>
    </row>
    <row r="94" spans="1:17">
      <c r="A94" s="569"/>
      <c r="B94" s="572">
        <f>B29</f>
        <v>111</v>
      </c>
      <c r="C94" s="580"/>
      <c r="D94" s="580"/>
      <c r="E94" s="580"/>
      <c r="F94" s="580"/>
      <c r="G94" s="682"/>
      <c r="H94" s="682"/>
      <c r="I94" s="682"/>
      <c r="J94" s="682"/>
      <c r="K94" s="691"/>
      <c r="L94" s="692"/>
      <c r="M94" s="693"/>
      <c r="N94" s="1938"/>
      <c r="O94" s="1938"/>
      <c r="P94" s="2007"/>
      <c r="Q94" s="1934"/>
    </row>
    <row r="95" spans="1:17">
      <c r="A95" s="569"/>
      <c r="B95" s="574"/>
      <c r="C95" s="578"/>
      <c r="D95" s="578"/>
      <c r="E95" s="578"/>
      <c r="F95" s="578"/>
      <c r="G95" s="571"/>
      <c r="H95" s="571"/>
      <c r="I95" s="571"/>
      <c r="J95" s="571"/>
      <c r="K95" s="571"/>
      <c r="L95" s="571"/>
      <c r="M95" s="636"/>
      <c r="N95" s="1940"/>
      <c r="O95" s="1940"/>
      <c r="P95" s="2007"/>
      <c r="Q95" s="1934"/>
    </row>
    <row r="96" spans="1:17">
      <c r="A96" s="569"/>
      <c r="B96" s="572">
        <f>B30</f>
        <v>111</v>
      </c>
      <c r="C96" s="580"/>
      <c r="D96" s="580"/>
      <c r="E96" s="580"/>
      <c r="F96" s="580"/>
      <c r="G96" s="682"/>
      <c r="H96" s="682"/>
      <c r="I96" s="682"/>
      <c r="J96" s="682"/>
      <c r="K96" s="691"/>
      <c r="L96" s="692"/>
      <c r="M96" s="693"/>
      <c r="N96" s="1938"/>
      <c r="O96" s="1938"/>
      <c r="P96" s="2007"/>
      <c r="Q96" s="1934"/>
    </row>
    <row r="97" spans="1:17">
      <c r="A97" s="569"/>
      <c r="B97" s="574"/>
      <c r="C97" s="1840"/>
      <c r="D97" s="1840"/>
      <c r="E97" s="1840"/>
      <c r="F97" s="1840"/>
      <c r="G97" s="571"/>
      <c r="H97" s="571"/>
      <c r="I97" s="571"/>
      <c r="J97" s="571"/>
      <c r="K97" s="571"/>
      <c r="L97" s="571"/>
      <c r="M97" s="636"/>
      <c r="N97" s="1940"/>
      <c r="O97" s="1940"/>
      <c r="P97" s="2007"/>
      <c r="Q97" s="1934"/>
    </row>
    <row r="98" spans="1:17">
      <c r="A98" s="569"/>
      <c r="B98" s="681">
        <f>B31</f>
        <v>111</v>
      </c>
      <c r="C98" s="1844"/>
      <c r="D98" s="1844"/>
      <c r="E98" s="1844"/>
      <c r="F98" s="1844"/>
      <c r="G98" s="1844"/>
      <c r="H98" s="1844"/>
      <c r="I98" s="1844"/>
      <c r="J98" s="1844"/>
      <c r="K98" s="1861"/>
      <c r="L98" s="1862"/>
      <c r="M98" s="1863"/>
      <c r="N98" s="1938"/>
      <c r="O98" s="1938"/>
      <c r="P98" s="2007"/>
      <c r="Q98" s="1934"/>
    </row>
    <row r="99" spans="1:17">
      <c r="A99" s="1748"/>
      <c r="B99" s="1839"/>
      <c r="C99" s="1845"/>
      <c r="D99" s="1845"/>
      <c r="E99" s="1845"/>
      <c r="F99" s="1845"/>
      <c r="G99" s="1845"/>
      <c r="H99" s="1845"/>
      <c r="I99" s="1845"/>
      <c r="J99" s="1845"/>
      <c r="K99" s="1845"/>
      <c r="L99" s="1845"/>
      <c r="M99" s="1864"/>
      <c r="N99" s="1940"/>
      <c r="O99" s="1940"/>
      <c r="P99" s="2007"/>
      <c r="Q99" s="1934"/>
    </row>
    <row r="100" spans="1:17" ht="14.4">
      <c r="A100" s="565" t="s">
        <v>1245</v>
      </c>
      <c r="B100" s="566" t="s">
        <v>1246</v>
      </c>
      <c r="C100" s="568"/>
      <c r="D100" s="568"/>
      <c r="E100" s="568"/>
      <c r="F100" s="568"/>
      <c r="G100" s="568"/>
      <c r="H100" s="568"/>
      <c r="I100" s="568"/>
      <c r="J100" s="568"/>
      <c r="K100" s="631"/>
      <c r="L100" s="632"/>
      <c r="M100" s="633"/>
      <c r="N100" s="1938"/>
      <c r="O100" s="1938"/>
      <c r="P100" s="2007"/>
      <c r="Q100" s="1934"/>
    </row>
    <row r="101" spans="1:17">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ht="14.4">
      <c r="A102" s="569"/>
      <c r="B102" s="572" t="s">
        <v>1248</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c r="A104" s="579"/>
      <c r="B104" s="574"/>
      <c r="C104" s="578"/>
      <c r="D104" s="571"/>
      <c r="E104" s="571"/>
      <c r="F104" s="571"/>
      <c r="G104" s="571"/>
      <c r="H104" s="571"/>
      <c r="I104" s="571"/>
      <c r="J104" s="571"/>
      <c r="K104" s="571"/>
      <c r="L104" s="571"/>
      <c r="M104" s="571"/>
      <c r="N104" s="1940"/>
      <c r="O104" s="1940"/>
      <c r="P104" s="2010"/>
      <c r="Q104" s="1943"/>
    </row>
    <row r="105" spans="1:17" ht="14.4">
      <c r="A105" s="685"/>
      <c r="B105" s="572" t="s">
        <v>1249</v>
      </c>
      <c r="C105" s="580"/>
      <c r="D105" s="580"/>
      <c r="E105" s="682"/>
      <c r="F105" s="682"/>
      <c r="G105" s="682"/>
      <c r="H105" s="682"/>
      <c r="I105" s="682"/>
      <c r="J105" s="682"/>
      <c r="K105" s="691"/>
      <c r="L105" s="692"/>
      <c r="M105" s="693"/>
      <c r="N105" s="1938"/>
      <c r="O105" s="1938"/>
      <c r="P105" s="2007"/>
      <c r="Q105" s="1934"/>
    </row>
    <row r="106" spans="1:17">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ht="14.4">
      <c r="A107" s="685"/>
      <c r="B107" s="572" t="s">
        <v>1629</v>
      </c>
      <c r="C107" s="682"/>
      <c r="D107" s="682"/>
      <c r="E107" s="682"/>
      <c r="F107" s="682"/>
      <c r="G107" s="682"/>
      <c r="H107" s="682"/>
      <c r="I107" s="682"/>
      <c r="J107" s="682"/>
      <c r="K107" s="691"/>
      <c r="L107" s="692"/>
      <c r="M107" s="693"/>
      <c r="N107" s="1938"/>
      <c r="O107" s="1938"/>
      <c r="P107" s="2007"/>
      <c r="Q107" s="1934"/>
    </row>
    <row r="108" spans="1:17">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ht="14.4">
      <c r="A109" s="685"/>
      <c r="B109" s="572" t="s">
        <v>1251</v>
      </c>
      <c r="C109" s="580"/>
      <c r="D109" s="580"/>
      <c r="E109" s="580"/>
      <c r="F109" s="682"/>
      <c r="G109" s="682"/>
      <c r="H109" s="682"/>
      <c r="I109" s="682"/>
      <c r="J109" s="682"/>
      <c r="K109" s="691"/>
      <c r="L109" s="692"/>
      <c r="M109" s="693"/>
      <c r="N109" s="1938"/>
      <c r="O109" s="1938"/>
      <c r="P109" s="2007"/>
      <c r="Q109" s="1934"/>
    </row>
    <row r="110" spans="1:17">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ht="14.4">
      <c r="A111" s="687"/>
      <c r="B111" s="572" t="s">
        <v>697</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ht="14.4">
      <c r="A114" s="685"/>
      <c r="B114" s="572" t="s">
        <v>1255</v>
      </c>
      <c r="C114" s="580"/>
      <c r="D114" s="580"/>
      <c r="E114" s="682"/>
      <c r="F114" s="682"/>
      <c r="G114" s="682"/>
      <c r="H114" s="682"/>
      <c r="I114" s="682"/>
      <c r="J114" s="682"/>
      <c r="K114" s="691"/>
      <c r="L114" s="692"/>
      <c r="M114" s="693"/>
      <c r="N114" s="1938"/>
      <c r="O114" s="1938"/>
      <c r="P114" s="2007"/>
      <c r="Q114" s="1934"/>
    </row>
    <row r="115" spans="1:17">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ht="14.4">
      <c r="A116" s="685"/>
      <c r="B116" s="572" t="s">
        <v>1257</v>
      </c>
      <c r="C116" s="580"/>
      <c r="D116" s="580"/>
      <c r="E116" s="580"/>
      <c r="F116" s="580"/>
      <c r="G116" s="580"/>
      <c r="H116" s="682"/>
      <c r="I116" s="682"/>
      <c r="J116" s="682"/>
      <c r="K116" s="691"/>
      <c r="L116" s="692"/>
      <c r="M116" s="693"/>
      <c r="N116" s="1938"/>
      <c r="O116" s="1938"/>
      <c r="P116" s="2007"/>
      <c r="Q116" s="1934"/>
    </row>
    <row r="117" spans="1:17">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ht="14.4">
      <c r="A118" s="685"/>
      <c r="B118" s="572" t="s">
        <v>1630</v>
      </c>
      <c r="C118" s="682"/>
      <c r="D118" s="682"/>
      <c r="E118" s="682"/>
      <c r="F118" s="682"/>
      <c r="G118" s="682"/>
      <c r="H118" s="682"/>
      <c r="I118" s="682"/>
      <c r="J118" s="682"/>
      <c r="K118" s="691"/>
      <c r="L118" s="692"/>
      <c r="M118" s="693"/>
      <c r="N118" s="1938"/>
      <c r="O118" s="1938"/>
      <c r="P118" s="2007"/>
      <c r="Q118" s="1934"/>
    </row>
    <row r="119" spans="1:17">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8.8">
      <c r="A120" s="687"/>
      <c r="B120" s="572" t="s">
        <v>1631</v>
      </c>
      <c r="C120" s="580"/>
      <c r="D120" s="580"/>
      <c r="E120" s="580"/>
      <c r="F120" s="580"/>
      <c r="G120" s="580"/>
      <c r="H120" s="580"/>
      <c r="I120" s="580"/>
      <c r="J120" s="580"/>
      <c r="K120" s="580"/>
      <c r="L120" s="694"/>
      <c r="M120" s="695"/>
      <c r="N120" s="1941"/>
      <c r="O120" s="1941"/>
      <c r="P120" s="2010"/>
      <c r="Q120" s="1943"/>
    </row>
    <row r="121" spans="1:17" s="420" customFormat="1">
      <c r="A121" s="579"/>
      <c r="B121" s="570"/>
      <c r="C121" s="578"/>
      <c r="D121" s="571"/>
      <c r="E121" s="571"/>
      <c r="F121" s="571"/>
      <c r="G121" s="571"/>
      <c r="H121" s="571"/>
      <c r="I121" s="571"/>
      <c r="J121" s="571"/>
      <c r="K121" s="571"/>
      <c r="L121" s="571"/>
      <c r="M121" s="571"/>
      <c r="N121" s="1941"/>
      <c r="O121" s="1941"/>
      <c r="P121" s="2010"/>
      <c r="Q121" s="1943"/>
    </row>
    <row r="122" spans="1:17" ht="14.4">
      <c r="A122" s="685"/>
      <c r="B122" s="572" t="s">
        <v>1261</v>
      </c>
      <c r="C122" s="580"/>
      <c r="D122" s="580"/>
      <c r="E122" s="580"/>
      <c r="F122" s="682"/>
      <c r="G122" s="682"/>
      <c r="H122" s="682"/>
      <c r="I122" s="682"/>
      <c r="J122" s="682"/>
      <c r="K122" s="691"/>
      <c r="L122" s="692"/>
      <c r="M122" s="693"/>
      <c r="N122" s="1938"/>
      <c r="O122" s="1938"/>
      <c r="P122" s="2007"/>
      <c r="Q122" s="1934"/>
    </row>
    <row r="123" spans="1:17">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ht="28.8">
      <c r="A124" s="685"/>
      <c r="B124" s="572" t="s">
        <v>1262</v>
      </c>
      <c r="C124" s="680" t="s">
        <v>1286</v>
      </c>
      <c r="D124" s="680" t="s">
        <v>1287</v>
      </c>
      <c r="E124" s="680" t="s">
        <v>1288</v>
      </c>
      <c r="F124" s="680" t="s">
        <v>1289</v>
      </c>
      <c r="G124" s="680" t="s">
        <v>1290</v>
      </c>
      <c r="H124" s="573"/>
      <c r="I124" s="573"/>
      <c r="J124" s="573"/>
      <c r="K124" s="638"/>
      <c r="L124" s="639"/>
      <c r="M124" s="640"/>
      <c r="N124" s="1938"/>
      <c r="O124" s="1938"/>
      <c r="P124" s="2010"/>
      <c r="Q124" s="1934"/>
    </row>
    <row r="125" spans="1:17">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c r="A131" s="1748"/>
      <c r="B131" s="1839"/>
      <c r="C131" s="1840"/>
      <c r="D131" s="1840"/>
      <c r="E131" s="1840"/>
      <c r="F131" s="1840"/>
      <c r="G131" s="1845"/>
      <c r="H131" s="1845"/>
      <c r="I131" s="1845"/>
      <c r="J131" s="1845"/>
      <c r="K131" s="1845"/>
      <c r="L131" s="1845"/>
      <c r="M131" s="1864"/>
      <c r="N131" s="1940"/>
      <c r="O131" s="1940"/>
      <c r="P131" s="2007"/>
      <c r="Q131" s="1934"/>
    </row>
    <row r="136" spans="1:17" ht="14.4">
      <c r="B136" s="2016" t="s">
        <v>1632</v>
      </c>
    </row>
    <row r="137" spans="1:17" ht="15">
      <c r="B137" s="2017" t="s">
        <v>1633</v>
      </c>
      <c r="C137" s="2018"/>
      <c r="D137" s="2018"/>
      <c r="E137" s="2018"/>
      <c r="F137" s="2018"/>
      <c r="G137" s="2019"/>
      <c r="H137" s="2020"/>
      <c r="I137" s="2042" t="s">
        <v>1634</v>
      </c>
      <c r="J137" s="2018"/>
      <c r="K137" s="2043"/>
    </row>
    <row r="138" spans="1:17" ht="15">
      <c r="B138" s="2021"/>
      <c r="C138" s="741" t="s">
        <v>1635</v>
      </c>
      <c r="D138" s="741" t="s">
        <v>1636</v>
      </c>
      <c r="E138" s="2022" t="s">
        <v>1637</v>
      </c>
      <c r="F138" s="2023" t="s">
        <v>1638</v>
      </c>
      <c r="G138" s="741" t="s">
        <v>1636</v>
      </c>
      <c r="H138" s="742" t="s">
        <v>1637</v>
      </c>
      <c r="I138" s="2044"/>
      <c r="J138" s="741" t="s">
        <v>1639</v>
      </c>
      <c r="K138" s="742" t="s">
        <v>1640</v>
      </c>
    </row>
    <row r="139" spans="1:17" ht="15">
      <c r="B139" s="2024">
        <v>6</v>
      </c>
      <c r="C139" s="2025">
        <v>96</v>
      </c>
      <c r="D139" s="2026" t="s">
        <v>1641</v>
      </c>
      <c r="E139" s="2027">
        <v>100</v>
      </c>
      <c r="F139" s="2028">
        <v>102.5</v>
      </c>
      <c r="G139" s="2026" t="s">
        <v>1641</v>
      </c>
      <c r="H139" s="2029">
        <v>105</v>
      </c>
      <c r="I139" s="2045" t="s">
        <v>1642</v>
      </c>
      <c r="J139" s="2025">
        <v>20</v>
      </c>
      <c r="K139" s="2046">
        <f>C145/(J139-2)</f>
        <v>4.0555555555555553E-3</v>
      </c>
    </row>
    <row r="140" spans="1:17" ht="15">
      <c r="B140" s="2030">
        <v>5</v>
      </c>
      <c r="C140" s="2031">
        <v>100</v>
      </c>
      <c r="D140" s="2031"/>
      <c r="E140" s="2032"/>
      <c r="F140" s="2033">
        <v>102</v>
      </c>
      <c r="G140" s="2031"/>
      <c r="H140" s="2034"/>
      <c r="I140" s="2047" t="s">
        <v>1643</v>
      </c>
      <c r="J140" s="124">
        <f>ROUNDUP((J139-1)/2,0)</f>
        <v>10</v>
      </c>
      <c r="K140" s="2048">
        <v>100</v>
      </c>
    </row>
    <row r="141" spans="1:17" ht="15">
      <c r="B141" s="2030">
        <v>4</v>
      </c>
      <c r="C141" s="2031">
        <v>102</v>
      </c>
      <c r="D141" s="2031"/>
      <c r="E141" s="2032"/>
      <c r="F141" s="2033">
        <v>101.5</v>
      </c>
      <c r="G141" s="2031"/>
      <c r="H141" s="2034"/>
      <c r="I141" s="2047" t="s">
        <v>1644</v>
      </c>
      <c r="J141" s="124">
        <v>1</v>
      </c>
      <c r="K141" s="2049">
        <f>ROUND(100+(J141-J140)*K139*100,1)</f>
        <v>96.4</v>
      </c>
    </row>
    <row r="142" spans="1:17" ht="15">
      <c r="B142" s="2030">
        <v>3</v>
      </c>
      <c r="C142" s="2031">
        <v>103</v>
      </c>
      <c r="D142" s="2031"/>
      <c r="E142" s="2032"/>
      <c r="F142" s="2033">
        <v>101</v>
      </c>
      <c r="G142" s="2031"/>
      <c r="H142" s="2034"/>
      <c r="I142" s="2047" t="s">
        <v>1645</v>
      </c>
      <c r="J142" s="124">
        <f>J139</f>
        <v>20</v>
      </c>
      <c r="K142" s="2050">
        <v>95</v>
      </c>
    </row>
    <row r="143" spans="1:17" ht="15">
      <c r="B143" s="2030">
        <v>2</v>
      </c>
      <c r="C143" s="2031">
        <v>100</v>
      </c>
      <c r="D143" s="2031"/>
      <c r="E143" s="2032"/>
      <c r="F143" s="2033">
        <v>100.5</v>
      </c>
      <c r="G143" s="2031"/>
      <c r="H143" s="2034"/>
      <c r="I143" s="2047" t="s">
        <v>1646</v>
      </c>
      <c r="J143" s="2031">
        <v>15</v>
      </c>
      <c r="K143" s="2049">
        <f>ROUND(100+(J143-J140)*K139*100,1)</f>
        <v>102</v>
      </c>
    </row>
    <row r="144" spans="1:17" ht="15">
      <c r="B144" s="2030">
        <v>1</v>
      </c>
      <c r="C144" s="2031">
        <v>98</v>
      </c>
      <c r="D144" s="2035" t="s">
        <v>1647</v>
      </c>
      <c r="E144" s="2032">
        <v>102</v>
      </c>
      <c r="F144" s="2036">
        <v>100</v>
      </c>
      <c r="G144" s="2035" t="s">
        <v>1647</v>
      </c>
      <c r="H144" s="2034">
        <v>105</v>
      </c>
      <c r="I144" s="2047" t="s">
        <v>1646</v>
      </c>
      <c r="J144" s="2031">
        <v>18</v>
      </c>
      <c r="K144" s="2049">
        <f>ROUND(100+(J144-J140)*K139*100,1)</f>
        <v>103.2</v>
      </c>
    </row>
    <row r="145" spans="2:11" ht="15.6">
      <c r="B145" s="1615" t="s">
        <v>1648</v>
      </c>
      <c r="C145" s="2037">
        <f>ROUND(MAX(C139:C144)/MIN(C139:C144)-1,3)</f>
        <v>7.2999999999999995E-2</v>
      </c>
      <c r="D145" s="2038"/>
      <c r="E145" s="2038"/>
      <c r="F145" s="2039" t="s">
        <v>1649</v>
      </c>
      <c r="G145" s="2040"/>
      <c r="H145" s="2041"/>
      <c r="I145" s="2051" t="s">
        <v>1646</v>
      </c>
      <c r="J145" s="2052">
        <v>8</v>
      </c>
      <c r="K145" s="2053">
        <f>ROUND(100+(J145-J140)*K139*100,1)</f>
        <v>99.2</v>
      </c>
    </row>
    <row r="147" spans="2:11" ht="14.4">
      <c r="B147" s="2016" t="s">
        <v>1650</v>
      </c>
    </row>
    <row r="148" spans="2:11" ht="14.4">
      <c r="B148" s="2016" t="s">
        <v>1651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423" customWidth="1"/>
    <col min="2" max="2" width="15.77734375" style="423" customWidth="1"/>
    <col min="3" max="3" width="15.10937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1948"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1203</v>
      </c>
      <c r="B1" s="1949" t="s">
        <v>1652</v>
      </c>
      <c r="C1" s="1907" t="s">
        <v>1205</v>
      </c>
      <c r="D1" s="430"/>
      <c r="E1" s="1950"/>
      <c r="F1" s="432"/>
      <c r="G1" s="1893" t="s">
        <v>1207</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1055</v>
      </c>
      <c r="B2" s="435" t="e">
        <f ca="1">IF(C2="——",ROUND(C49*D3/10000,0),ROUND(C49*D3/10000,0)-D2)</f>
        <v>#DIV/0!</v>
      </c>
      <c r="C2" s="436"/>
      <c r="D2" s="1951" t="e">
        <f ca="1">SUMIF(INDIRECT("'"&amp;F2&amp;"'"&amp;"!A:A"),"承租人权益价值",INDIRECT("'"&amp;F2&amp;"'"&amp;"!c:c"))</f>
        <v>#REF!</v>
      </c>
      <c r="E2" s="438" t="s">
        <v>1056</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1057</v>
      </c>
      <c r="B3" s="441" t="e">
        <f ca="1">IF(C2="——",C49,ROUND(B2*10000/D3,0))</f>
        <v>#DIV/0!</v>
      </c>
      <c r="C3" s="442" t="s">
        <v>1208</v>
      </c>
      <c r="D3" s="443">
        <f>IF(D1="",'数据-汇总表'!E3,SUMIF('数据-汇总表'!$C19:$C33,D1,'数据-汇总表'!$E19:$E33))</f>
        <v>51096.2</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14" t="s">
        <v>1212</v>
      </c>
      <c r="AC4" s="3276" t="s">
        <v>1213</v>
      </c>
    </row>
    <row r="5" spans="1:29">
      <c r="A5" s="448"/>
      <c r="B5" s="449"/>
      <c r="C5" s="3199" t="s">
        <v>1216</v>
      </c>
      <c r="D5" s="3200"/>
      <c r="E5" s="3272" t="s">
        <v>1623</v>
      </c>
      <c r="F5" s="3202"/>
      <c r="G5" s="3199" t="s">
        <v>1624</v>
      </c>
      <c r="H5" s="3200"/>
      <c r="I5" s="3199" t="s">
        <v>1625</v>
      </c>
      <c r="J5" s="3200"/>
      <c r="K5" s="592"/>
      <c r="L5" s="593"/>
      <c r="M5" s="536"/>
      <c r="N5" s="536"/>
      <c r="O5" s="536"/>
      <c r="P5" s="3279"/>
      <c r="Q5" s="3236"/>
      <c r="R5" s="3241"/>
      <c r="S5" s="3242"/>
      <c r="T5" s="3241"/>
      <c r="U5" s="3242"/>
      <c r="V5" s="3214"/>
      <c r="W5" s="3214"/>
      <c r="X5" s="658"/>
      <c r="Y5" s="3241"/>
      <c r="Z5" s="3242"/>
      <c r="AA5" s="3228"/>
      <c r="AB5" s="3214"/>
      <c r="AC5" s="3228"/>
    </row>
    <row r="6" spans="1:29" ht="14.4">
      <c r="A6" s="450"/>
      <c r="B6" s="451"/>
      <c r="C6" s="3204" t="s">
        <v>1217</v>
      </c>
      <c r="D6" s="3205"/>
      <c r="E6" s="3206" t="s">
        <v>1217</v>
      </c>
      <c r="F6" s="3207"/>
      <c r="G6" s="3204" t="s">
        <v>1217</v>
      </c>
      <c r="H6" s="3205"/>
      <c r="I6" s="3204" t="s">
        <v>1217</v>
      </c>
      <c r="J6" s="3205"/>
      <c r="K6" s="592" t="s">
        <v>1218</v>
      </c>
      <c r="L6" s="593"/>
      <c r="M6" s="536"/>
      <c r="N6" s="536"/>
      <c r="O6" s="536"/>
      <c r="P6" s="3280"/>
      <c r="Q6" s="3238"/>
      <c r="R6" s="3241"/>
      <c r="S6" s="3242"/>
      <c r="T6" s="3243"/>
      <c r="U6" s="3244"/>
      <c r="V6" s="3214"/>
      <c r="W6" s="3214"/>
      <c r="X6" s="658"/>
      <c r="Y6" s="3243"/>
      <c r="Z6" s="3244"/>
      <c r="AA6" s="3229"/>
      <c r="AB6" s="3214"/>
      <c r="AC6" s="3229"/>
    </row>
    <row r="7" spans="1:29" s="418" customFormat="1" ht="14.4">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594"/>
      <c r="L7" s="595"/>
      <c r="M7" s="596"/>
      <c r="N7" s="596"/>
      <c r="O7" s="596"/>
      <c r="P7" s="3210" t="s">
        <v>1220</v>
      </c>
      <c r="Q7" s="3209"/>
      <c r="R7" s="659" t="s">
        <v>1221</v>
      </c>
      <c r="S7" s="660">
        <f t="shared" ref="S7:S15" si="0">F7</f>
        <v>0</v>
      </c>
      <c r="T7" s="659" t="s">
        <v>1221</v>
      </c>
      <c r="U7" s="660">
        <f t="shared" ref="U7:U15" si="1">H7</f>
        <v>0</v>
      </c>
      <c r="V7" s="659" t="s">
        <v>1221</v>
      </c>
      <c r="W7" s="660">
        <f t="shared" ref="W7:W15"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458"/>
      <c r="F8" s="457">
        <f>SUMIF(61:61,E8,62:62)-SUMIF(61:61,C8,62:62)+100</f>
        <v>0</v>
      </c>
      <c r="G8" s="458"/>
      <c r="H8" s="455">
        <f>SUMIF(61:61,G8,62:62)-SUMIF(61:61,C8,62:62)+100</f>
        <v>0</v>
      </c>
      <c r="I8" s="458"/>
      <c r="J8" s="455">
        <f>SUMIF(61:61,I8,62:62)-SUMIF(61:61,C8,62:62)+100</f>
        <v>0</v>
      </c>
      <c r="K8" s="594"/>
      <c r="L8" s="595"/>
      <c r="M8" s="596"/>
      <c r="N8" s="596"/>
      <c r="O8" s="596"/>
      <c r="P8" s="3210" t="s">
        <v>1224</v>
      </c>
      <c r="Q8" s="3211"/>
      <c r="R8" s="659" t="s">
        <v>1221</v>
      </c>
      <c r="S8" s="660">
        <f t="shared" si="0"/>
        <v>0</v>
      </c>
      <c r="T8" s="659" t="s">
        <v>1221</v>
      </c>
      <c r="U8" s="660">
        <f t="shared" si="1"/>
        <v>0</v>
      </c>
      <c r="V8" s="659" t="s">
        <v>1221</v>
      </c>
      <c r="W8" s="660">
        <f t="shared" si="2"/>
        <v>0</v>
      </c>
      <c r="X8" s="661"/>
      <c r="Y8" s="3210" t="s">
        <v>1224</v>
      </c>
      <c r="Z8" s="3211"/>
      <c r="AA8" s="677" t="e">
        <f t="shared" ref="AA8:AA46" si="3">D8/F8</f>
        <v>#DIV/0!</v>
      </c>
      <c r="AB8" s="677" t="e">
        <f t="shared" ref="AB8:AB46" si="4">D8/H8</f>
        <v>#DIV/0!</v>
      </c>
      <c r="AC8" s="677" t="e">
        <f t="shared" ref="AC8:AC46" si="5">D8/J8</f>
        <v>#DIV/0!</v>
      </c>
    </row>
    <row r="9" spans="1:29" s="418" customFormat="1" ht="14.4">
      <c r="A9" s="1740" t="s">
        <v>1225</v>
      </c>
      <c r="B9" s="1741" t="s">
        <v>1226</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12" t="s">
        <v>1227</v>
      </c>
      <c r="Q9" s="663" t="str">
        <f t="shared" ref="Q9:Q15" si="6">B9</f>
        <v>用途</v>
      </c>
      <c r="R9" s="659" t="s">
        <v>1221</v>
      </c>
      <c r="S9" s="660">
        <f t="shared" si="0"/>
        <v>100</v>
      </c>
      <c r="T9" s="659" t="s">
        <v>1221</v>
      </c>
      <c r="U9" s="660">
        <f t="shared" si="1"/>
        <v>100</v>
      </c>
      <c r="V9" s="659" t="s">
        <v>1221</v>
      </c>
      <c r="W9" s="660">
        <f t="shared" si="2"/>
        <v>100</v>
      </c>
      <c r="X9" s="661"/>
      <c r="Y9" s="3186" t="s">
        <v>1228</v>
      </c>
      <c r="Z9" s="677" t="str">
        <f t="shared" ref="Z9:Z15" si="7">Q9</f>
        <v>用途</v>
      </c>
      <c r="AA9" s="677">
        <f t="shared" si="3"/>
        <v>1</v>
      </c>
      <c r="AB9" s="677">
        <f t="shared" si="4"/>
        <v>1</v>
      </c>
      <c r="AC9" s="677">
        <f t="shared" si="5"/>
        <v>1</v>
      </c>
    </row>
    <row r="10" spans="1:29" s="419" customFormat="1" ht="28.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12"/>
      <c r="Q10" s="663" t="str">
        <f t="shared" si="6"/>
        <v>土地使用年限（年）</v>
      </c>
      <c r="R10" s="659" t="s">
        <v>1221</v>
      </c>
      <c r="S10" s="660">
        <f t="shared" si="0"/>
        <v>100</v>
      </c>
      <c r="T10" s="659" t="s">
        <v>1221</v>
      </c>
      <c r="U10" s="660">
        <f t="shared" si="1"/>
        <v>100</v>
      </c>
      <c r="V10" s="659" t="s">
        <v>1221</v>
      </c>
      <c r="W10" s="660">
        <f t="shared" si="2"/>
        <v>100</v>
      </c>
      <c r="X10" s="661"/>
      <c r="Y10" s="3186"/>
      <c r="Z10" s="677" t="str">
        <f t="shared" si="7"/>
        <v>土地使用年限（年）</v>
      </c>
      <c r="AA10" s="677">
        <f t="shared" si="3"/>
        <v>1</v>
      </c>
      <c r="AB10" s="677">
        <f t="shared" si="4"/>
        <v>1</v>
      </c>
      <c r="AC10" s="677">
        <f t="shared" si="5"/>
        <v>1</v>
      </c>
    </row>
    <row r="11" spans="1:29" ht="1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12"/>
      <c r="Q11" s="663" t="str">
        <f t="shared" si="6"/>
        <v>容积率</v>
      </c>
      <c r="R11" s="659" t="s">
        <v>1221</v>
      </c>
      <c r="S11" s="660" t="e">
        <f t="shared" si="0"/>
        <v>#N/A</v>
      </c>
      <c r="T11" s="659" t="s">
        <v>1221</v>
      </c>
      <c r="U11" s="660" t="e">
        <f t="shared" si="1"/>
        <v>#N/A</v>
      </c>
      <c r="V11" s="659" t="s">
        <v>1221</v>
      </c>
      <c r="W11" s="660" t="e">
        <f t="shared" si="2"/>
        <v>#N/A</v>
      </c>
      <c r="X11" s="661"/>
      <c r="Y11" s="3186"/>
      <c r="Z11" s="677" t="str">
        <f t="shared" si="7"/>
        <v>容积率</v>
      </c>
      <c r="AA11" s="677" t="e">
        <f t="shared" si="3"/>
        <v>#N/A</v>
      </c>
      <c r="AB11" s="677" t="e">
        <f t="shared" si="4"/>
        <v>#N/A</v>
      </c>
      <c r="AC11" s="677" t="e">
        <f t="shared" si="5"/>
        <v>#N/A</v>
      </c>
    </row>
    <row r="12" spans="1:29" s="418" customFormat="1" ht="1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12"/>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12"/>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1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12"/>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677">
        <f t="shared" si="5"/>
        <v>1</v>
      </c>
    </row>
    <row r="15" spans="1:29" ht="69">
      <c r="A15" s="565" t="s">
        <v>1233</v>
      </c>
      <c r="B15" s="1869" t="s">
        <v>1653</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15" t="s">
        <v>1235</v>
      </c>
      <c r="Q15" s="598" t="str">
        <f t="shared" si="6"/>
        <v>商业繁华度</v>
      </c>
      <c r="R15" s="664" t="s">
        <v>1221</v>
      </c>
      <c r="S15" s="665">
        <f t="shared" si="0"/>
        <v>100</v>
      </c>
      <c r="T15" s="664" t="s">
        <v>1221</v>
      </c>
      <c r="U15" s="665">
        <f t="shared" si="1"/>
        <v>100</v>
      </c>
      <c r="V15" s="664" t="s">
        <v>1221</v>
      </c>
      <c r="W15" s="665">
        <f t="shared" si="2"/>
        <v>100</v>
      </c>
      <c r="X15" s="658"/>
      <c r="Y15" s="3220" t="s">
        <v>1235</v>
      </c>
      <c r="Z15" s="657" t="str">
        <f t="shared" si="7"/>
        <v>商业繁华度</v>
      </c>
      <c r="AA15" s="657">
        <f t="shared" si="3"/>
        <v>1</v>
      </c>
      <c r="AB15" s="657">
        <f t="shared" si="4"/>
        <v>1</v>
      </c>
      <c r="AC15" s="657">
        <f t="shared" si="5"/>
        <v>1</v>
      </c>
    </row>
    <row r="16" spans="1:29" ht="15">
      <c r="A16" s="569"/>
      <c r="B16" s="670"/>
      <c r="C16" s="485"/>
      <c r="D16" s="486"/>
      <c r="E16" s="485"/>
      <c r="F16" s="487"/>
      <c r="G16" s="485"/>
      <c r="H16" s="488"/>
      <c r="I16" s="485"/>
      <c r="J16" s="486"/>
      <c r="K16" s="606"/>
      <c r="L16" s="604"/>
      <c r="M16" s="536"/>
      <c r="N16" s="536"/>
      <c r="O16" s="536"/>
      <c r="P16" s="3216"/>
      <c r="Q16" s="598"/>
      <c r="R16" s="664"/>
      <c r="S16" s="665"/>
      <c r="T16" s="664"/>
      <c r="U16" s="665"/>
      <c r="V16" s="664"/>
      <c r="W16" s="665"/>
      <c r="X16" s="658"/>
      <c r="Y16" s="3221"/>
      <c r="Z16" s="657"/>
      <c r="AA16" s="657">
        <v>1</v>
      </c>
      <c r="AB16" s="657">
        <v>1</v>
      </c>
      <c r="AC16" s="657">
        <v>1</v>
      </c>
    </row>
    <row r="17" spans="1:29" ht="82.8">
      <c r="A17" s="569"/>
      <c r="B17" s="1871" t="s">
        <v>1238</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16"/>
      <c r="Q17" s="598" t="str">
        <f>B17</f>
        <v>交通便捷度</v>
      </c>
      <c r="R17" s="664" t="s">
        <v>1221</v>
      </c>
      <c r="S17" s="665">
        <f>F17</f>
        <v>100</v>
      </c>
      <c r="T17" s="664" t="s">
        <v>1221</v>
      </c>
      <c r="U17" s="665">
        <f>H17</f>
        <v>100</v>
      </c>
      <c r="V17" s="664" t="s">
        <v>1221</v>
      </c>
      <c r="W17" s="665">
        <f>J17</f>
        <v>100</v>
      </c>
      <c r="X17" s="658"/>
      <c r="Y17" s="3221"/>
      <c r="Z17" s="657" t="str">
        <f>Q17</f>
        <v>交通便捷度</v>
      </c>
      <c r="AA17" s="657">
        <f t="shared" si="3"/>
        <v>1</v>
      </c>
      <c r="AB17" s="657">
        <f t="shared" si="4"/>
        <v>1</v>
      </c>
      <c r="AC17" s="657">
        <f t="shared" si="5"/>
        <v>1</v>
      </c>
    </row>
    <row r="18" spans="1:29" ht="15">
      <c r="A18" s="569"/>
      <c r="B18" s="1767"/>
      <c r="C18" s="496"/>
      <c r="D18" s="488"/>
      <c r="E18" s="1872"/>
      <c r="F18" s="500"/>
      <c r="G18" s="1880"/>
      <c r="H18" s="486"/>
      <c r="I18" s="1872"/>
      <c r="J18" s="486"/>
      <c r="K18" s="606"/>
      <c r="L18" s="604"/>
      <c r="M18" s="536"/>
      <c r="N18" s="536"/>
      <c r="O18" s="536"/>
      <c r="P18" s="3216"/>
      <c r="Q18" s="598"/>
      <c r="R18" s="664"/>
      <c r="S18" s="665"/>
      <c r="T18" s="664"/>
      <c r="U18" s="665"/>
      <c r="V18" s="664"/>
      <c r="W18" s="665"/>
      <c r="X18" s="658"/>
      <c r="Y18" s="3221"/>
      <c r="Z18" s="657"/>
      <c r="AA18" s="657">
        <v>1</v>
      </c>
      <c r="AB18" s="657">
        <v>1</v>
      </c>
      <c r="AC18" s="657">
        <v>1</v>
      </c>
    </row>
    <row r="19" spans="1:29" ht="41.4">
      <c r="A19" s="569"/>
      <c r="B19" s="1871" t="s">
        <v>1239</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16"/>
      <c r="Q19" s="598" t="str">
        <f>B19</f>
        <v>公共配套设施</v>
      </c>
      <c r="R19" s="664" t="s">
        <v>1221</v>
      </c>
      <c r="S19" s="665">
        <f>F19</f>
        <v>100</v>
      </c>
      <c r="T19" s="664" t="s">
        <v>1221</v>
      </c>
      <c r="U19" s="665">
        <f>H19</f>
        <v>100</v>
      </c>
      <c r="V19" s="664" t="s">
        <v>1221</v>
      </c>
      <c r="W19" s="665">
        <f>J19</f>
        <v>100</v>
      </c>
      <c r="X19" s="658"/>
      <c r="Y19" s="3221"/>
      <c r="Z19" s="657" t="str">
        <f>Q19</f>
        <v>公共配套设施</v>
      </c>
      <c r="AA19" s="657">
        <f t="shared" si="3"/>
        <v>1</v>
      </c>
      <c r="AB19" s="657">
        <f t="shared" si="4"/>
        <v>1</v>
      </c>
      <c r="AC19" s="657">
        <f t="shared" si="5"/>
        <v>1</v>
      </c>
    </row>
    <row r="20" spans="1:29" ht="15">
      <c r="A20" s="569"/>
      <c r="B20" s="1767"/>
      <c r="C20" s="485"/>
      <c r="D20" s="486"/>
      <c r="E20" s="1753"/>
      <c r="F20" s="487"/>
      <c r="G20" s="1874"/>
      <c r="H20" s="486"/>
      <c r="I20" s="1753"/>
      <c r="J20" s="486"/>
      <c r="K20" s="606"/>
      <c r="L20" s="604"/>
      <c r="M20" s="536"/>
      <c r="N20" s="536"/>
      <c r="O20" s="536"/>
      <c r="P20" s="3216"/>
      <c r="Q20" s="598"/>
      <c r="R20" s="664"/>
      <c r="S20" s="665"/>
      <c r="T20" s="664"/>
      <c r="U20" s="665"/>
      <c r="V20" s="664"/>
      <c r="W20" s="665"/>
      <c r="X20" s="658"/>
      <c r="Y20" s="3221"/>
      <c r="Z20" s="657"/>
      <c r="AA20" s="657">
        <v>1</v>
      </c>
      <c r="AB20" s="657">
        <v>1</v>
      </c>
      <c r="AC20" s="657">
        <v>1</v>
      </c>
    </row>
    <row r="21" spans="1:29" ht="27.6">
      <c r="A21" s="569"/>
      <c r="B21" s="1873" t="s">
        <v>1240</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16"/>
      <c r="Q21" s="598" t="str">
        <f>B21</f>
        <v>基础设施水平</v>
      </c>
      <c r="R21" s="664" t="s">
        <v>1221</v>
      </c>
      <c r="S21" s="665">
        <f>F21</f>
        <v>100</v>
      </c>
      <c r="T21" s="664" t="s">
        <v>1221</v>
      </c>
      <c r="U21" s="665">
        <f>H21</f>
        <v>100</v>
      </c>
      <c r="V21" s="664" t="s">
        <v>1221</v>
      </c>
      <c r="W21" s="665">
        <f>J21</f>
        <v>100</v>
      </c>
      <c r="X21" s="658"/>
      <c r="Y21" s="322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7"/>
      <c r="G22" s="485"/>
      <c r="H22" s="486"/>
      <c r="I22" s="485"/>
      <c r="J22" s="486"/>
      <c r="K22" s="607"/>
      <c r="L22" s="604"/>
      <c r="M22" s="536"/>
      <c r="N22" s="536"/>
      <c r="O22" s="536"/>
      <c r="P22" s="3216"/>
      <c r="Q22" s="598"/>
      <c r="R22" s="664"/>
      <c r="S22" s="665"/>
      <c r="T22" s="664"/>
      <c r="U22" s="665"/>
      <c r="V22" s="664"/>
      <c r="W22" s="665"/>
      <c r="X22" s="658"/>
      <c r="Y22" s="3221"/>
      <c r="Z22" s="657"/>
      <c r="AA22" s="657">
        <v>1</v>
      </c>
      <c r="AB22" s="657">
        <v>1</v>
      </c>
      <c r="AC22" s="657">
        <v>1</v>
      </c>
    </row>
    <row r="23" spans="1:29" ht="55.2">
      <c r="A23" s="569"/>
      <c r="B23" s="1871" t="s">
        <v>1627</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16"/>
      <c r="Q23" s="598" t="str">
        <f>B23</f>
        <v>自然及人文环境</v>
      </c>
      <c r="R23" s="664" t="s">
        <v>1221</v>
      </c>
      <c r="S23" s="665">
        <f>F23</f>
        <v>100</v>
      </c>
      <c r="T23" s="664" t="s">
        <v>1221</v>
      </c>
      <c r="U23" s="665">
        <f>H23</f>
        <v>100</v>
      </c>
      <c r="V23" s="664" t="s">
        <v>1221</v>
      </c>
      <c r="W23" s="665">
        <f>J23</f>
        <v>100</v>
      </c>
      <c r="X23" s="658"/>
      <c r="Y23" s="3221"/>
      <c r="Z23" s="657" t="str">
        <f>Q23</f>
        <v>自然及人文环境</v>
      </c>
      <c r="AA23" s="657">
        <f t="shared" si="3"/>
        <v>1</v>
      </c>
      <c r="AB23" s="657">
        <f t="shared" si="4"/>
        <v>1</v>
      </c>
      <c r="AC23" s="657">
        <f t="shared" si="5"/>
        <v>1</v>
      </c>
    </row>
    <row r="24" spans="1:29" ht="15">
      <c r="A24" s="569"/>
      <c r="B24" s="1767"/>
      <c r="C24" s="485"/>
      <c r="D24" s="486"/>
      <c r="E24" s="1753"/>
      <c r="F24" s="487"/>
      <c r="G24" s="1874"/>
      <c r="H24" s="486"/>
      <c r="I24" s="1753"/>
      <c r="J24" s="486"/>
      <c r="K24" s="606"/>
      <c r="L24" s="604"/>
      <c r="M24" s="536"/>
      <c r="N24" s="536"/>
      <c r="O24" s="536"/>
      <c r="P24" s="3216"/>
      <c r="Q24" s="598"/>
      <c r="R24" s="664"/>
      <c r="S24" s="665"/>
      <c r="T24" s="664"/>
      <c r="U24" s="665"/>
      <c r="V24" s="664"/>
      <c r="W24" s="665"/>
      <c r="X24" s="658"/>
      <c r="Y24" s="3221"/>
      <c r="Z24" s="657"/>
      <c r="AA24" s="657">
        <v>1</v>
      </c>
      <c r="AB24" s="657">
        <v>1</v>
      </c>
      <c r="AC24" s="657">
        <v>1</v>
      </c>
    </row>
    <row r="25" spans="1:29" ht="15">
      <c r="A25" s="569"/>
      <c r="B25" s="1744" t="s">
        <v>1654</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16"/>
      <c r="Q25" s="598" t="str">
        <f t="shared" ref="Q25:Q46" si="11">B25</f>
        <v>临街状况</v>
      </c>
      <c r="R25" s="664" t="s">
        <v>1221</v>
      </c>
      <c r="S25" s="665">
        <f>F25</f>
        <v>100</v>
      </c>
      <c r="T25" s="664" t="s">
        <v>1221</v>
      </c>
      <c r="U25" s="665">
        <f>H25</f>
        <v>100</v>
      </c>
      <c r="V25" s="664" t="s">
        <v>1221</v>
      </c>
      <c r="W25" s="665">
        <f>J25</f>
        <v>100</v>
      </c>
      <c r="X25" s="658"/>
      <c r="Y25" s="3221"/>
      <c r="Z25" s="657" t="str">
        <f>Q25</f>
        <v>临街状况</v>
      </c>
      <c r="AA25" s="657">
        <f t="shared" si="3"/>
        <v>1</v>
      </c>
      <c r="AB25" s="657">
        <f t="shared" si="4"/>
        <v>1</v>
      </c>
      <c r="AC25" s="657">
        <f t="shared" si="5"/>
        <v>1</v>
      </c>
    </row>
    <row r="26" spans="1:29" ht="15">
      <c r="A26" s="569"/>
      <c r="B26" s="1849" t="s">
        <v>1655</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16"/>
      <c r="Q26" s="598" t="str">
        <f t="shared" si="11"/>
        <v>平面位置/可视性</v>
      </c>
      <c r="R26" s="664" t="s">
        <v>1221</v>
      </c>
      <c r="S26" s="665">
        <f>F26</f>
        <v>100</v>
      </c>
      <c r="T26" s="664" t="s">
        <v>1221</v>
      </c>
      <c r="U26" s="665">
        <f>H26</f>
        <v>100</v>
      </c>
      <c r="V26" s="664" t="s">
        <v>1221</v>
      </c>
      <c r="W26" s="665">
        <f>J26</f>
        <v>100</v>
      </c>
      <c r="X26" s="658"/>
      <c r="Y26" s="3221"/>
      <c r="Z26" s="657" t="str">
        <f>Q26</f>
        <v>平面位置/可视性</v>
      </c>
      <c r="AA26" s="657">
        <f t="shared" si="3"/>
        <v>1</v>
      </c>
      <c r="AB26" s="657">
        <f t="shared" si="4"/>
        <v>1</v>
      </c>
      <c r="AC26" s="657">
        <f t="shared" si="5"/>
        <v>1</v>
      </c>
    </row>
    <row r="27" spans="1:29" s="418" customFormat="1" ht="15">
      <c r="A27" s="683"/>
      <c r="B27" s="1871" t="s">
        <v>1656</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16"/>
      <c r="Q27" s="663" t="str">
        <f t="shared" si="11"/>
        <v>人流量</v>
      </c>
      <c r="R27" s="659" t="s">
        <v>1221</v>
      </c>
      <c r="S27" s="660">
        <f>F27</f>
        <v>100</v>
      </c>
      <c r="T27" s="659" t="s">
        <v>1221</v>
      </c>
      <c r="U27" s="660">
        <f>H27</f>
        <v>100</v>
      </c>
      <c r="V27" s="659" t="s">
        <v>1221</v>
      </c>
      <c r="W27" s="660">
        <f>J27</f>
        <v>100</v>
      </c>
      <c r="X27" s="661"/>
      <c r="Y27" s="3221"/>
      <c r="Z27" s="677" t="str">
        <f>Q27</f>
        <v>人流量</v>
      </c>
      <c r="AA27" s="657">
        <f t="shared" si="3"/>
        <v>1</v>
      </c>
      <c r="AB27" s="657">
        <f t="shared" si="4"/>
        <v>1</v>
      </c>
      <c r="AC27" s="657">
        <f t="shared" si="5"/>
        <v>1</v>
      </c>
    </row>
    <row r="28" spans="1:29" ht="15">
      <c r="A28" s="569"/>
      <c r="B28" s="1744" t="s">
        <v>1243</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16"/>
      <c r="Q28" s="598" t="str">
        <f t="shared" si="11"/>
        <v>楼层</v>
      </c>
      <c r="R28" s="664" t="s">
        <v>1221</v>
      </c>
      <c r="S28" s="665">
        <f t="shared" ref="S28:S46" si="12">F28</f>
        <v>100</v>
      </c>
      <c r="T28" s="664" t="s">
        <v>1221</v>
      </c>
      <c r="U28" s="665">
        <f t="shared" ref="U28:U46" si="13">H28</f>
        <v>100</v>
      </c>
      <c r="V28" s="664" t="s">
        <v>1221</v>
      </c>
      <c r="W28" s="665">
        <f t="shared" ref="W28:W46" si="14">J28</f>
        <v>100</v>
      </c>
      <c r="X28" s="658"/>
      <c r="Y28" s="3221"/>
      <c r="Z28" s="657" t="str">
        <f t="shared" ref="Z28:Z46" si="15">Q28</f>
        <v>楼层</v>
      </c>
      <c r="AA28" s="657">
        <f t="shared" si="3"/>
        <v>1</v>
      </c>
      <c r="AB28" s="657">
        <f t="shared" si="4"/>
        <v>1</v>
      </c>
      <c r="AC28" s="657">
        <f t="shared" si="5"/>
        <v>1</v>
      </c>
    </row>
    <row r="29" spans="1:29" ht="1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16"/>
      <c r="Q29" s="598">
        <f t="shared" si="11"/>
        <v>111</v>
      </c>
      <c r="R29" s="664" t="s">
        <v>1221</v>
      </c>
      <c r="S29" s="665">
        <f t="shared" si="12"/>
        <v>100</v>
      </c>
      <c r="T29" s="664" t="s">
        <v>1221</v>
      </c>
      <c r="U29" s="665">
        <f t="shared" si="13"/>
        <v>100</v>
      </c>
      <c r="V29" s="664" t="s">
        <v>1221</v>
      </c>
      <c r="W29" s="665">
        <f t="shared" si="14"/>
        <v>100</v>
      </c>
      <c r="X29" s="658"/>
      <c r="Y29" s="3221"/>
      <c r="Z29" s="657">
        <f t="shared" si="15"/>
        <v>111</v>
      </c>
      <c r="AA29" s="657">
        <f t="shared" si="3"/>
        <v>1</v>
      </c>
      <c r="AB29" s="657">
        <f t="shared" si="4"/>
        <v>1</v>
      </c>
      <c r="AC29" s="657">
        <f t="shared" si="5"/>
        <v>1</v>
      </c>
    </row>
    <row r="30" spans="1:29" ht="1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16"/>
      <c r="Q30" s="598">
        <f t="shared" si="11"/>
        <v>111</v>
      </c>
      <c r="R30" s="664" t="s">
        <v>1221</v>
      </c>
      <c r="S30" s="665">
        <f t="shared" si="12"/>
        <v>100</v>
      </c>
      <c r="T30" s="664" t="s">
        <v>1221</v>
      </c>
      <c r="U30" s="665">
        <f t="shared" si="13"/>
        <v>100</v>
      </c>
      <c r="V30" s="664" t="s">
        <v>1221</v>
      </c>
      <c r="W30" s="665">
        <f t="shared" si="14"/>
        <v>100</v>
      </c>
      <c r="X30" s="658"/>
      <c r="Y30" s="3221"/>
      <c r="Z30" s="657">
        <f t="shared" si="15"/>
        <v>111</v>
      </c>
      <c r="AA30" s="657">
        <f t="shared" si="3"/>
        <v>1</v>
      </c>
      <c r="AB30" s="657">
        <f t="shared" si="4"/>
        <v>1</v>
      </c>
      <c r="AC30" s="657">
        <f t="shared" si="5"/>
        <v>1</v>
      </c>
    </row>
    <row r="31" spans="1:29" ht="1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16"/>
      <c r="Q31" s="598">
        <f t="shared" si="11"/>
        <v>111</v>
      </c>
      <c r="R31" s="664" t="s">
        <v>1221</v>
      </c>
      <c r="S31" s="665">
        <f t="shared" si="12"/>
        <v>100</v>
      </c>
      <c r="T31" s="664" t="s">
        <v>1221</v>
      </c>
      <c r="U31" s="665">
        <f t="shared" si="13"/>
        <v>100</v>
      </c>
      <c r="V31" s="664" t="s">
        <v>1221</v>
      </c>
      <c r="W31" s="665">
        <f t="shared" si="14"/>
        <v>100</v>
      </c>
      <c r="X31" s="658"/>
      <c r="Y31" s="3221"/>
      <c r="Z31" s="657">
        <f t="shared" si="15"/>
        <v>111</v>
      </c>
      <c r="AA31" s="657">
        <f t="shared" si="3"/>
        <v>1</v>
      </c>
      <c r="AB31" s="657">
        <f t="shared" si="4"/>
        <v>1</v>
      </c>
      <c r="AC31" s="657">
        <f t="shared" si="5"/>
        <v>1</v>
      </c>
    </row>
    <row r="32" spans="1:29" ht="15">
      <c r="A32" s="565" t="s">
        <v>1245</v>
      </c>
      <c r="B32" s="1741" t="s">
        <v>1657</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17" t="s">
        <v>1247</v>
      </c>
      <c r="Q32" s="598" t="str">
        <f t="shared" si="11"/>
        <v>商业类型</v>
      </c>
      <c r="R32" s="664" t="s">
        <v>1221</v>
      </c>
      <c r="S32" s="665">
        <f t="shared" si="12"/>
        <v>100</v>
      </c>
      <c r="T32" s="664" t="s">
        <v>1221</v>
      </c>
      <c r="U32" s="665">
        <f t="shared" si="13"/>
        <v>100</v>
      </c>
      <c r="V32" s="664" t="s">
        <v>1221</v>
      </c>
      <c r="W32" s="665">
        <f t="shared" si="14"/>
        <v>100</v>
      </c>
      <c r="X32" s="658"/>
      <c r="Y32" s="3222" t="s">
        <v>1247</v>
      </c>
      <c r="Z32" s="657" t="str">
        <f t="shared" si="15"/>
        <v>商业类型</v>
      </c>
      <c r="AA32" s="657">
        <f t="shared" si="3"/>
        <v>1</v>
      </c>
      <c r="AB32" s="657">
        <f t="shared" si="4"/>
        <v>1</v>
      </c>
      <c r="AC32" s="657">
        <f t="shared" si="5"/>
        <v>1</v>
      </c>
    </row>
    <row r="33" spans="1:29" s="420" customFormat="1" ht="15">
      <c r="A33" s="687"/>
      <c r="B33" s="1744" t="s">
        <v>1248</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18"/>
      <c r="Q33" s="666" t="str">
        <f t="shared" si="11"/>
        <v>项目建筑规模</v>
      </c>
      <c r="R33" s="667" t="s">
        <v>1221</v>
      </c>
      <c r="S33" s="668" t="e">
        <f t="shared" si="12"/>
        <v>#N/A</v>
      </c>
      <c r="T33" s="667" t="s">
        <v>1221</v>
      </c>
      <c r="U33" s="668" t="e">
        <f t="shared" si="13"/>
        <v>#N/A</v>
      </c>
      <c r="V33" s="667" t="s">
        <v>1221</v>
      </c>
      <c r="W33" s="668" t="e">
        <f t="shared" si="14"/>
        <v>#N/A</v>
      </c>
      <c r="X33" s="669"/>
      <c r="Y33" s="3222"/>
      <c r="Z33" s="678" t="str">
        <f t="shared" si="15"/>
        <v>项目建筑规模</v>
      </c>
      <c r="AA33" s="657" t="e">
        <f t="shared" si="3"/>
        <v>#N/A</v>
      </c>
      <c r="AB33" s="657" t="e">
        <f t="shared" si="4"/>
        <v>#N/A</v>
      </c>
      <c r="AC33" s="657" t="e">
        <f t="shared" si="5"/>
        <v>#N/A</v>
      </c>
    </row>
    <row r="34" spans="1:29" ht="15">
      <c r="A34" s="685"/>
      <c r="B34" s="1744" t="s">
        <v>1249</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18"/>
      <c r="Q34" s="598" t="str">
        <f t="shared" si="11"/>
        <v>建筑结构</v>
      </c>
      <c r="R34" s="664" t="s">
        <v>1221</v>
      </c>
      <c r="S34" s="665">
        <f t="shared" si="12"/>
        <v>100</v>
      </c>
      <c r="T34" s="664" t="s">
        <v>1221</v>
      </c>
      <c r="U34" s="665">
        <f t="shared" si="13"/>
        <v>100</v>
      </c>
      <c r="V34" s="664" t="s">
        <v>1221</v>
      </c>
      <c r="W34" s="665">
        <f t="shared" si="14"/>
        <v>100</v>
      </c>
      <c r="X34" s="658"/>
      <c r="Y34" s="3222"/>
      <c r="Z34" s="657" t="str">
        <f t="shared" si="15"/>
        <v>建筑结构</v>
      </c>
      <c r="AA34" s="657">
        <f t="shared" si="3"/>
        <v>1</v>
      </c>
      <c r="AB34" s="657">
        <f t="shared" si="4"/>
        <v>1</v>
      </c>
      <c r="AC34" s="657">
        <f t="shared" si="5"/>
        <v>1</v>
      </c>
    </row>
    <row r="35" spans="1:29" ht="15">
      <c r="A35" s="685"/>
      <c r="B35" s="1744" t="s">
        <v>1251</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18"/>
      <c r="Q35" s="598" t="str">
        <f t="shared" si="11"/>
        <v>公共部分装修</v>
      </c>
      <c r="R35" s="664" t="s">
        <v>1221</v>
      </c>
      <c r="S35" s="665">
        <f t="shared" si="12"/>
        <v>100</v>
      </c>
      <c r="T35" s="664" t="s">
        <v>1221</v>
      </c>
      <c r="U35" s="665">
        <f t="shared" si="13"/>
        <v>100</v>
      </c>
      <c r="V35" s="664" t="s">
        <v>1221</v>
      </c>
      <c r="W35" s="665">
        <f t="shared" si="14"/>
        <v>100</v>
      </c>
      <c r="X35" s="658"/>
      <c r="Y35" s="3222"/>
      <c r="Z35" s="657" t="str">
        <f t="shared" si="15"/>
        <v>公共部分装修</v>
      </c>
      <c r="AA35" s="657">
        <f t="shared" si="3"/>
        <v>1</v>
      </c>
      <c r="AB35" s="657">
        <f t="shared" si="4"/>
        <v>1</v>
      </c>
      <c r="AC35" s="657">
        <f t="shared" si="5"/>
        <v>1</v>
      </c>
    </row>
    <row r="36" spans="1:29" ht="15">
      <c r="A36" s="685"/>
      <c r="B36" s="1744" t="s">
        <v>697</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18"/>
      <c r="Q36" s="598" t="str">
        <f t="shared" si="11"/>
        <v>成新度</v>
      </c>
      <c r="R36" s="664" t="s">
        <v>1221</v>
      </c>
      <c r="S36" s="665" t="e">
        <f t="shared" si="12"/>
        <v>#N/A</v>
      </c>
      <c r="T36" s="664" t="s">
        <v>1221</v>
      </c>
      <c r="U36" s="665" t="e">
        <f t="shared" si="13"/>
        <v>#N/A</v>
      </c>
      <c r="V36" s="664" t="s">
        <v>1221</v>
      </c>
      <c r="W36" s="665" t="e">
        <f t="shared" si="14"/>
        <v>#N/A</v>
      </c>
      <c r="X36" s="658"/>
      <c r="Y36" s="3222"/>
      <c r="Z36" s="657" t="str">
        <f t="shared" si="15"/>
        <v>成新度</v>
      </c>
      <c r="AA36" s="657" t="e">
        <f t="shared" si="3"/>
        <v>#N/A</v>
      </c>
      <c r="AB36" s="657" t="e">
        <f t="shared" si="4"/>
        <v>#N/A</v>
      </c>
      <c r="AC36" s="657" t="e">
        <f t="shared" si="5"/>
        <v>#N/A</v>
      </c>
    </row>
    <row r="37" spans="1:29" s="418" customFormat="1" ht="15">
      <c r="A37" s="1770"/>
      <c r="B37" s="1744" t="s">
        <v>1257</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18"/>
      <c r="Q37" s="663" t="str">
        <f t="shared" si="11"/>
        <v>市政基础设施</v>
      </c>
      <c r="R37" s="659" t="s">
        <v>1221</v>
      </c>
      <c r="S37" s="660">
        <f t="shared" si="12"/>
        <v>100</v>
      </c>
      <c r="T37" s="659" t="s">
        <v>1221</v>
      </c>
      <c r="U37" s="660">
        <f t="shared" si="13"/>
        <v>100</v>
      </c>
      <c r="V37" s="659" t="s">
        <v>1221</v>
      </c>
      <c r="W37" s="660">
        <f t="shared" si="14"/>
        <v>100</v>
      </c>
      <c r="X37" s="661"/>
      <c r="Y37" s="3222"/>
      <c r="Z37" s="677" t="str">
        <f t="shared" si="15"/>
        <v>市政基础设施</v>
      </c>
      <c r="AA37" s="677">
        <f t="shared" si="3"/>
        <v>1</v>
      </c>
      <c r="AB37" s="677">
        <f t="shared" si="4"/>
        <v>1</v>
      </c>
      <c r="AC37" s="677">
        <f t="shared" si="5"/>
        <v>1</v>
      </c>
    </row>
    <row r="38" spans="1:29" ht="15">
      <c r="A38" s="685"/>
      <c r="B38" s="1744" t="s">
        <v>1658</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18" t="s">
        <v>1247</v>
      </c>
      <c r="Q38" s="598" t="str">
        <f t="shared" si="11"/>
        <v>业态</v>
      </c>
      <c r="R38" s="664" t="s">
        <v>1221</v>
      </c>
      <c r="S38" s="665">
        <f t="shared" si="12"/>
        <v>100</v>
      </c>
      <c r="T38" s="664" t="s">
        <v>1221</v>
      </c>
      <c r="U38" s="665">
        <f t="shared" si="13"/>
        <v>100</v>
      </c>
      <c r="V38" s="664" t="s">
        <v>1221</v>
      </c>
      <c r="W38" s="665">
        <f t="shared" si="14"/>
        <v>100</v>
      </c>
      <c r="X38" s="658"/>
      <c r="Y38" s="3222" t="s">
        <v>1247</v>
      </c>
      <c r="Z38" s="657" t="str">
        <f t="shared" si="15"/>
        <v>业态</v>
      </c>
      <c r="AA38" s="657">
        <f t="shared" si="3"/>
        <v>1</v>
      </c>
      <c r="AB38" s="657">
        <f t="shared" si="4"/>
        <v>1</v>
      </c>
      <c r="AC38" s="657">
        <f t="shared" si="5"/>
        <v>1</v>
      </c>
    </row>
    <row r="39" spans="1:29" ht="15">
      <c r="A39" s="685"/>
      <c r="B39" s="1744" t="s">
        <v>1258</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18"/>
      <c r="Q39" s="598" t="str">
        <f t="shared" si="11"/>
        <v>层高</v>
      </c>
      <c r="R39" s="664" t="s">
        <v>1221</v>
      </c>
      <c r="S39" s="665">
        <f t="shared" si="12"/>
        <v>100</v>
      </c>
      <c r="T39" s="664" t="s">
        <v>1221</v>
      </c>
      <c r="U39" s="665">
        <f t="shared" si="13"/>
        <v>100</v>
      </c>
      <c r="V39" s="664" t="s">
        <v>1221</v>
      </c>
      <c r="W39" s="665">
        <f t="shared" si="14"/>
        <v>100</v>
      </c>
      <c r="X39" s="658"/>
      <c r="Y39" s="3222"/>
      <c r="Z39" s="657" t="str">
        <f t="shared" si="15"/>
        <v>层高</v>
      </c>
      <c r="AA39" s="657">
        <f t="shared" si="3"/>
        <v>1</v>
      </c>
      <c r="AB39" s="657">
        <f t="shared" si="4"/>
        <v>1</v>
      </c>
      <c r="AC39" s="657">
        <f t="shared" si="5"/>
        <v>1</v>
      </c>
    </row>
    <row r="40" spans="1:29" ht="15">
      <c r="A40" s="685"/>
      <c r="B40" s="1744" t="s">
        <v>1300</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18"/>
      <c r="Q40" s="598" t="str">
        <f t="shared" si="11"/>
        <v>单套建筑面积</v>
      </c>
      <c r="R40" s="664" t="s">
        <v>1221</v>
      </c>
      <c r="S40" s="665">
        <f t="shared" si="12"/>
        <v>100</v>
      </c>
      <c r="T40" s="664" t="s">
        <v>1221</v>
      </c>
      <c r="U40" s="665">
        <f t="shared" si="13"/>
        <v>100</v>
      </c>
      <c r="V40" s="664" t="s">
        <v>1221</v>
      </c>
      <c r="W40" s="665">
        <f t="shared" si="14"/>
        <v>100</v>
      </c>
      <c r="X40" s="658"/>
      <c r="Y40" s="3222"/>
      <c r="Z40" s="657" t="str">
        <f t="shared" si="15"/>
        <v>单套建筑面积</v>
      </c>
      <c r="AA40" s="657">
        <f t="shared" si="3"/>
        <v>1</v>
      </c>
      <c r="AB40" s="657">
        <f t="shared" si="4"/>
        <v>1</v>
      </c>
      <c r="AC40" s="657">
        <f t="shared" si="5"/>
        <v>1</v>
      </c>
    </row>
    <row r="41" spans="1:29" s="420" customFormat="1" ht="15">
      <c r="A41" s="687"/>
      <c r="B41" s="502" t="s">
        <v>1659</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18"/>
      <c r="Q41" s="666" t="str">
        <f t="shared" si="11"/>
        <v>进深比</v>
      </c>
      <c r="R41" s="667" t="s">
        <v>1221</v>
      </c>
      <c r="S41" s="668">
        <f t="shared" si="12"/>
        <v>100</v>
      </c>
      <c r="T41" s="667" t="s">
        <v>1221</v>
      </c>
      <c r="U41" s="668">
        <f t="shared" si="13"/>
        <v>100</v>
      </c>
      <c r="V41" s="667" t="s">
        <v>1221</v>
      </c>
      <c r="W41" s="668">
        <f t="shared" si="14"/>
        <v>100</v>
      </c>
      <c r="X41" s="669"/>
      <c r="Y41" s="3222"/>
      <c r="Z41" s="678" t="str">
        <f t="shared" si="15"/>
        <v>进深比</v>
      </c>
      <c r="AA41" s="657">
        <f t="shared" si="3"/>
        <v>1</v>
      </c>
      <c r="AB41" s="657">
        <f t="shared" si="4"/>
        <v>1</v>
      </c>
      <c r="AC41" s="657">
        <f t="shared" si="5"/>
        <v>1</v>
      </c>
    </row>
    <row r="42" spans="1:29" ht="15">
      <c r="A42" s="685"/>
      <c r="B42" s="1744" t="s">
        <v>1261</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18"/>
      <c r="Q42" s="598" t="str">
        <f t="shared" si="11"/>
        <v>内部装修</v>
      </c>
      <c r="R42" s="664" t="s">
        <v>1221</v>
      </c>
      <c r="S42" s="665">
        <f t="shared" si="12"/>
        <v>100</v>
      </c>
      <c r="T42" s="664" t="s">
        <v>1221</v>
      </c>
      <c r="U42" s="665">
        <f t="shared" si="13"/>
        <v>100</v>
      </c>
      <c r="V42" s="664" t="s">
        <v>1221</v>
      </c>
      <c r="W42" s="665">
        <f t="shared" si="14"/>
        <v>100</v>
      </c>
      <c r="X42" s="658"/>
      <c r="Y42" s="3222"/>
      <c r="Z42" s="657" t="str">
        <f t="shared" si="15"/>
        <v>内部装修</v>
      </c>
      <c r="AA42" s="657">
        <f t="shared" si="3"/>
        <v>1</v>
      </c>
      <c r="AB42" s="657">
        <f t="shared" si="4"/>
        <v>1</v>
      </c>
      <c r="AC42" s="657">
        <f t="shared" si="5"/>
        <v>1</v>
      </c>
    </row>
    <row r="43" spans="1:29" ht="28.8">
      <c r="A43" s="685"/>
      <c r="B43" s="1744" t="s">
        <v>1262</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18"/>
      <c r="Q43" s="598" t="str">
        <f t="shared" si="11"/>
        <v>内部装修维护情况</v>
      </c>
      <c r="R43" s="664" t="s">
        <v>1221</v>
      </c>
      <c r="S43" s="665">
        <f t="shared" si="12"/>
        <v>100</v>
      </c>
      <c r="T43" s="664" t="s">
        <v>1221</v>
      </c>
      <c r="U43" s="665">
        <f t="shared" si="13"/>
        <v>100</v>
      </c>
      <c r="V43" s="664" t="s">
        <v>1221</v>
      </c>
      <c r="W43" s="665">
        <f t="shared" si="14"/>
        <v>100</v>
      </c>
      <c r="X43" s="658"/>
      <c r="Y43" s="3222"/>
      <c r="Z43" s="657" t="str">
        <f t="shared" si="15"/>
        <v>内部装修维护情况</v>
      </c>
      <c r="AA43" s="657">
        <f t="shared" si="3"/>
        <v>1</v>
      </c>
      <c r="AB43" s="657">
        <f t="shared" si="4"/>
        <v>1</v>
      </c>
      <c r="AC43" s="657">
        <f t="shared" si="5"/>
        <v>1</v>
      </c>
    </row>
    <row r="44" spans="1:29" s="418" customFormat="1" ht="1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18"/>
      <c r="Q44" s="663">
        <f t="shared" si="11"/>
        <v>111</v>
      </c>
      <c r="R44" s="659" t="s">
        <v>1221</v>
      </c>
      <c r="S44" s="660">
        <f t="shared" si="12"/>
        <v>100</v>
      </c>
      <c r="T44" s="659" t="s">
        <v>1221</v>
      </c>
      <c r="U44" s="660">
        <f t="shared" si="13"/>
        <v>100</v>
      </c>
      <c r="V44" s="659" t="s">
        <v>1221</v>
      </c>
      <c r="W44" s="660">
        <f t="shared" si="14"/>
        <v>100</v>
      </c>
      <c r="X44" s="661"/>
      <c r="Y44" s="3222"/>
      <c r="Z44" s="677">
        <f t="shared" si="15"/>
        <v>111</v>
      </c>
      <c r="AA44" s="677">
        <f t="shared" si="3"/>
        <v>1</v>
      </c>
      <c r="AB44" s="677">
        <f t="shared" si="4"/>
        <v>1</v>
      </c>
      <c r="AC44" s="677">
        <f t="shared" si="5"/>
        <v>1</v>
      </c>
    </row>
    <row r="45" spans="1:29" ht="1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18"/>
      <c r="Q45" s="598">
        <f t="shared" si="11"/>
        <v>111</v>
      </c>
      <c r="R45" s="664" t="s">
        <v>1221</v>
      </c>
      <c r="S45" s="665">
        <f t="shared" si="12"/>
        <v>100</v>
      </c>
      <c r="T45" s="664" t="s">
        <v>1221</v>
      </c>
      <c r="U45" s="665">
        <f t="shared" si="13"/>
        <v>100</v>
      </c>
      <c r="V45" s="664" t="s">
        <v>1221</v>
      </c>
      <c r="W45" s="665">
        <f t="shared" si="14"/>
        <v>100</v>
      </c>
      <c r="X45" s="658"/>
      <c r="Y45" s="3222"/>
      <c r="Z45" s="657">
        <f t="shared" si="15"/>
        <v>111</v>
      </c>
      <c r="AA45" s="657">
        <f t="shared" si="3"/>
        <v>1</v>
      </c>
      <c r="AB45" s="657">
        <f t="shared" si="4"/>
        <v>1</v>
      </c>
      <c r="AC45" s="657">
        <f t="shared" si="5"/>
        <v>1</v>
      </c>
    </row>
    <row r="46" spans="1:29" ht="1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19"/>
      <c r="Q46" s="598">
        <f t="shared" si="11"/>
        <v>111</v>
      </c>
      <c r="R46" s="664" t="s">
        <v>1221</v>
      </c>
      <c r="S46" s="665">
        <f t="shared" si="12"/>
        <v>100</v>
      </c>
      <c r="T46" s="664" t="s">
        <v>1221</v>
      </c>
      <c r="U46" s="665">
        <f t="shared" si="13"/>
        <v>100</v>
      </c>
      <c r="V46" s="664" t="s">
        <v>1221</v>
      </c>
      <c r="W46" s="665">
        <f t="shared" si="14"/>
        <v>100</v>
      </c>
      <c r="X46" s="658"/>
      <c r="Y46" s="3223"/>
      <c r="Z46" s="657">
        <f t="shared" si="15"/>
        <v>111</v>
      </c>
      <c r="AA46" s="657">
        <f t="shared" si="3"/>
        <v>1</v>
      </c>
      <c r="AB46" s="657">
        <f t="shared" si="4"/>
        <v>1</v>
      </c>
      <c r="AC46" s="657">
        <f t="shared" si="5"/>
        <v>1</v>
      </c>
    </row>
    <row r="47" spans="1:29" ht="14.4">
      <c r="A47" s="520" t="s">
        <v>1267</v>
      </c>
      <c r="B47" s="1903"/>
      <c r="C47" s="522" t="s">
        <v>124</v>
      </c>
      <c r="D47" s="523"/>
      <c r="E47" s="524"/>
      <c r="F47" s="525"/>
      <c r="G47" s="526"/>
      <c r="H47" s="527"/>
      <c r="I47" s="524"/>
      <c r="J47" s="527"/>
      <c r="K47" s="1821"/>
      <c r="L47" s="610"/>
      <c r="M47" s="536"/>
      <c r="N47" s="536"/>
      <c r="O47" s="536"/>
      <c r="P47" s="3213" t="str">
        <f>A47</f>
        <v>成交单价（元/平方米）</v>
      </c>
      <c r="Q47" s="3213"/>
      <c r="R47" s="3214">
        <f>E47</f>
        <v>0</v>
      </c>
      <c r="S47" s="3214"/>
      <c r="T47" s="3214">
        <f>G47</f>
        <v>0</v>
      </c>
      <c r="U47" s="3214"/>
      <c r="V47" s="3214">
        <f>I47</f>
        <v>0</v>
      </c>
      <c r="W47" s="3214"/>
      <c r="X47" s="670"/>
      <c r="Y47" s="679"/>
      <c r="Z47" s="670"/>
      <c r="AA47" s="670"/>
      <c r="AB47" s="670"/>
      <c r="AC47" s="670"/>
    </row>
    <row r="48" spans="1:29" ht="14.4">
      <c r="A48" s="528" t="s">
        <v>1268</v>
      </c>
      <c r="B48" s="529"/>
      <c r="C48" s="530" t="e">
        <f>R49</f>
        <v>#DIV/0!</v>
      </c>
      <c r="D48" s="531" t="s">
        <v>1269</v>
      </c>
      <c r="E48" s="532" t="e">
        <f>R48</f>
        <v>#DIV/0!</v>
      </c>
      <c r="F48" s="533"/>
      <c r="G48" s="530" t="e">
        <f>T48</f>
        <v>#DIV/0!</v>
      </c>
      <c r="H48" s="533"/>
      <c r="I48" s="532" t="e">
        <f>V48</f>
        <v>#DIV/0!</v>
      </c>
      <c r="J48" s="533"/>
      <c r="K48" s="611">
        <f>F48+H48+J48</f>
        <v>0</v>
      </c>
      <c r="L48" s="610"/>
      <c r="M48" s="536"/>
      <c r="N48" s="536"/>
      <c r="O48" s="536"/>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ht="14.4">
      <c r="A49" s="534" t="s">
        <v>1270</v>
      </c>
      <c r="B49" s="535"/>
      <c r="C49" s="451" t="e">
        <f>R49</f>
        <v>#DIV/0!</v>
      </c>
      <c r="D49" s="451"/>
      <c r="E49" s="451"/>
      <c r="F49" s="451"/>
      <c r="G49" s="451"/>
      <c r="H49" s="451"/>
      <c r="I49" s="451"/>
      <c r="J49" s="451"/>
      <c r="K49" s="1822"/>
      <c r="L49" s="610"/>
      <c r="M49" s="536"/>
      <c r="N49" s="536"/>
      <c r="O49" s="536"/>
      <c r="P49" s="3273" t="str">
        <f>A49</f>
        <v>估价对象XX用房的比较价值（楼面单价，元/平方米）</v>
      </c>
      <c r="Q49" s="3274"/>
      <c r="R49" s="3275" t="e">
        <f>IF(F1="售价",ROUND(IF(D48="简单平均",AVERAGE(R48:V48),R48*F48+T48*H48+V48*J48),0),ROUND(IF(D48="简单平均",AVERAGE(R48:V48),R48*F48+T48*H48+V48*J48),1))</f>
        <v>#DIV/0!</v>
      </c>
      <c r="S49" s="3275"/>
      <c r="T49" s="3275"/>
      <c r="U49" s="3275"/>
      <c r="V49" s="3275"/>
      <c r="W49" s="3275"/>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6">
      <c r="A57" s="1807" t="s">
        <v>1274</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ht="14.4">
      <c r="A58" s="550" t="s">
        <v>1219</v>
      </c>
      <c r="B58" s="551"/>
      <c r="C58" s="552" t="str">
        <f>YEAR(C7)&amp;"-"&amp;MONTH(C7)</f>
        <v>2022-12</v>
      </c>
      <c r="D58" s="553">
        <f>EDATE(C58,-1)</f>
        <v>44866</v>
      </c>
      <c r="E58" s="553">
        <f t="shared" ref="E58:O58" si="16">EDATE(D58,-1)</f>
        <v>44835</v>
      </c>
      <c r="F58" s="553">
        <f t="shared" si="16"/>
        <v>44805</v>
      </c>
      <c r="G58" s="553">
        <f t="shared" si="16"/>
        <v>44774</v>
      </c>
      <c r="H58" s="553">
        <f t="shared" si="16"/>
        <v>44743</v>
      </c>
      <c r="I58" s="553">
        <f t="shared" si="16"/>
        <v>44713</v>
      </c>
      <c r="J58" s="553">
        <f t="shared" si="16"/>
        <v>44682</v>
      </c>
      <c r="K58" s="553">
        <f t="shared" si="16"/>
        <v>44652</v>
      </c>
      <c r="L58" s="553">
        <f t="shared" si="16"/>
        <v>44621</v>
      </c>
      <c r="M58" s="553">
        <f t="shared" si="16"/>
        <v>44593</v>
      </c>
      <c r="N58" s="553">
        <f t="shared" si="16"/>
        <v>44562</v>
      </c>
      <c r="O58" s="553">
        <f t="shared" si="16"/>
        <v>44531</v>
      </c>
      <c r="P58" s="1962"/>
      <c r="Q58" s="672"/>
      <c r="R58" s="672"/>
      <c r="S58" s="672"/>
      <c r="T58" s="672"/>
      <c r="U58" s="672"/>
      <c r="V58" s="672"/>
      <c r="W58" s="672"/>
      <c r="X58" s="672"/>
      <c r="Y58" s="672"/>
      <c r="Z58" s="672"/>
      <c r="AA58" s="672"/>
      <c r="AB58" s="672"/>
      <c r="AC58" s="672"/>
    </row>
    <row r="59" spans="1:29" s="418" customFormat="1">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ht="14.4">
      <c r="A60" s="557" t="s">
        <v>1275</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ht="14.4">
      <c r="A61" s="561" t="s">
        <v>1222</v>
      </c>
      <c r="B61" s="554"/>
      <c r="C61" s="562" t="s">
        <v>1223</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ht="14.4">
      <c r="A63" s="565" t="s">
        <v>1276</v>
      </c>
      <c r="B63" s="566" t="s">
        <v>1226</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8.8">
      <c r="A65" s="569"/>
      <c r="B65" s="572" t="s">
        <v>1229</v>
      </c>
      <c r="C65" s="573" t="s">
        <v>1278</v>
      </c>
      <c r="D65" s="573" t="s">
        <v>1279</v>
      </c>
      <c r="E65" s="573" t="s">
        <v>1280</v>
      </c>
      <c r="F65" s="573" t="s">
        <v>1281</v>
      </c>
      <c r="G65" s="573" t="s">
        <v>1282</v>
      </c>
      <c r="H65" s="573" t="s">
        <v>1283</v>
      </c>
      <c r="I65" s="573" t="s">
        <v>1284</v>
      </c>
      <c r="J65" s="573"/>
      <c r="K65" s="638"/>
      <c r="L65" s="639"/>
      <c r="M65" s="640"/>
      <c r="N65" s="634"/>
      <c r="O65" s="634"/>
      <c r="P65" s="1965"/>
      <c r="Q65" s="671"/>
      <c r="R65" s="536"/>
      <c r="S65" s="536"/>
      <c r="T65" s="536"/>
      <c r="U65" s="536"/>
      <c r="V65" s="536"/>
      <c r="W65" s="536"/>
      <c r="X65" s="536"/>
      <c r="Y65" s="536"/>
      <c r="Z65" s="536"/>
      <c r="AA65" s="536"/>
      <c r="AB65" s="536"/>
      <c r="AC65" s="536"/>
    </row>
    <row r="66" spans="1:29">
      <c r="A66" s="569"/>
      <c r="B66" s="574"/>
      <c r="C66" s="575" t="s">
        <v>1285</v>
      </c>
      <c r="D66" s="575" t="s">
        <v>1285</v>
      </c>
      <c r="E66" s="575" t="s">
        <v>1285</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ht="14.4">
      <c r="A67" s="569"/>
      <c r="B67" s="681" t="s">
        <v>1232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ht="14.4">
      <c r="A76" s="565" t="s">
        <v>1233</v>
      </c>
      <c r="B76" s="566" t="s">
        <v>1626</v>
      </c>
      <c r="C76" s="583" t="s">
        <v>1286</v>
      </c>
      <c r="D76" s="583" t="s">
        <v>1287</v>
      </c>
      <c r="E76" s="583" t="s">
        <v>1288</v>
      </c>
      <c r="F76" s="583" t="s">
        <v>1289</v>
      </c>
      <c r="G76" s="583" t="s">
        <v>1290</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ht="14.4">
      <c r="A78" s="569"/>
      <c r="B78" s="572" t="s">
        <v>1238</v>
      </c>
      <c r="C78" s="680" t="s">
        <v>1286</v>
      </c>
      <c r="D78" s="680" t="s">
        <v>1287</v>
      </c>
      <c r="E78" s="680" t="s">
        <v>1288</v>
      </c>
      <c r="F78" s="680" t="s">
        <v>1289</v>
      </c>
      <c r="G78" s="680" t="s">
        <v>1290</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ht="14.4">
      <c r="A80" s="569"/>
      <c r="B80" s="572" t="s">
        <v>1239</v>
      </c>
      <c r="C80" s="680" t="s">
        <v>1286</v>
      </c>
      <c r="D80" s="680" t="s">
        <v>1287</v>
      </c>
      <c r="E80" s="680" t="s">
        <v>1288</v>
      </c>
      <c r="F80" s="680" t="s">
        <v>1289</v>
      </c>
      <c r="G80" s="680" t="s">
        <v>1290</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ht="14.4">
      <c r="A82" s="569"/>
      <c r="B82" s="681" t="s">
        <v>1240</v>
      </c>
      <c r="C82" s="576" t="s">
        <v>1291</v>
      </c>
      <c r="D82" s="576" t="s">
        <v>1292</v>
      </c>
      <c r="E82" s="576" t="s">
        <v>1293</v>
      </c>
      <c r="F82" s="576" t="s">
        <v>1294</v>
      </c>
      <c r="G82" s="576" t="s">
        <v>1295</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ht="14.4">
      <c r="A84" s="569"/>
      <c r="B84" s="572" t="s">
        <v>1627</v>
      </c>
      <c r="C84" s="680" t="s">
        <v>1286</v>
      </c>
      <c r="D84" s="680" t="s">
        <v>1287</v>
      </c>
      <c r="E84" s="680" t="s">
        <v>1288</v>
      </c>
      <c r="F84" s="680" t="s">
        <v>1289</v>
      </c>
      <c r="G84" s="680" t="s">
        <v>1290</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ht="14.4">
      <c r="A86" s="683"/>
      <c r="B86" s="572" t="s">
        <v>1654</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ht="14.4">
      <c r="A100" s="565" t="s">
        <v>1245</v>
      </c>
      <c r="B100" s="566" t="s">
        <v>1657</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ht="14.4">
      <c r="A102" s="569"/>
      <c r="B102" s="572" t="s">
        <v>1248</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ht="14.4">
      <c r="A105" s="685"/>
      <c r="B105" s="572" t="s">
        <v>1249</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ht="14.4">
      <c r="A107" s="685"/>
      <c r="B107" s="572" t="s">
        <v>1251</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ht="14.4">
      <c r="A109" s="685"/>
      <c r="B109" s="572" t="s">
        <v>697</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ht="14.4">
      <c r="A112" s="687"/>
      <c r="B112" s="572" t="s">
        <v>1257</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ht="14.4">
      <c r="A114" s="685"/>
      <c r="B114" s="572" t="s">
        <v>1658</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ht="14.4">
      <c r="A116" s="685"/>
      <c r="B116" s="572" t="s">
        <v>1258</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ht="14.4">
      <c r="A118" s="685"/>
      <c r="B118" s="572" t="s">
        <v>1300</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ht="14.4">
      <c r="A120" s="687"/>
      <c r="B120" s="572" t="s">
        <v>1660</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ht="14.4">
      <c r="A122" s="685"/>
      <c r="B122" s="572" t="s">
        <v>1261</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ht="28.8">
      <c r="A124" s="685"/>
      <c r="B124" s="572" t="s">
        <v>1262</v>
      </c>
      <c r="C124" s="680" t="s">
        <v>1286</v>
      </c>
      <c r="D124" s="680" t="s">
        <v>1287</v>
      </c>
      <c r="E124" s="680" t="s">
        <v>1288</v>
      </c>
      <c r="F124" s="680" t="s">
        <v>1289</v>
      </c>
      <c r="G124" s="680" t="s">
        <v>1290</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10" customWidth="1"/>
    <col min="2" max="16384" width="9" style="710"/>
  </cols>
  <sheetData>
    <row r="1" spans="1:1" ht="22.8">
      <c r="A1" s="2973" t="s">
        <v>82</v>
      </c>
    </row>
    <row r="3" spans="1:1" ht="17.399999999999999">
      <c r="A3" s="2974" t="str">
        <f>项目基本情况!B5&amp;"："</f>
        <v>：</v>
      </c>
    </row>
    <row r="4" spans="1:1" ht="34.799999999999997">
      <c r="A4" s="2975" t="str">
        <f>"受贵公司委托，我公司对"&amp;项目基本情况!S1&amp;"进行了预评估。"</f>
        <v>受贵公司委托，我公司对北京市朝阳区建国门外大街甲6号1幢房地产抵押价值进行了预评估。</v>
      </c>
    </row>
    <row r="5" spans="1:1" ht="17.399999999999999">
      <c r="A5" s="2976" t="s">
        <v>83</v>
      </c>
    </row>
    <row r="6" spans="1:1" ht="17.399999999999999">
      <c r="A6" s="2977" t="s">
        <v>84</v>
      </c>
    </row>
    <row r="7" spans="1:1" ht="52.2">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4.6">
      <c r="A8" s="2978" t="s">
        <v>85</v>
      </c>
    </row>
    <row r="9" spans="1:1" ht="17.399999999999999">
      <c r="A9" s="2977" t="s">
        <v>86</v>
      </c>
    </row>
    <row r="10" spans="1:1" ht="69.599999999999994">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2">
      <c r="A11" s="2978" t="s">
        <v>87</v>
      </c>
    </row>
    <row r="12" spans="1:1" ht="17.399999999999999">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74" t="s">
        <v>89</v>
      </c>
    </row>
    <row r="15" spans="1:1" ht="17.399999999999999">
      <c r="A15" s="2979" t="str">
        <f>TEXT(项目基本情况!D3,"yyyy年m月d日;;")&amp;IF(项目基本情况!D3=项目基本情况!B3,"（评估专业人员实地查勘之日）","")</f>
        <v>2022年12月9日（评估专业人员实地查勘之日）</v>
      </c>
    </row>
    <row r="16" spans="1:1" ht="17.399999999999999">
      <c r="A16" s="2974" t="s">
        <v>90</v>
      </c>
    </row>
    <row r="17" spans="1:1" ht="69.599999999999994">
      <c r="A17" s="2975" t="s">
        <v>91</v>
      </c>
    </row>
    <row r="18" spans="1:1" ht="69.599999999999994">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2975" t="str">
        <f>IF(项目基本情况!B9="房地产市场价值","——",IF(项目基本情况!E9="——","",定义!C57))</f>
        <v/>
      </c>
    </row>
    <row r="23" spans="1:1" ht="17.399999999999999">
      <c r="A23" s="2974" t="s">
        <v>92</v>
      </c>
    </row>
    <row r="24" spans="1:1" ht="17.399999999999999">
      <c r="A24" s="2949" t="str">
        <f>"本次评估采用的主估价方法为"&amp;结果表!K4&amp;"和"&amp;结果表!L4&amp;"。"</f>
        <v>本次评估采用的主估价方法为比较法和收益法。</v>
      </c>
    </row>
    <row r="25" spans="1:1" ht="17.399999999999999">
      <c r="A25" s="2949"/>
    </row>
    <row r="26" spans="1:1" ht="17.399999999999999">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423" customWidth="1"/>
    <col min="2" max="2" width="15.77734375" style="423" customWidth="1"/>
    <col min="3" max="3" width="14.3320312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423"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1203</v>
      </c>
      <c r="B1" s="1914" t="s">
        <v>1661</v>
      </c>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IF(C2="——",ROUND(C43*D3/10000,0),ROUND(C43*D3/10000,0)-D2)</f>
        <v>#DIV/0!</v>
      </c>
      <c r="C2" s="436"/>
      <c r="D2" s="437" t="e">
        <f ca="1">SUMIF(INDIRECT("'"&amp;F2&amp;"'"&amp;"!A:A"),"承租人权益价值",INDIRECT("'"&amp;F2&amp;"'"&amp;"!c:c"))</f>
        <v>#REF!</v>
      </c>
      <c r="E2" s="438" t="s">
        <v>1056</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1057</v>
      </c>
      <c r="B3" s="441" t="e">
        <f ca="1">IF(C2="——",C43,ROUND(B2*10000/D3,0))</f>
        <v>#DIV/0!</v>
      </c>
      <c r="C3" s="442" t="s">
        <v>1208</v>
      </c>
      <c r="D3" s="443">
        <f>IF(D1="",'数据-汇总表'!E3,SUMIF('数据-汇总表'!$C19:$C33,D1,'数据-汇总表'!$E19:$E33))</f>
        <v>51096.2</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ht="14.4">
      <c r="A4" s="444" t="s">
        <v>1209</v>
      </c>
      <c r="B4" s="445"/>
      <c r="C4" s="3195" t="s">
        <v>1210</v>
      </c>
      <c r="D4" s="3196"/>
      <c r="E4" s="3197" t="s">
        <v>1211</v>
      </c>
      <c r="F4" s="3198"/>
      <c r="G4" s="3195" t="s">
        <v>1212</v>
      </c>
      <c r="H4" s="3196"/>
      <c r="I4" s="3195" t="s">
        <v>1213</v>
      </c>
      <c r="J4" s="3196"/>
      <c r="K4" s="592" t="s">
        <v>1214</v>
      </c>
      <c r="L4" s="1918"/>
      <c r="M4" s="547"/>
      <c r="N4" s="547"/>
      <c r="O4" s="547"/>
      <c r="P4" s="3277" t="s">
        <v>1215</v>
      </c>
      <c r="Q4" s="3278"/>
      <c r="R4" s="3281" t="s">
        <v>1211</v>
      </c>
      <c r="S4" s="3282"/>
      <c r="T4" s="3281" t="s">
        <v>1212</v>
      </c>
      <c r="U4" s="3282"/>
      <c r="V4" s="3214" t="s">
        <v>1213</v>
      </c>
      <c r="W4" s="3214"/>
      <c r="X4" s="658"/>
      <c r="Y4" s="3281" t="s">
        <v>1215</v>
      </c>
      <c r="Z4" s="3282"/>
      <c r="AA4" s="3276" t="s">
        <v>1211</v>
      </c>
      <c r="AB4" s="3228" t="s">
        <v>1212</v>
      </c>
      <c r="AC4" s="3276" t="s">
        <v>1213</v>
      </c>
    </row>
    <row r="5" spans="1:29">
      <c r="A5" s="448"/>
      <c r="B5" s="449"/>
      <c r="C5" s="3199" t="s">
        <v>1216</v>
      </c>
      <c r="D5" s="3200"/>
      <c r="E5" s="3272" t="s">
        <v>1623</v>
      </c>
      <c r="F5" s="3202"/>
      <c r="G5" s="3199" t="s">
        <v>1624</v>
      </c>
      <c r="H5" s="3200"/>
      <c r="I5" s="3199" t="s">
        <v>1625</v>
      </c>
      <c r="J5" s="3200"/>
      <c r="K5" s="592"/>
      <c r="L5" s="1918"/>
      <c r="M5" s="547"/>
      <c r="N5" s="547"/>
      <c r="O5" s="547"/>
      <c r="P5" s="3279"/>
      <c r="Q5" s="3236"/>
      <c r="R5" s="3241"/>
      <c r="S5" s="3242"/>
      <c r="T5" s="3241"/>
      <c r="U5" s="3242"/>
      <c r="V5" s="3214"/>
      <c r="W5" s="3214"/>
      <c r="X5" s="658"/>
      <c r="Y5" s="3241"/>
      <c r="Z5" s="3242"/>
      <c r="AA5" s="3228"/>
      <c r="AB5" s="3228"/>
      <c r="AC5" s="3228"/>
    </row>
    <row r="6" spans="1:29" ht="14.4">
      <c r="A6" s="450"/>
      <c r="B6" s="451"/>
      <c r="C6" s="3204" t="s">
        <v>1217</v>
      </c>
      <c r="D6" s="3205"/>
      <c r="E6" s="3206" t="s">
        <v>1217</v>
      </c>
      <c r="F6" s="3207"/>
      <c r="G6" s="3204" t="s">
        <v>1217</v>
      </c>
      <c r="H6" s="3205"/>
      <c r="I6" s="3204" t="s">
        <v>1217</v>
      </c>
      <c r="J6" s="3205"/>
      <c r="K6" s="592" t="s">
        <v>1218</v>
      </c>
      <c r="L6" s="1918"/>
      <c r="M6" s="547"/>
      <c r="N6" s="547"/>
      <c r="O6" s="547"/>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10" t="s">
        <v>1220</v>
      </c>
      <c r="Q7" s="3209"/>
      <c r="R7" s="659" t="s">
        <v>1221</v>
      </c>
      <c r="S7" s="660">
        <f t="shared" ref="S7:S15" si="0">F7</f>
        <v>0</v>
      </c>
      <c r="T7" s="659" t="s">
        <v>1221</v>
      </c>
      <c r="U7" s="660">
        <f t="shared" ref="U7:U15" si="1">H7</f>
        <v>0</v>
      </c>
      <c r="V7" s="659" t="s">
        <v>1221</v>
      </c>
      <c r="W7" s="660">
        <f t="shared" ref="W7:W15"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10" t="s">
        <v>1224</v>
      </c>
      <c r="Q8" s="3211"/>
      <c r="R8" s="659" t="s">
        <v>1221</v>
      </c>
      <c r="S8" s="660">
        <f t="shared" si="0"/>
        <v>0</v>
      </c>
      <c r="T8" s="659" t="s">
        <v>1221</v>
      </c>
      <c r="U8" s="660">
        <f t="shared" si="1"/>
        <v>0</v>
      </c>
      <c r="V8" s="659" t="s">
        <v>1221</v>
      </c>
      <c r="W8" s="660">
        <f t="shared" si="2"/>
        <v>0</v>
      </c>
      <c r="X8" s="661"/>
      <c r="Y8" s="3210" t="s">
        <v>1224</v>
      </c>
      <c r="Z8" s="3211"/>
      <c r="AA8" s="677" t="e">
        <f t="shared" ref="AA8:AA40" si="3">D8/F8</f>
        <v>#DIV/0!</v>
      </c>
      <c r="AB8" s="677" t="e">
        <f t="shared" ref="AB8:AB40" si="4">D8/H8</f>
        <v>#DIV/0!</v>
      </c>
      <c r="AC8" s="677" t="e">
        <f t="shared" ref="AC8:AC40" si="5">D8/J8</f>
        <v>#DIV/0!</v>
      </c>
    </row>
    <row r="9" spans="1:29" s="418" customFormat="1" ht="14.4">
      <c r="A9" s="1740" t="s">
        <v>1225</v>
      </c>
      <c r="B9" s="1741" t="s">
        <v>1226</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13" t="s">
        <v>1227</v>
      </c>
      <c r="Q9" s="663" t="str">
        <f t="shared" ref="Q9:Q15" si="6">B9</f>
        <v>用途</v>
      </c>
      <c r="R9" s="659" t="s">
        <v>1221</v>
      </c>
      <c r="S9" s="660">
        <f t="shared" si="0"/>
        <v>100</v>
      </c>
      <c r="T9" s="659" t="s">
        <v>1221</v>
      </c>
      <c r="U9" s="660">
        <f t="shared" si="1"/>
        <v>100</v>
      </c>
      <c r="V9" s="659" t="s">
        <v>1221</v>
      </c>
      <c r="W9" s="660">
        <f t="shared" si="2"/>
        <v>100</v>
      </c>
      <c r="X9" s="661"/>
      <c r="Y9" s="3186" t="s">
        <v>1228</v>
      </c>
      <c r="Z9" s="677" t="str">
        <f t="shared" ref="Z9:Z15" si="7">Q9</f>
        <v>用途</v>
      </c>
      <c r="AA9" s="677">
        <f t="shared" si="3"/>
        <v>1</v>
      </c>
      <c r="AB9" s="677">
        <f t="shared" si="4"/>
        <v>1</v>
      </c>
      <c r="AC9" s="677">
        <f t="shared" si="5"/>
        <v>1</v>
      </c>
    </row>
    <row r="10" spans="1:29" s="419" customFormat="1" ht="28.8">
      <c r="A10" s="1743"/>
      <c r="B10" s="1744" t="s">
        <v>1229</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13"/>
      <c r="Q10" s="663" t="str">
        <f t="shared" si="6"/>
        <v>土地使用年限（年）</v>
      </c>
      <c r="R10" s="659" t="s">
        <v>1221</v>
      </c>
      <c r="S10" s="660">
        <f t="shared" si="0"/>
        <v>100</v>
      </c>
      <c r="T10" s="659" t="s">
        <v>1221</v>
      </c>
      <c r="U10" s="660">
        <f t="shared" si="1"/>
        <v>100</v>
      </c>
      <c r="V10" s="659" t="s">
        <v>1221</v>
      </c>
      <c r="W10" s="660">
        <f t="shared" si="2"/>
        <v>100</v>
      </c>
      <c r="X10" s="661"/>
      <c r="Y10" s="3186"/>
      <c r="Z10" s="677" t="str">
        <f t="shared" si="7"/>
        <v>土地使用年限（年）</v>
      </c>
      <c r="AA10" s="677">
        <f t="shared" si="3"/>
        <v>1</v>
      </c>
      <c r="AB10" s="677">
        <f t="shared" si="4"/>
        <v>1</v>
      </c>
      <c r="AC10" s="677">
        <f t="shared" si="5"/>
        <v>1</v>
      </c>
    </row>
    <row r="11" spans="1:29" ht="15">
      <c r="A11" s="569"/>
      <c r="B11" s="1744" t="s">
        <v>1232</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13"/>
      <c r="Q11" s="663" t="str">
        <f t="shared" si="6"/>
        <v>容积率</v>
      </c>
      <c r="R11" s="659" t="s">
        <v>1221</v>
      </c>
      <c r="S11" s="660" t="e">
        <f t="shared" si="0"/>
        <v>#N/A</v>
      </c>
      <c r="T11" s="659" t="s">
        <v>1221</v>
      </c>
      <c r="U11" s="660" t="e">
        <f t="shared" si="1"/>
        <v>#N/A</v>
      </c>
      <c r="V11" s="659" t="s">
        <v>1221</v>
      </c>
      <c r="W11" s="660" t="e">
        <f t="shared" si="2"/>
        <v>#N/A</v>
      </c>
      <c r="X11" s="661"/>
      <c r="Y11" s="3186"/>
      <c r="Z11" s="677" t="str">
        <f t="shared" si="7"/>
        <v>容积率</v>
      </c>
      <c r="AA11" s="677" t="e">
        <f t="shared" si="3"/>
        <v>#N/A</v>
      </c>
      <c r="AB11" s="677" t="e">
        <f t="shared" si="4"/>
        <v>#N/A</v>
      </c>
      <c r="AC11" s="677" t="e">
        <f t="shared" si="5"/>
        <v>#N/A</v>
      </c>
    </row>
    <row r="12" spans="1:29" s="418" customFormat="1" ht="1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13"/>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13"/>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1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13"/>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677">
        <f t="shared" si="5"/>
        <v>1</v>
      </c>
    </row>
    <row r="15" spans="1:29" ht="55.2">
      <c r="A15" s="565" t="s">
        <v>1233</v>
      </c>
      <c r="B15" s="1869" t="s">
        <v>1662</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20" t="s">
        <v>1235</v>
      </c>
      <c r="Q15" s="598" t="str">
        <f t="shared" si="6"/>
        <v>产业集聚程度</v>
      </c>
      <c r="R15" s="664" t="s">
        <v>1221</v>
      </c>
      <c r="S15" s="665">
        <f t="shared" si="0"/>
        <v>100</v>
      </c>
      <c r="T15" s="664" t="s">
        <v>1221</v>
      </c>
      <c r="U15" s="665">
        <f t="shared" si="1"/>
        <v>100</v>
      </c>
      <c r="V15" s="664" t="s">
        <v>1221</v>
      </c>
      <c r="W15" s="665">
        <f t="shared" si="2"/>
        <v>100</v>
      </c>
      <c r="X15" s="658"/>
      <c r="Y15" s="3220" t="s">
        <v>1235</v>
      </c>
      <c r="Z15" s="657" t="str">
        <f t="shared" si="7"/>
        <v>产业集聚程度</v>
      </c>
      <c r="AA15" s="657">
        <f t="shared" si="3"/>
        <v>1</v>
      </c>
      <c r="AB15" s="657">
        <f t="shared" si="4"/>
        <v>1</v>
      </c>
      <c r="AC15" s="657">
        <f t="shared" si="5"/>
        <v>1</v>
      </c>
    </row>
    <row r="16" spans="1:29" ht="15">
      <c r="A16" s="569"/>
      <c r="B16" s="670"/>
      <c r="C16" s="485"/>
      <c r="D16" s="486"/>
      <c r="E16" s="485"/>
      <c r="F16" s="487"/>
      <c r="G16" s="485"/>
      <c r="H16" s="488"/>
      <c r="I16" s="485"/>
      <c r="J16" s="486"/>
      <c r="K16" s="606"/>
      <c r="L16" s="1927"/>
      <c r="M16" s="547"/>
      <c r="N16" s="547"/>
      <c r="O16" s="1926"/>
      <c r="P16" s="3221"/>
      <c r="Q16" s="598"/>
      <c r="R16" s="664"/>
      <c r="S16" s="665"/>
      <c r="T16" s="664"/>
      <c r="U16" s="665"/>
      <c r="V16" s="664"/>
      <c r="W16" s="665"/>
      <c r="X16" s="658"/>
      <c r="Y16" s="3221"/>
      <c r="Z16" s="657"/>
      <c r="AA16" s="657">
        <v>1</v>
      </c>
      <c r="AB16" s="657">
        <v>1</v>
      </c>
      <c r="AC16" s="657">
        <v>1</v>
      </c>
    </row>
    <row r="17" spans="1:29" ht="124.2">
      <c r="A17" s="569"/>
      <c r="B17" s="1871" t="s">
        <v>1238</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21"/>
      <c r="Q17" s="598" t="str">
        <f>B17</f>
        <v>交通便捷度</v>
      </c>
      <c r="R17" s="664" t="s">
        <v>1221</v>
      </c>
      <c r="S17" s="665">
        <f>F17</f>
        <v>100</v>
      </c>
      <c r="T17" s="664" t="s">
        <v>1221</v>
      </c>
      <c r="U17" s="665">
        <f>H17</f>
        <v>100</v>
      </c>
      <c r="V17" s="664" t="s">
        <v>1221</v>
      </c>
      <c r="W17" s="665">
        <f>J17</f>
        <v>100</v>
      </c>
      <c r="X17" s="658"/>
      <c r="Y17" s="3221"/>
      <c r="Z17" s="657" t="str">
        <f>Q17</f>
        <v>交通便捷度</v>
      </c>
      <c r="AA17" s="657">
        <f t="shared" si="3"/>
        <v>1</v>
      </c>
      <c r="AB17" s="657">
        <f t="shared" si="4"/>
        <v>1</v>
      </c>
      <c r="AC17" s="657">
        <f t="shared" si="5"/>
        <v>1</v>
      </c>
    </row>
    <row r="18" spans="1:29" ht="15">
      <c r="A18" s="569"/>
      <c r="B18" s="1767"/>
      <c r="C18" s="496"/>
      <c r="D18" s="488"/>
      <c r="E18" s="1872"/>
      <c r="F18" s="500"/>
      <c r="G18" s="1880"/>
      <c r="H18" s="486"/>
      <c r="I18" s="1872"/>
      <c r="J18" s="486"/>
      <c r="K18" s="606"/>
      <c r="L18" s="1927"/>
      <c r="M18" s="547"/>
      <c r="N18" s="547"/>
      <c r="O18" s="1926"/>
      <c r="P18" s="3221"/>
      <c r="Q18" s="598"/>
      <c r="R18" s="664"/>
      <c r="S18" s="665"/>
      <c r="T18" s="664"/>
      <c r="U18" s="665"/>
      <c r="V18" s="664"/>
      <c r="W18" s="665"/>
      <c r="X18" s="658"/>
      <c r="Y18" s="3221"/>
      <c r="Z18" s="657"/>
      <c r="AA18" s="657">
        <v>1</v>
      </c>
      <c r="AB18" s="657">
        <v>1</v>
      </c>
      <c r="AC18" s="657">
        <v>1</v>
      </c>
    </row>
    <row r="19" spans="1:29" ht="55.2">
      <c r="A19" s="569"/>
      <c r="B19" s="1871" t="s">
        <v>1239</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21"/>
      <c r="Q19" s="598" t="str">
        <f>B19</f>
        <v>公共配套设施</v>
      </c>
      <c r="R19" s="664" t="s">
        <v>1221</v>
      </c>
      <c r="S19" s="665">
        <f>F19</f>
        <v>100</v>
      </c>
      <c r="T19" s="664" t="s">
        <v>1221</v>
      </c>
      <c r="U19" s="665">
        <f>H19</f>
        <v>100</v>
      </c>
      <c r="V19" s="664" t="s">
        <v>1221</v>
      </c>
      <c r="W19" s="665">
        <f>J19</f>
        <v>100</v>
      </c>
      <c r="X19" s="658"/>
      <c r="Y19" s="3221"/>
      <c r="Z19" s="657" t="str">
        <f>Q19</f>
        <v>公共配套设施</v>
      </c>
      <c r="AA19" s="657">
        <f t="shared" si="3"/>
        <v>1</v>
      </c>
      <c r="AB19" s="657">
        <f t="shared" si="4"/>
        <v>1</v>
      </c>
      <c r="AC19" s="657">
        <f t="shared" si="5"/>
        <v>1</v>
      </c>
    </row>
    <row r="20" spans="1:29" ht="15">
      <c r="A20" s="569"/>
      <c r="B20" s="1767"/>
      <c r="C20" s="485"/>
      <c r="D20" s="486"/>
      <c r="E20" s="1753"/>
      <c r="F20" s="487"/>
      <c r="G20" s="1874"/>
      <c r="H20" s="486"/>
      <c r="I20" s="1753"/>
      <c r="J20" s="486"/>
      <c r="K20" s="606"/>
      <c r="L20" s="1927"/>
      <c r="M20" s="547"/>
      <c r="N20" s="547"/>
      <c r="O20" s="1926"/>
      <c r="P20" s="3221"/>
      <c r="Q20" s="598"/>
      <c r="R20" s="664"/>
      <c r="S20" s="665"/>
      <c r="T20" s="664"/>
      <c r="U20" s="665"/>
      <c r="V20" s="664"/>
      <c r="W20" s="665"/>
      <c r="X20" s="658"/>
      <c r="Y20" s="3221"/>
      <c r="Z20" s="657"/>
      <c r="AA20" s="657">
        <v>1</v>
      </c>
      <c r="AB20" s="657">
        <v>1</v>
      </c>
      <c r="AC20" s="657">
        <v>1</v>
      </c>
    </row>
    <row r="21" spans="1:29" ht="41.4">
      <c r="A21" s="569"/>
      <c r="B21" s="1873" t="s">
        <v>1240</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21"/>
      <c r="Q21" s="598" t="str">
        <f>B21</f>
        <v>基础设施水平</v>
      </c>
      <c r="R21" s="664" t="s">
        <v>1221</v>
      </c>
      <c r="S21" s="665">
        <f>F21</f>
        <v>100</v>
      </c>
      <c r="T21" s="664" t="s">
        <v>1221</v>
      </c>
      <c r="U21" s="665">
        <f>H21</f>
        <v>100</v>
      </c>
      <c r="V21" s="664" t="s">
        <v>1221</v>
      </c>
      <c r="W21" s="665">
        <f>J21</f>
        <v>100</v>
      </c>
      <c r="X21" s="658"/>
      <c r="Y21" s="322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7"/>
      <c r="G22" s="485"/>
      <c r="H22" s="486"/>
      <c r="I22" s="485"/>
      <c r="J22" s="486"/>
      <c r="K22" s="607"/>
      <c r="L22" s="1927"/>
      <c r="M22" s="547"/>
      <c r="N22" s="547"/>
      <c r="O22" s="1926"/>
      <c r="P22" s="3221"/>
      <c r="Q22" s="598"/>
      <c r="R22" s="664"/>
      <c r="S22" s="665"/>
      <c r="T22" s="664"/>
      <c r="U22" s="665"/>
      <c r="V22" s="664"/>
      <c r="W22" s="665"/>
      <c r="X22" s="658"/>
      <c r="Y22" s="3221"/>
      <c r="Z22" s="657"/>
      <c r="AA22" s="657">
        <v>1</v>
      </c>
      <c r="AB22" s="657">
        <v>1</v>
      </c>
      <c r="AC22" s="657">
        <v>1</v>
      </c>
    </row>
    <row r="23" spans="1:29" ht="82.8">
      <c r="A23" s="569"/>
      <c r="B23" s="1871" t="s">
        <v>1241</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21"/>
      <c r="Q23" s="598" t="str">
        <f>B23</f>
        <v>环境质量</v>
      </c>
      <c r="R23" s="664" t="s">
        <v>1221</v>
      </c>
      <c r="S23" s="665">
        <f>F23</f>
        <v>100</v>
      </c>
      <c r="T23" s="664" t="s">
        <v>1221</v>
      </c>
      <c r="U23" s="665">
        <f>H23</f>
        <v>100</v>
      </c>
      <c r="V23" s="664" t="s">
        <v>1221</v>
      </c>
      <c r="W23" s="665">
        <f>J23</f>
        <v>100</v>
      </c>
      <c r="X23" s="658"/>
      <c r="Y23" s="3221"/>
      <c r="Z23" s="657" t="str">
        <f>Q23</f>
        <v>环境质量</v>
      </c>
      <c r="AA23" s="657">
        <f t="shared" si="3"/>
        <v>1</v>
      </c>
      <c r="AB23" s="657">
        <f t="shared" si="4"/>
        <v>1</v>
      </c>
      <c r="AC23" s="657">
        <f t="shared" si="5"/>
        <v>1</v>
      </c>
    </row>
    <row r="24" spans="1:29" ht="15">
      <c r="A24" s="569"/>
      <c r="B24" s="1873"/>
      <c r="C24" s="485"/>
      <c r="D24" s="486"/>
      <c r="E24" s="1753"/>
      <c r="F24" s="487"/>
      <c r="G24" s="1874"/>
      <c r="H24" s="486"/>
      <c r="I24" s="1753"/>
      <c r="J24" s="486"/>
      <c r="K24" s="606"/>
      <c r="L24" s="1927"/>
      <c r="M24" s="547"/>
      <c r="N24" s="547"/>
      <c r="O24" s="1926"/>
      <c r="P24" s="3221"/>
      <c r="Q24" s="598"/>
      <c r="R24" s="664"/>
      <c r="S24" s="665"/>
      <c r="T24" s="664"/>
      <c r="U24" s="665"/>
      <c r="V24" s="664"/>
      <c r="W24" s="665"/>
      <c r="X24" s="658"/>
      <c r="Y24" s="3221"/>
      <c r="Z24" s="657"/>
      <c r="AA24" s="657">
        <v>1</v>
      </c>
      <c r="AB24" s="657">
        <v>1</v>
      </c>
      <c r="AC24" s="657">
        <v>1</v>
      </c>
    </row>
    <row r="25" spans="1:29" ht="1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21"/>
      <c r="Q25" s="598">
        <f>B25</f>
        <v>111</v>
      </c>
      <c r="R25" s="664" t="s">
        <v>1221</v>
      </c>
      <c r="S25" s="665">
        <f>F25</f>
        <v>100</v>
      </c>
      <c r="T25" s="664" t="s">
        <v>1221</v>
      </c>
      <c r="U25" s="665">
        <f>H25</f>
        <v>100</v>
      </c>
      <c r="V25" s="664" t="s">
        <v>1221</v>
      </c>
      <c r="W25" s="665">
        <f>J25</f>
        <v>100</v>
      </c>
      <c r="X25" s="658"/>
      <c r="Y25" s="3221"/>
      <c r="Z25" s="657">
        <f>Q25</f>
        <v>111</v>
      </c>
      <c r="AA25" s="657">
        <f t="shared" si="3"/>
        <v>1</v>
      </c>
      <c r="AB25" s="657">
        <f t="shared" si="4"/>
        <v>1</v>
      </c>
      <c r="AC25" s="657">
        <f t="shared" si="5"/>
        <v>1</v>
      </c>
    </row>
    <row r="26" spans="1:29" ht="1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21"/>
      <c r="Q26" s="598">
        <f t="shared" ref="Q26:Q40" si="11">B26</f>
        <v>111</v>
      </c>
      <c r="R26" s="664" t="s">
        <v>1221</v>
      </c>
      <c r="S26" s="665">
        <f>F26</f>
        <v>100</v>
      </c>
      <c r="T26" s="664" t="s">
        <v>1221</v>
      </c>
      <c r="U26" s="665">
        <f>H26</f>
        <v>100</v>
      </c>
      <c r="V26" s="664" t="s">
        <v>1221</v>
      </c>
      <c r="W26" s="665">
        <f>J26</f>
        <v>100</v>
      </c>
      <c r="X26" s="658"/>
      <c r="Y26" s="3221"/>
      <c r="Z26" s="657">
        <f>Q26</f>
        <v>111</v>
      </c>
      <c r="AA26" s="657">
        <f t="shared" si="3"/>
        <v>1</v>
      </c>
      <c r="AB26" s="657">
        <f t="shared" si="4"/>
        <v>1</v>
      </c>
      <c r="AC26" s="657">
        <f t="shared" si="5"/>
        <v>1</v>
      </c>
    </row>
    <row r="27" spans="1:29" s="418" customFormat="1" ht="1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21"/>
      <c r="Q27" s="663">
        <f t="shared" si="11"/>
        <v>111</v>
      </c>
      <c r="R27" s="659" t="s">
        <v>1221</v>
      </c>
      <c r="S27" s="660">
        <f>F27</f>
        <v>100</v>
      </c>
      <c r="T27" s="659" t="s">
        <v>1221</v>
      </c>
      <c r="U27" s="660">
        <f>H27</f>
        <v>100</v>
      </c>
      <c r="V27" s="659" t="s">
        <v>1221</v>
      </c>
      <c r="W27" s="660">
        <f>J27</f>
        <v>100</v>
      </c>
      <c r="X27" s="661"/>
      <c r="Y27" s="3221"/>
      <c r="Z27" s="677">
        <f>Q27</f>
        <v>111</v>
      </c>
      <c r="AA27" s="657">
        <f t="shared" si="3"/>
        <v>1</v>
      </c>
      <c r="AB27" s="657">
        <f t="shared" si="4"/>
        <v>1</v>
      </c>
      <c r="AC27" s="657">
        <f t="shared" si="5"/>
        <v>1</v>
      </c>
    </row>
    <row r="28" spans="1:29" ht="1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21"/>
      <c r="Q28" s="598">
        <f t="shared" si="11"/>
        <v>111</v>
      </c>
      <c r="R28" s="664" t="s">
        <v>1221</v>
      </c>
      <c r="S28" s="665">
        <f t="shared" ref="S28:S40" si="12">F28</f>
        <v>100</v>
      </c>
      <c r="T28" s="664" t="s">
        <v>1221</v>
      </c>
      <c r="U28" s="665">
        <f t="shared" ref="U28:U40" si="13">H28</f>
        <v>100</v>
      </c>
      <c r="V28" s="664" t="s">
        <v>1221</v>
      </c>
      <c r="W28" s="665">
        <f t="shared" ref="W28:W40" si="14">J28</f>
        <v>100</v>
      </c>
      <c r="X28" s="658"/>
      <c r="Y28" s="3221"/>
      <c r="Z28" s="657">
        <f t="shared" ref="Z28:Z40" si="15">Q28</f>
        <v>111</v>
      </c>
      <c r="AA28" s="657">
        <f t="shared" si="3"/>
        <v>1</v>
      </c>
      <c r="AB28" s="657">
        <f t="shared" si="4"/>
        <v>1</v>
      </c>
      <c r="AC28" s="657">
        <f t="shared" si="5"/>
        <v>1</v>
      </c>
    </row>
    <row r="29" spans="1:29" ht="30">
      <c r="A29" s="1896" t="s">
        <v>1245</v>
      </c>
      <c r="B29" s="1741" t="s">
        <v>1246</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283" t="s">
        <v>1247</v>
      </c>
      <c r="Q29" s="598" t="str">
        <f t="shared" si="11"/>
        <v>建筑类型</v>
      </c>
      <c r="R29" s="664" t="s">
        <v>1221</v>
      </c>
      <c r="S29" s="665">
        <f t="shared" si="12"/>
        <v>100</v>
      </c>
      <c r="T29" s="664" t="s">
        <v>1221</v>
      </c>
      <c r="U29" s="665">
        <f t="shared" si="13"/>
        <v>100</v>
      </c>
      <c r="V29" s="664" t="s">
        <v>1221</v>
      </c>
      <c r="W29" s="665">
        <f t="shared" si="14"/>
        <v>100</v>
      </c>
      <c r="X29" s="658"/>
      <c r="Y29" s="3222" t="s">
        <v>1247</v>
      </c>
      <c r="Z29" s="657" t="str">
        <f t="shared" si="15"/>
        <v>建筑类型</v>
      </c>
      <c r="AA29" s="657">
        <f t="shared" si="3"/>
        <v>1</v>
      </c>
      <c r="AB29" s="657">
        <f t="shared" si="4"/>
        <v>1</v>
      </c>
      <c r="AC29" s="657">
        <f t="shared" si="5"/>
        <v>1</v>
      </c>
    </row>
    <row r="30" spans="1:29" s="420" customFormat="1" ht="15">
      <c r="A30" s="687"/>
      <c r="B30" s="1744" t="s">
        <v>1248</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22"/>
      <c r="Q30" s="666" t="str">
        <f t="shared" si="11"/>
        <v>项目建筑规模</v>
      </c>
      <c r="R30" s="667" t="s">
        <v>1221</v>
      </c>
      <c r="S30" s="668" t="e">
        <f t="shared" si="12"/>
        <v>#N/A</v>
      </c>
      <c r="T30" s="667" t="s">
        <v>1221</v>
      </c>
      <c r="U30" s="668" t="e">
        <f t="shared" si="13"/>
        <v>#N/A</v>
      </c>
      <c r="V30" s="667" t="s">
        <v>1221</v>
      </c>
      <c r="W30" s="668" t="e">
        <f t="shared" si="14"/>
        <v>#N/A</v>
      </c>
      <c r="X30" s="669"/>
      <c r="Y30" s="3222"/>
      <c r="Z30" s="678" t="str">
        <f t="shared" si="15"/>
        <v>项目建筑规模</v>
      </c>
      <c r="AA30" s="657" t="e">
        <f t="shared" si="3"/>
        <v>#N/A</v>
      </c>
      <c r="AB30" s="657" t="e">
        <f t="shared" si="4"/>
        <v>#N/A</v>
      </c>
      <c r="AC30" s="657" t="e">
        <f t="shared" si="5"/>
        <v>#N/A</v>
      </c>
    </row>
    <row r="31" spans="1:29" ht="15">
      <c r="A31" s="685"/>
      <c r="B31" s="1744" t="s">
        <v>1249</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22"/>
      <c r="Q31" s="598" t="str">
        <f t="shared" si="11"/>
        <v>建筑结构</v>
      </c>
      <c r="R31" s="664" t="s">
        <v>1221</v>
      </c>
      <c r="S31" s="665">
        <f t="shared" si="12"/>
        <v>100</v>
      </c>
      <c r="T31" s="664" t="s">
        <v>1221</v>
      </c>
      <c r="U31" s="665">
        <f t="shared" si="13"/>
        <v>100</v>
      </c>
      <c r="V31" s="664" t="s">
        <v>1221</v>
      </c>
      <c r="W31" s="665">
        <f t="shared" si="14"/>
        <v>100</v>
      </c>
      <c r="X31" s="658"/>
      <c r="Y31" s="3222"/>
      <c r="Z31" s="657" t="str">
        <f t="shared" si="15"/>
        <v>建筑结构</v>
      </c>
      <c r="AA31" s="657">
        <f t="shared" si="3"/>
        <v>1</v>
      </c>
      <c r="AB31" s="657">
        <f t="shared" si="4"/>
        <v>1</v>
      </c>
      <c r="AC31" s="657">
        <f t="shared" si="5"/>
        <v>1</v>
      </c>
    </row>
    <row r="32" spans="1:29" ht="15">
      <c r="A32" s="685"/>
      <c r="B32" s="1744" t="s">
        <v>1251</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22"/>
      <c r="Q32" s="598" t="str">
        <f t="shared" si="11"/>
        <v>公共部分装修</v>
      </c>
      <c r="R32" s="664" t="s">
        <v>1221</v>
      </c>
      <c r="S32" s="665">
        <f t="shared" si="12"/>
        <v>100</v>
      </c>
      <c r="T32" s="664" t="s">
        <v>1221</v>
      </c>
      <c r="U32" s="665">
        <f t="shared" si="13"/>
        <v>100</v>
      </c>
      <c r="V32" s="664" t="s">
        <v>1221</v>
      </c>
      <c r="W32" s="665">
        <f t="shared" si="14"/>
        <v>100</v>
      </c>
      <c r="X32" s="658"/>
      <c r="Y32" s="3222"/>
      <c r="Z32" s="657" t="str">
        <f t="shared" si="15"/>
        <v>公共部分装修</v>
      </c>
      <c r="AA32" s="657">
        <f t="shared" si="3"/>
        <v>1</v>
      </c>
      <c r="AB32" s="657">
        <f t="shared" si="4"/>
        <v>1</v>
      </c>
      <c r="AC32" s="657">
        <f t="shared" si="5"/>
        <v>1</v>
      </c>
    </row>
    <row r="33" spans="1:29" ht="15">
      <c r="A33" s="685"/>
      <c r="B33" s="1744" t="s">
        <v>697</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22"/>
      <c r="Q33" s="598" t="str">
        <f t="shared" si="11"/>
        <v>成新度</v>
      </c>
      <c r="R33" s="664" t="s">
        <v>1221</v>
      </c>
      <c r="S33" s="665" t="e">
        <f t="shared" si="12"/>
        <v>#N/A</v>
      </c>
      <c r="T33" s="664" t="s">
        <v>1221</v>
      </c>
      <c r="U33" s="665" t="e">
        <f t="shared" si="13"/>
        <v>#N/A</v>
      </c>
      <c r="V33" s="664" t="s">
        <v>1221</v>
      </c>
      <c r="W33" s="665" t="e">
        <f t="shared" si="14"/>
        <v>#N/A</v>
      </c>
      <c r="X33" s="658"/>
      <c r="Y33" s="3222"/>
      <c r="Z33" s="657" t="str">
        <f t="shared" si="15"/>
        <v>成新度</v>
      </c>
      <c r="AA33" s="657" t="e">
        <f t="shared" si="3"/>
        <v>#N/A</v>
      </c>
      <c r="AB33" s="657" t="e">
        <f t="shared" si="4"/>
        <v>#N/A</v>
      </c>
      <c r="AC33" s="657" t="e">
        <f t="shared" si="5"/>
        <v>#N/A</v>
      </c>
    </row>
    <row r="34" spans="1:29" s="418" customFormat="1" ht="15">
      <c r="A34" s="1770"/>
      <c r="B34" s="1744" t="s">
        <v>1255</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22"/>
      <c r="Q34" s="663" t="str">
        <f t="shared" si="11"/>
        <v>物业管理</v>
      </c>
      <c r="R34" s="659" t="s">
        <v>1221</v>
      </c>
      <c r="S34" s="660">
        <f t="shared" si="12"/>
        <v>100</v>
      </c>
      <c r="T34" s="659" t="s">
        <v>1221</v>
      </c>
      <c r="U34" s="660">
        <f t="shared" si="13"/>
        <v>100</v>
      </c>
      <c r="V34" s="659" t="s">
        <v>1221</v>
      </c>
      <c r="W34" s="660">
        <f t="shared" si="14"/>
        <v>100</v>
      </c>
      <c r="X34" s="661"/>
      <c r="Y34" s="3222"/>
      <c r="Z34" s="677" t="str">
        <f t="shared" si="15"/>
        <v>物业管理</v>
      </c>
      <c r="AA34" s="677">
        <f t="shared" si="3"/>
        <v>1</v>
      </c>
      <c r="AB34" s="677">
        <f t="shared" si="4"/>
        <v>1</v>
      </c>
      <c r="AC34" s="677">
        <f t="shared" si="5"/>
        <v>1</v>
      </c>
    </row>
    <row r="35" spans="1:29" ht="15">
      <c r="A35" s="685"/>
      <c r="B35" s="1744" t="s">
        <v>1257</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22" t="s">
        <v>1247</v>
      </c>
      <c r="Q35" s="598" t="str">
        <f t="shared" si="11"/>
        <v>市政基础设施</v>
      </c>
      <c r="R35" s="664" t="s">
        <v>1221</v>
      </c>
      <c r="S35" s="665">
        <f t="shared" si="12"/>
        <v>100</v>
      </c>
      <c r="T35" s="664" t="s">
        <v>1221</v>
      </c>
      <c r="U35" s="665">
        <f t="shared" si="13"/>
        <v>100</v>
      </c>
      <c r="V35" s="664" t="s">
        <v>1221</v>
      </c>
      <c r="W35" s="665">
        <f t="shared" si="14"/>
        <v>100</v>
      </c>
      <c r="X35" s="658"/>
      <c r="Y35" s="3222" t="s">
        <v>1247</v>
      </c>
      <c r="Z35" s="657" t="str">
        <f t="shared" si="15"/>
        <v>市政基础设施</v>
      </c>
      <c r="AA35" s="657">
        <f t="shared" si="3"/>
        <v>1</v>
      </c>
      <c r="AB35" s="657">
        <f t="shared" si="4"/>
        <v>1</v>
      </c>
      <c r="AC35" s="657">
        <f t="shared" si="5"/>
        <v>1</v>
      </c>
    </row>
    <row r="36" spans="1:29" ht="15">
      <c r="A36" s="685"/>
      <c r="B36" s="1744" t="s">
        <v>1261</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22"/>
      <c r="Q36" s="598" t="str">
        <f t="shared" si="11"/>
        <v>内部装修</v>
      </c>
      <c r="R36" s="664" t="s">
        <v>1221</v>
      </c>
      <c r="S36" s="665">
        <f t="shared" si="12"/>
        <v>100</v>
      </c>
      <c r="T36" s="664" t="s">
        <v>1221</v>
      </c>
      <c r="U36" s="665">
        <f t="shared" si="13"/>
        <v>100</v>
      </c>
      <c r="V36" s="664" t="s">
        <v>1221</v>
      </c>
      <c r="W36" s="665">
        <f t="shared" si="14"/>
        <v>100</v>
      </c>
      <c r="X36" s="658"/>
      <c r="Y36" s="3222"/>
      <c r="Z36" s="657" t="str">
        <f t="shared" si="15"/>
        <v>内部装修</v>
      </c>
      <c r="AA36" s="657">
        <f t="shared" si="3"/>
        <v>1</v>
      </c>
      <c r="AB36" s="657">
        <f t="shared" si="4"/>
        <v>1</v>
      </c>
      <c r="AC36" s="657">
        <f t="shared" si="5"/>
        <v>1</v>
      </c>
    </row>
    <row r="37" spans="1:29" ht="15">
      <c r="A37" s="685"/>
      <c r="B37" s="1744" t="s">
        <v>1663</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22"/>
      <c r="Q37" s="598" t="str">
        <f t="shared" si="11"/>
        <v>内部装修状况</v>
      </c>
      <c r="R37" s="664" t="s">
        <v>1221</v>
      </c>
      <c r="S37" s="665">
        <f t="shared" si="12"/>
        <v>100</v>
      </c>
      <c r="T37" s="664" t="s">
        <v>1221</v>
      </c>
      <c r="U37" s="665">
        <f t="shared" si="13"/>
        <v>100</v>
      </c>
      <c r="V37" s="664" t="s">
        <v>1221</v>
      </c>
      <c r="W37" s="665">
        <f t="shared" si="14"/>
        <v>100</v>
      </c>
      <c r="X37" s="658"/>
      <c r="Y37" s="3222"/>
      <c r="Z37" s="657" t="str">
        <f t="shared" si="15"/>
        <v>内部装修状况</v>
      </c>
      <c r="AA37" s="657">
        <f t="shared" si="3"/>
        <v>1</v>
      </c>
      <c r="AB37" s="657">
        <f t="shared" si="4"/>
        <v>1</v>
      </c>
      <c r="AC37" s="657">
        <f t="shared" si="5"/>
        <v>1</v>
      </c>
    </row>
    <row r="38" spans="1:29" s="420" customFormat="1" ht="1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22"/>
      <c r="Q38" s="666">
        <f t="shared" si="11"/>
        <v>111</v>
      </c>
      <c r="R38" s="667" t="s">
        <v>1221</v>
      </c>
      <c r="S38" s="668">
        <f t="shared" si="12"/>
        <v>100</v>
      </c>
      <c r="T38" s="667" t="s">
        <v>1221</v>
      </c>
      <c r="U38" s="668">
        <f t="shared" si="13"/>
        <v>100</v>
      </c>
      <c r="V38" s="667" t="s">
        <v>1221</v>
      </c>
      <c r="W38" s="668">
        <f t="shared" si="14"/>
        <v>100</v>
      </c>
      <c r="X38" s="669"/>
      <c r="Y38" s="3222"/>
      <c r="Z38" s="678">
        <f t="shared" si="15"/>
        <v>111</v>
      </c>
      <c r="AA38" s="657">
        <f t="shared" si="3"/>
        <v>1</v>
      </c>
      <c r="AB38" s="657">
        <f t="shared" si="4"/>
        <v>1</v>
      </c>
      <c r="AC38" s="657">
        <f t="shared" si="5"/>
        <v>1</v>
      </c>
    </row>
    <row r="39" spans="1:29" ht="1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22"/>
      <c r="Q39" s="598">
        <f t="shared" si="11"/>
        <v>111</v>
      </c>
      <c r="R39" s="664" t="s">
        <v>1221</v>
      </c>
      <c r="S39" s="665">
        <f t="shared" si="12"/>
        <v>100</v>
      </c>
      <c r="T39" s="664" t="s">
        <v>1221</v>
      </c>
      <c r="U39" s="665">
        <f t="shared" si="13"/>
        <v>100</v>
      </c>
      <c r="V39" s="664" t="s">
        <v>1221</v>
      </c>
      <c r="W39" s="665">
        <f t="shared" si="14"/>
        <v>100</v>
      </c>
      <c r="X39" s="658"/>
      <c r="Y39" s="3222"/>
      <c r="Z39" s="657">
        <f t="shared" si="15"/>
        <v>111</v>
      </c>
      <c r="AA39" s="657">
        <f t="shared" si="3"/>
        <v>1</v>
      </c>
      <c r="AB39" s="657">
        <f t="shared" si="4"/>
        <v>1</v>
      </c>
      <c r="AC39" s="657">
        <f t="shared" si="5"/>
        <v>1</v>
      </c>
    </row>
    <row r="40" spans="1:29" ht="1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23"/>
      <c r="Q40" s="598">
        <f t="shared" si="11"/>
        <v>111</v>
      </c>
      <c r="R40" s="664" t="s">
        <v>1221</v>
      </c>
      <c r="S40" s="665">
        <f t="shared" si="12"/>
        <v>100</v>
      </c>
      <c r="T40" s="664" t="s">
        <v>1221</v>
      </c>
      <c r="U40" s="665">
        <f t="shared" si="13"/>
        <v>100</v>
      </c>
      <c r="V40" s="664" t="s">
        <v>1221</v>
      </c>
      <c r="W40" s="665">
        <f t="shared" si="14"/>
        <v>100</v>
      </c>
      <c r="X40" s="658"/>
      <c r="Y40" s="3223"/>
      <c r="Z40" s="657">
        <f t="shared" si="15"/>
        <v>111</v>
      </c>
      <c r="AA40" s="657">
        <f t="shared" si="3"/>
        <v>1</v>
      </c>
      <c r="AB40" s="657">
        <f t="shared" si="4"/>
        <v>1</v>
      </c>
      <c r="AC40" s="657">
        <f t="shared" si="5"/>
        <v>1</v>
      </c>
    </row>
    <row r="41" spans="1:29" ht="14.4">
      <c r="A41" s="520" t="s">
        <v>1267</v>
      </c>
      <c r="B41" s="1903"/>
      <c r="C41" s="522" t="s">
        <v>124</v>
      </c>
      <c r="D41" s="523"/>
      <c r="E41" s="524"/>
      <c r="F41" s="525"/>
      <c r="G41" s="526"/>
      <c r="H41" s="527"/>
      <c r="I41" s="524"/>
      <c r="J41" s="527"/>
      <c r="K41" s="1821"/>
      <c r="L41" s="1930"/>
      <c r="M41" s="547"/>
      <c r="N41" s="547"/>
      <c r="O41" s="547"/>
      <c r="P41" s="3213" t="str">
        <f>A41</f>
        <v>成交单价（元/平方米）</v>
      </c>
      <c r="Q41" s="3213"/>
      <c r="R41" s="3214">
        <f>E41</f>
        <v>0</v>
      </c>
      <c r="S41" s="3214"/>
      <c r="T41" s="3214">
        <f>G41</f>
        <v>0</v>
      </c>
      <c r="U41" s="3214"/>
      <c r="V41" s="3214">
        <f>I41</f>
        <v>0</v>
      </c>
      <c r="W41" s="3214"/>
      <c r="X41" s="670"/>
      <c r="Y41" s="679"/>
      <c r="Z41" s="670"/>
      <c r="AA41" s="670"/>
      <c r="AB41" s="670"/>
      <c r="AC41" s="670"/>
    </row>
    <row r="42" spans="1:29" ht="14.4">
      <c r="A42" s="528" t="s">
        <v>1268</v>
      </c>
      <c r="B42" s="529"/>
      <c r="C42" s="530" t="e">
        <f>R43</f>
        <v>#DIV/0!</v>
      </c>
      <c r="D42" s="531" t="s">
        <v>1269</v>
      </c>
      <c r="E42" s="532" t="e">
        <f>R42</f>
        <v>#DIV/0!</v>
      </c>
      <c r="F42" s="533"/>
      <c r="G42" s="530" t="e">
        <f>T42</f>
        <v>#DIV/0!</v>
      </c>
      <c r="H42" s="533"/>
      <c r="I42" s="532" t="e">
        <f>V42</f>
        <v>#DIV/0!</v>
      </c>
      <c r="J42" s="533"/>
      <c r="K42" s="611">
        <f>F42+H42+J42</f>
        <v>0</v>
      </c>
      <c r="L42" s="1930"/>
      <c r="M42" s="547"/>
      <c r="N42" s="547"/>
      <c r="O42" s="5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670"/>
      <c r="Y42" s="670"/>
      <c r="Z42" s="670"/>
      <c r="AA42" s="670"/>
      <c r="AB42" s="670"/>
      <c r="AC42" s="670"/>
    </row>
    <row r="43" spans="1:29" ht="14.4">
      <c r="A43" s="534" t="s">
        <v>1270</v>
      </c>
      <c r="B43" s="535"/>
      <c r="C43" s="451" t="e">
        <f>R43</f>
        <v>#DIV/0!</v>
      </c>
      <c r="D43" s="451"/>
      <c r="E43" s="451"/>
      <c r="F43" s="451"/>
      <c r="G43" s="451"/>
      <c r="H43" s="451"/>
      <c r="I43" s="451"/>
      <c r="J43" s="451"/>
      <c r="K43" s="1822"/>
      <c r="L43" s="1930"/>
      <c r="M43" s="547"/>
      <c r="N43" s="547"/>
      <c r="O43" s="547"/>
      <c r="P43" s="3273" t="str">
        <f>A43</f>
        <v>估价对象XX用房的比较价值（楼面单价，元/平方米）</v>
      </c>
      <c r="Q43" s="3274"/>
      <c r="R43" s="3275" t="e">
        <f>IF(F1="售价",ROUND(IF(D42="简单平均",AVERAGE(R42:V42),R42*F42+T42*H42+V42*J42),0),ROUND(IF(D42="简单平均",AVERAGE(R42:V42),R42*F42+T42*H42+V42*J42),1))</f>
        <v>#DIV/0!</v>
      </c>
      <c r="S43" s="3275"/>
      <c r="T43" s="3275"/>
      <c r="U43" s="3275"/>
      <c r="V43" s="3275"/>
      <c r="W43" s="3275"/>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1271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1272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1273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6">
      <c r="A51" s="1807" t="s">
        <v>1274</v>
      </c>
      <c r="B51" s="670"/>
      <c r="C51" s="1808"/>
      <c r="D51" s="1808"/>
      <c r="E51" s="1808"/>
      <c r="F51" s="1809"/>
      <c r="G51" s="1809"/>
      <c r="H51" s="1808"/>
      <c r="I51" s="1808"/>
      <c r="J51" s="1808"/>
      <c r="K51" s="619"/>
      <c r="L51" s="620"/>
      <c r="M51" s="548"/>
      <c r="N51" s="548"/>
      <c r="O51" s="548"/>
      <c r="P51" s="1933"/>
      <c r="Q51" s="1934"/>
    </row>
    <row r="52" spans="1:17" s="422" customFormat="1" ht="14.4">
      <c r="A52" s="550" t="s">
        <v>1219</v>
      </c>
      <c r="B52" s="551"/>
      <c r="C52" s="552" t="str">
        <f>YEAR(C7)&amp;"-"&amp;MONTH(C7)</f>
        <v>2022-12</v>
      </c>
      <c r="D52" s="553">
        <f>EDATE(C52,-1)</f>
        <v>44866</v>
      </c>
      <c r="E52" s="553">
        <f t="shared" ref="E52:O52" si="16">EDATE(D52,-1)</f>
        <v>44835</v>
      </c>
      <c r="F52" s="553">
        <f t="shared" si="16"/>
        <v>44805</v>
      </c>
      <c r="G52" s="553">
        <f t="shared" si="16"/>
        <v>44774</v>
      </c>
      <c r="H52" s="553">
        <f t="shared" si="16"/>
        <v>44743</v>
      </c>
      <c r="I52" s="553">
        <f t="shared" si="16"/>
        <v>44713</v>
      </c>
      <c r="J52" s="553">
        <f t="shared" si="16"/>
        <v>44682</v>
      </c>
      <c r="K52" s="553">
        <f t="shared" si="16"/>
        <v>44652</v>
      </c>
      <c r="L52" s="553">
        <f t="shared" si="16"/>
        <v>44621</v>
      </c>
      <c r="M52" s="553">
        <f t="shared" si="16"/>
        <v>44593</v>
      </c>
      <c r="N52" s="553">
        <f t="shared" si="16"/>
        <v>44562</v>
      </c>
      <c r="O52" s="553">
        <f t="shared" si="16"/>
        <v>44531</v>
      </c>
    </row>
    <row r="53" spans="1:17" s="418" customFormat="1">
      <c r="A53" s="504"/>
      <c r="B53" s="554"/>
      <c r="C53" s="1904">
        <v>100</v>
      </c>
      <c r="D53" s="556"/>
      <c r="E53" s="556"/>
      <c r="F53" s="556"/>
      <c r="G53" s="556"/>
      <c r="H53" s="556"/>
      <c r="I53" s="556"/>
      <c r="J53" s="556"/>
      <c r="K53" s="556"/>
      <c r="L53" s="556"/>
      <c r="M53" s="624"/>
      <c r="N53" s="556"/>
      <c r="O53" s="503"/>
      <c r="P53" s="1934"/>
    </row>
    <row r="54" spans="1:17" s="418" customFormat="1" ht="14.4">
      <c r="A54" s="557" t="s">
        <v>1275</v>
      </c>
      <c r="B54" s="558"/>
      <c r="C54" s="559"/>
      <c r="D54" s="560"/>
      <c r="E54" s="560"/>
      <c r="F54" s="560"/>
      <c r="G54" s="560"/>
      <c r="H54" s="560"/>
      <c r="I54" s="560"/>
      <c r="J54" s="560"/>
      <c r="K54" s="560"/>
      <c r="L54" s="560"/>
      <c r="M54" s="626"/>
      <c r="N54" s="1935"/>
      <c r="O54" s="1936"/>
      <c r="P54" s="1934"/>
      <c r="Q54" s="1934"/>
    </row>
    <row r="55" spans="1:17" s="418" customFormat="1" ht="14.4">
      <c r="A55" s="561" t="s">
        <v>1222</v>
      </c>
      <c r="B55" s="554"/>
      <c r="C55" s="562" t="s">
        <v>1223</v>
      </c>
      <c r="D55" s="563"/>
      <c r="E55" s="563"/>
      <c r="F55" s="563"/>
      <c r="G55" s="563"/>
      <c r="H55" s="563"/>
      <c r="I55" s="563"/>
      <c r="J55" s="563"/>
      <c r="K55" s="563"/>
      <c r="L55" s="627"/>
      <c r="M55" s="628"/>
      <c r="N55" s="1937"/>
      <c r="O55" s="1937"/>
      <c r="P55" s="973"/>
      <c r="Q55" s="1934"/>
    </row>
    <row r="56" spans="1:17" s="418" customFormat="1">
      <c r="A56" s="561"/>
      <c r="B56" s="554"/>
      <c r="C56" s="564">
        <v>100</v>
      </c>
      <c r="D56" s="556"/>
      <c r="E56" s="556"/>
      <c r="F56" s="556"/>
      <c r="G56" s="556"/>
      <c r="H56" s="556"/>
      <c r="I56" s="556"/>
      <c r="J56" s="556"/>
      <c r="K56" s="556"/>
      <c r="L56" s="556"/>
      <c r="M56" s="503"/>
      <c r="N56" s="1937"/>
      <c r="O56" s="1937"/>
      <c r="P56" s="1934"/>
      <c r="Q56" s="1934"/>
    </row>
    <row r="57" spans="1:17" ht="14.4">
      <c r="A57" s="565" t="s">
        <v>1276</v>
      </c>
      <c r="B57" s="566" t="s">
        <v>1226</v>
      </c>
      <c r="C57" s="567">
        <f>C9</f>
        <v>0</v>
      </c>
      <c r="D57" s="568"/>
      <c r="E57" s="568"/>
      <c r="F57" s="568"/>
      <c r="G57" s="568"/>
      <c r="H57" s="568"/>
      <c r="I57" s="568"/>
      <c r="J57" s="568"/>
      <c r="K57" s="631"/>
      <c r="L57" s="632"/>
      <c r="M57" s="633"/>
      <c r="N57" s="1938"/>
      <c r="O57" s="1938"/>
      <c r="P57" s="1939"/>
      <c r="Q57" s="1934"/>
    </row>
    <row r="58" spans="1:17">
      <c r="A58" s="569"/>
      <c r="B58" s="570"/>
      <c r="C58" s="571">
        <v>100</v>
      </c>
      <c r="D58" s="571"/>
      <c r="E58" s="571"/>
      <c r="F58" s="571"/>
      <c r="G58" s="571"/>
      <c r="H58" s="571"/>
      <c r="I58" s="571"/>
      <c r="J58" s="571"/>
      <c r="K58" s="571"/>
      <c r="L58" s="571"/>
      <c r="M58" s="636"/>
      <c r="N58" s="1940"/>
      <c r="O58" s="1940"/>
      <c r="P58" s="1939"/>
      <c r="Q58" s="1934"/>
    </row>
    <row r="59" spans="1:17" ht="28.8">
      <c r="A59" s="569"/>
      <c r="B59" s="572" t="s">
        <v>1229</v>
      </c>
      <c r="C59" s="573" t="s">
        <v>1278</v>
      </c>
      <c r="D59" s="573" t="s">
        <v>1279</v>
      </c>
      <c r="E59" s="573" t="s">
        <v>1280</v>
      </c>
      <c r="F59" s="573" t="s">
        <v>1281</v>
      </c>
      <c r="G59" s="573" t="s">
        <v>1282</v>
      </c>
      <c r="H59" s="573" t="s">
        <v>1283</v>
      </c>
      <c r="I59" s="573" t="s">
        <v>1284</v>
      </c>
      <c r="J59" s="573"/>
      <c r="K59" s="638"/>
      <c r="L59" s="639"/>
      <c r="M59" s="640"/>
      <c r="N59" s="1938"/>
      <c r="O59" s="1938"/>
      <c r="P59" s="1939"/>
      <c r="Q59" s="1934"/>
    </row>
    <row r="60" spans="1:17">
      <c r="A60" s="569"/>
      <c r="B60" s="574"/>
      <c r="C60" s="575" t="s">
        <v>1285</v>
      </c>
      <c r="D60" s="575" t="s">
        <v>1285</v>
      </c>
      <c r="E60" s="575">
        <v>100</v>
      </c>
      <c r="F60" s="575">
        <f>E60-$K10</f>
        <v>100</v>
      </c>
      <c r="G60" s="575">
        <f>F60-$K10</f>
        <v>100</v>
      </c>
      <c r="H60" s="575">
        <f>G60-$K10</f>
        <v>100</v>
      </c>
      <c r="I60" s="575">
        <f>H60-$K10</f>
        <v>100</v>
      </c>
      <c r="J60" s="575"/>
      <c r="K60" s="575"/>
      <c r="L60" s="575"/>
      <c r="M60" s="641"/>
      <c r="N60" s="1940"/>
      <c r="O60" s="1940"/>
      <c r="P60" s="1939"/>
      <c r="Q60" s="1934"/>
    </row>
    <row r="61" spans="1:17" ht="14.4">
      <c r="A61" s="569"/>
      <c r="B61" s="681" t="s">
        <v>1232</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c r="A62" s="569"/>
      <c r="B62" s="1836"/>
      <c r="C62" s="577"/>
      <c r="D62" s="577"/>
      <c r="E62" s="577"/>
      <c r="F62" s="577"/>
      <c r="G62" s="577"/>
      <c r="H62" s="577"/>
      <c r="I62" s="577"/>
      <c r="J62" s="577"/>
      <c r="K62" s="642"/>
      <c r="L62" s="643"/>
      <c r="M62" s="644"/>
      <c r="N62" s="1938"/>
      <c r="O62" s="1938"/>
      <c r="P62" s="1939"/>
      <c r="Q62" s="1934"/>
    </row>
    <row r="63" spans="1:17">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c r="A64" s="579"/>
      <c r="B64" s="572">
        <f>B12</f>
        <v>111</v>
      </c>
      <c r="C64" s="580"/>
      <c r="D64" s="580"/>
      <c r="E64" s="580"/>
      <c r="F64" s="580"/>
      <c r="G64" s="580"/>
      <c r="H64" s="581"/>
      <c r="I64" s="581"/>
      <c r="J64" s="581"/>
      <c r="K64" s="581"/>
      <c r="L64" s="645"/>
      <c r="M64" s="646"/>
      <c r="N64" s="1941"/>
      <c r="O64" s="1941"/>
      <c r="P64" s="1942"/>
      <c r="Q64" s="1943"/>
    </row>
    <row r="65" spans="1:17" s="420" customFormat="1">
      <c r="A65" s="579"/>
      <c r="B65" s="574"/>
      <c r="C65" s="578"/>
      <c r="D65" s="571"/>
      <c r="E65" s="571"/>
      <c r="F65" s="571"/>
      <c r="G65" s="571"/>
      <c r="H65" s="571"/>
      <c r="I65" s="571"/>
      <c r="J65" s="571"/>
      <c r="K65" s="571"/>
      <c r="L65" s="571"/>
      <c r="M65" s="636"/>
      <c r="N65" s="1940"/>
      <c r="O65" s="1940"/>
      <c r="P65" s="1942"/>
      <c r="Q65" s="1943"/>
    </row>
    <row r="66" spans="1:17" s="420" customFormat="1">
      <c r="A66" s="579"/>
      <c r="B66" s="572">
        <f>B13</f>
        <v>111</v>
      </c>
      <c r="C66" s="580"/>
      <c r="D66" s="580"/>
      <c r="E66" s="580"/>
      <c r="F66" s="580"/>
      <c r="G66" s="580"/>
      <c r="H66" s="581"/>
      <c r="I66" s="581"/>
      <c r="J66" s="581"/>
      <c r="K66" s="581"/>
      <c r="L66" s="645"/>
      <c r="M66" s="646"/>
      <c r="N66" s="1941"/>
      <c r="O66" s="1941"/>
      <c r="Q66" s="1946"/>
    </row>
    <row r="67" spans="1:17" s="420" customFormat="1">
      <c r="A67" s="579"/>
      <c r="B67" s="574"/>
      <c r="C67" s="578"/>
      <c r="D67" s="571"/>
      <c r="E67" s="571"/>
      <c r="F67" s="571"/>
      <c r="G67" s="578"/>
      <c r="H67" s="582"/>
      <c r="I67" s="582"/>
      <c r="J67" s="582"/>
      <c r="K67" s="582"/>
      <c r="L67" s="582"/>
      <c r="M67" s="650"/>
      <c r="N67" s="1941"/>
      <c r="O67" s="1941"/>
      <c r="P67" s="1942"/>
      <c r="Q67" s="1943"/>
    </row>
    <row r="68" spans="1:17" s="420" customFormat="1">
      <c r="A68" s="579"/>
      <c r="B68" s="681">
        <f>B14</f>
        <v>111</v>
      </c>
      <c r="C68" s="563"/>
      <c r="D68" s="563"/>
      <c r="E68" s="563"/>
      <c r="F68" s="563"/>
      <c r="G68" s="563"/>
      <c r="H68" s="1837"/>
      <c r="I68" s="1837"/>
      <c r="J68" s="1837"/>
      <c r="K68" s="1837"/>
      <c r="L68" s="1851"/>
      <c r="M68" s="1852"/>
      <c r="N68" s="1941"/>
      <c r="O68" s="1941"/>
      <c r="P68" s="1944"/>
      <c r="Q68" s="1943"/>
    </row>
    <row r="69" spans="1:17" s="420" customFormat="1">
      <c r="A69" s="1838"/>
      <c r="B69" s="1839"/>
      <c r="C69" s="1840"/>
      <c r="D69" s="1840"/>
      <c r="E69" s="1840"/>
      <c r="F69" s="1840"/>
      <c r="G69" s="1840"/>
      <c r="H69" s="1841"/>
      <c r="I69" s="1841"/>
      <c r="J69" s="1841"/>
      <c r="K69" s="1841"/>
      <c r="L69" s="1841"/>
      <c r="M69" s="1854"/>
      <c r="N69" s="1941"/>
      <c r="O69" s="1941"/>
      <c r="P69" s="1942"/>
      <c r="Q69" s="1943"/>
    </row>
    <row r="70" spans="1:17" ht="14.4">
      <c r="A70" s="565" t="s">
        <v>1233</v>
      </c>
      <c r="B70" s="566" t="s">
        <v>1662</v>
      </c>
      <c r="C70" s="583" t="s">
        <v>1286</v>
      </c>
      <c r="D70" s="583" t="s">
        <v>1287</v>
      </c>
      <c r="E70" s="583" t="s">
        <v>1288</v>
      </c>
      <c r="F70" s="583" t="s">
        <v>1289</v>
      </c>
      <c r="G70" s="583" t="s">
        <v>1290</v>
      </c>
      <c r="H70" s="567"/>
      <c r="I70" s="567"/>
      <c r="J70" s="567"/>
      <c r="K70" s="651"/>
      <c r="L70" s="652"/>
      <c r="M70" s="653"/>
      <c r="N70" s="1938"/>
      <c r="O70" s="1938"/>
      <c r="P70" s="1945"/>
      <c r="Q70" s="1934"/>
    </row>
    <row r="71" spans="1:17">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ht="14.4">
      <c r="A72" s="569"/>
      <c r="B72" s="572" t="s">
        <v>1238</v>
      </c>
      <c r="C72" s="680" t="s">
        <v>1286</v>
      </c>
      <c r="D72" s="680" t="s">
        <v>1287</v>
      </c>
      <c r="E72" s="680" t="s">
        <v>1288</v>
      </c>
      <c r="F72" s="680" t="s">
        <v>1289</v>
      </c>
      <c r="G72" s="680" t="s">
        <v>1290</v>
      </c>
      <c r="H72" s="573"/>
      <c r="I72" s="573"/>
      <c r="J72" s="573"/>
      <c r="K72" s="638"/>
      <c r="L72" s="639"/>
      <c r="M72" s="640"/>
      <c r="N72" s="1938"/>
      <c r="O72" s="1938"/>
      <c r="P72" s="1939"/>
      <c r="Q72" s="1934"/>
    </row>
    <row r="73" spans="1:17">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ht="14.4">
      <c r="A74" s="569"/>
      <c r="B74" s="572" t="s">
        <v>1239</v>
      </c>
      <c r="C74" s="680" t="s">
        <v>1286</v>
      </c>
      <c r="D74" s="680" t="s">
        <v>1287</v>
      </c>
      <c r="E74" s="680" t="s">
        <v>1288</v>
      </c>
      <c r="F74" s="680" t="s">
        <v>1289</v>
      </c>
      <c r="G74" s="680" t="s">
        <v>1290</v>
      </c>
      <c r="H74" s="573"/>
      <c r="I74" s="573"/>
      <c r="J74" s="573"/>
      <c r="K74" s="638"/>
      <c r="L74" s="639"/>
      <c r="M74" s="640"/>
      <c r="N74" s="1938"/>
      <c r="O74" s="1938"/>
      <c r="P74" s="1939"/>
      <c r="Q74" s="1934"/>
    </row>
    <row r="75" spans="1:17">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ht="14.4">
      <c r="A76" s="569"/>
      <c r="B76" s="681" t="s">
        <v>1240</v>
      </c>
      <c r="C76" s="576" t="s">
        <v>1291</v>
      </c>
      <c r="D76" s="576" t="s">
        <v>1292</v>
      </c>
      <c r="E76" s="576" t="s">
        <v>1293</v>
      </c>
      <c r="F76" s="576" t="s">
        <v>1294</v>
      </c>
      <c r="G76" s="576" t="s">
        <v>1295</v>
      </c>
      <c r="H76" s="573"/>
      <c r="I76" s="573"/>
      <c r="J76" s="573"/>
      <c r="K76" s="573"/>
      <c r="L76" s="573"/>
      <c r="M76" s="690"/>
      <c r="N76" s="1940"/>
      <c r="O76" s="1940"/>
      <c r="P76" s="1939"/>
      <c r="Q76" s="1934"/>
    </row>
    <row r="77" spans="1:17">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ht="14.4">
      <c r="A78" s="569"/>
      <c r="B78" s="572" t="s">
        <v>1241</v>
      </c>
      <c r="C78" s="680" t="s">
        <v>1286</v>
      </c>
      <c r="D78" s="680" t="s">
        <v>1287</v>
      </c>
      <c r="E78" s="680" t="s">
        <v>1288</v>
      </c>
      <c r="F78" s="680" t="s">
        <v>1289</v>
      </c>
      <c r="G78" s="680" t="s">
        <v>1290</v>
      </c>
      <c r="H78" s="573"/>
      <c r="I78" s="573"/>
      <c r="J78" s="573"/>
      <c r="K78" s="638"/>
      <c r="L78" s="639"/>
      <c r="M78" s="640"/>
      <c r="N78" s="1938"/>
      <c r="O78" s="1938"/>
      <c r="P78" s="1939"/>
      <c r="Q78" s="1934"/>
    </row>
    <row r="79" spans="1:17">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c r="A80" s="683"/>
      <c r="B80" s="572">
        <f>B25</f>
        <v>111</v>
      </c>
      <c r="C80" s="580"/>
      <c r="D80" s="580"/>
      <c r="E80" s="580"/>
      <c r="F80" s="580"/>
      <c r="G80" s="580"/>
      <c r="H80" s="580"/>
      <c r="I80" s="580"/>
      <c r="J80" s="580"/>
      <c r="K80" s="580"/>
      <c r="L80" s="694"/>
      <c r="M80" s="695"/>
      <c r="N80" s="1937"/>
      <c r="O80" s="1937"/>
      <c r="P80" s="1939"/>
      <c r="Q80" s="1934"/>
    </row>
    <row r="81" spans="1:17" s="418" customFormat="1">
      <c r="A81" s="683"/>
      <c r="B81" s="574"/>
      <c r="C81" s="578"/>
      <c r="D81" s="571"/>
      <c r="E81" s="571"/>
      <c r="F81" s="571"/>
      <c r="G81" s="571"/>
      <c r="H81" s="571"/>
      <c r="I81" s="571"/>
      <c r="J81" s="571"/>
      <c r="K81" s="571"/>
      <c r="L81" s="571"/>
      <c r="M81" s="636"/>
      <c r="N81" s="1940"/>
      <c r="O81" s="1940"/>
      <c r="P81" s="1939"/>
      <c r="Q81" s="1934"/>
    </row>
    <row r="82" spans="1:17" s="418" customFormat="1">
      <c r="A82" s="683"/>
      <c r="B82" s="572">
        <f>B26</f>
        <v>111</v>
      </c>
      <c r="C82" s="580"/>
      <c r="D82" s="580"/>
      <c r="E82" s="580"/>
      <c r="F82" s="580"/>
      <c r="G82" s="580"/>
      <c r="H82" s="580"/>
      <c r="I82" s="580"/>
      <c r="J82" s="580"/>
      <c r="K82" s="580"/>
      <c r="L82" s="694"/>
      <c r="M82" s="695"/>
      <c r="N82" s="1937"/>
      <c r="O82" s="1937"/>
      <c r="P82" s="1939"/>
      <c r="Q82" s="1934"/>
    </row>
    <row r="83" spans="1:17" s="418" customFormat="1">
      <c r="A83" s="683"/>
      <c r="B83" s="574"/>
      <c r="C83" s="578"/>
      <c r="D83" s="571"/>
      <c r="E83" s="571"/>
      <c r="F83" s="571"/>
      <c r="G83" s="571"/>
      <c r="H83" s="571"/>
      <c r="I83" s="571"/>
      <c r="J83" s="571"/>
      <c r="K83" s="571"/>
      <c r="L83" s="571"/>
      <c r="M83" s="636"/>
      <c r="N83" s="1940"/>
      <c r="O83" s="1940"/>
      <c r="P83" s="1939"/>
      <c r="Q83" s="1934"/>
    </row>
    <row r="84" spans="1:17" s="420" customFormat="1">
      <c r="A84" s="579"/>
      <c r="B84" s="572">
        <f>B27</f>
        <v>111</v>
      </c>
      <c r="C84" s="580"/>
      <c r="D84" s="580"/>
      <c r="E84" s="580"/>
      <c r="F84" s="580"/>
      <c r="G84" s="580"/>
      <c r="H84" s="580"/>
      <c r="I84" s="580"/>
      <c r="J84" s="580"/>
      <c r="K84" s="580"/>
      <c r="L84" s="694"/>
      <c r="M84" s="695"/>
      <c r="N84" s="1941"/>
      <c r="O84" s="1941"/>
      <c r="P84" s="1942"/>
      <c r="Q84" s="1943"/>
    </row>
    <row r="85" spans="1:17" s="420" customFormat="1">
      <c r="A85" s="579"/>
      <c r="B85" s="574"/>
      <c r="C85" s="578"/>
      <c r="D85" s="571"/>
      <c r="E85" s="571"/>
      <c r="F85" s="571"/>
      <c r="G85" s="571"/>
      <c r="H85" s="571"/>
      <c r="I85" s="571"/>
      <c r="J85" s="571"/>
      <c r="K85" s="571"/>
      <c r="L85" s="571"/>
      <c r="M85" s="636"/>
      <c r="N85" s="1941"/>
      <c r="O85" s="1941"/>
      <c r="P85" s="1942"/>
      <c r="Q85" s="1943"/>
    </row>
    <row r="86" spans="1:17">
      <c r="A86" s="569"/>
      <c r="B86" s="681">
        <f>B28</f>
        <v>111</v>
      </c>
      <c r="C86" s="563"/>
      <c r="D86" s="563"/>
      <c r="E86" s="563"/>
      <c r="F86" s="563"/>
      <c r="G86" s="1844"/>
      <c r="H86" s="1844"/>
      <c r="I86" s="1844"/>
      <c r="J86" s="1844"/>
      <c r="K86" s="1861"/>
      <c r="L86" s="1862"/>
      <c r="M86" s="1863"/>
      <c r="N86" s="1938"/>
      <c r="O86" s="1938"/>
      <c r="P86" s="1939"/>
      <c r="Q86" s="1934"/>
    </row>
    <row r="87" spans="1:17">
      <c r="A87" s="1748"/>
      <c r="B87" s="1839"/>
      <c r="C87" s="1840"/>
      <c r="D87" s="1840"/>
      <c r="E87" s="1840"/>
      <c r="F87" s="1840"/>
      <c r="G87" s="1845"/>
      <c r="H87" s="1845"/>
      <c r="I87" s="1845"/>
      <c r="J87" s="1845"/>
      <c r="K87" s="1845"/>
      <c r="L87" s="1845"/>
      <c r="M87" s="1864"/>
      <c r="N87" s="1940"/>
      <c r="O87" s="1940"/>
      <c r="P87" s="1939"/>
      <c r="Q87" s="1934"/>
    </row>
    <row r="88" spans="1:17" ht="14.4">
      <c r="A88" s="565" t="s">
        <v>1245</v>
      </c>
      <c r="B88" s="566" t="s">
        <v>1246</v>
      </c>
      <c r="C88" s="568"/>
      <c r="D88" s="568"/>
      <c r="E88" s="568"/>
      <c r="F88" s="568"/>
      <c r="G88" s="568"/>
      <c r="H88" s="568"/>
      <c r="I88" s="568"/>
      <c r="J88" s="568"/>
      <c r="K88" s="631"/>
      <c r="L88" s="632"/>
      <c r="M88" s="633"/>
      <c r="N88" s="1938"/>
      <c r="O88" s="1938"/>
      <c r="P88" s="1939"/>
      <c r="Q88" s="1934"/>
    </row>
    <row r="89" spans="1:17">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ht="14.4">
      <c r="A90" s="569"/>
      <c r="B90" s="572" t="s">
        <v>1248</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c r="A92" s="579"/>
      <c r="B92" s="574"/>
      <c r="C92" s="578"/>
      <c r="D92" s="571"/>
      <c r="E92" s="571"/>
      <c r="F92" s="571"/>
      <c r="G92" s="571"/>
      <c r="H92" s="571"/>
      <c r="I92" s="571"/>
      <c r="J92" s="571"/>
      <c r="K92" s="571"/>
      <c r="L92" s="571"/>
      <c r="M92" s="636"/>
      <c r="N92" s="1940"/>
      <c r="O92" s="1940"/>
      <c r="P92" s="1942"/>
      <c r="Q92" s="1943"/>
    </row>
    <row r="93" spans="1:17" ht="14.4">
      <c r="A93" s="685"/>
      <c r="B93" s="572" t="s">
        <v>1249</v>
      </c>
      <c r="C93" s="580"/>
      <c r="D93" s="580"/>
      <c r="E93" s="682"/>
      <c r="F93" s="682"/>
      <c r="G93" s="682"/>
      <c r="H93" s="682"/>
      <c r="I93" s="682"/>
      <c r="J93" s="682"/>
      <c r="K93" s="691"/>
      <c r="L93" s="692"/>
      <c r="M93" s="693"/>
      <c r="N93" s="1938"/>
      <c r="O93" s="1938"/>
      <c r="P93" s="1939"/>
      <c r="Q93" s="1934"/>
    </row>
    <row r="94" spans="1:17">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ht="14.4">
      <c r="A95" s="685"/>
      <c r="B95" s="572" t="s">
        <v>1251</v>
      </c>
      <c r="C95" s="580"/>
      <c r="D95" s="580"/>
      <c r="E95" s="580"/>
      <c r="F95" s="682"/>
      <c r="G95" s="682"/>
      <c r="H95" s="682"/>
      <c r="I95" s="682"/>
      <c r="J95" s="682"/>
      <c r="K95" s="691"/>
      <c r="L95" s="692"/>
      <c r="M95" s="693"/>
      <c r="N95" s="1938"/>
      <c r="O95" s="1938"/>
      <c r="P95" s="1939"/>
      <c r="Q95" s="1934"/>
    </row>
    <row r="96" spans="1:17">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ht="14.4">
      <c r="A97" s="685"/>
      <c r="B97" s="572" t="s">
        <v>697</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ht="14.4">
      <c r="A100" s="687"/>
      <c r="B100" s="572" t="s">
        <v>1255</v>
      </c>
      <c r="C100" s="580"/>
      <c r="D100" s="580"/>
      <c r="E100" s="580"/>
      <c r="F100" s="580"/>
      <c r="G100" s="580"/>
      <c r="H100" s="682"/>
      <c r="I100" s="682"/>
      <c r="J100" s="682"/>
      <c r="K100" s="691"/>
      <c r="L100" s="692"/>
      <c r="M100" s="693"/>
      <c r="N100" s="1941"/>
      <c r="O100" s="1941"/>
      <c r="P100" s="1942"/>
      <c r="Q100" s="1943"/>
    </row>
    <row r="101" spans="1:17" s="420" customFormat="1">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ht="14.4">
      <c r="A102" s="685"/>
      <c r="B102" s="572" t="s">
        <v>1257</v>
      </c>
      <c r="C102" s="580"/>
      <c r="D102" s="580"/>
      <c r="E102" s="580"/>
      <c r="F102" s="580"/>
      <c r="G102" s="580"/>
      <c r="H102" s="682"/>
      <c r="I102" s="682"/>
      <c r="J102" s="682"/>
      <c r="K102" s="691"/>
      <c r="L102" s="692"/>
      <c r="M102" s="693"/>
      <c r="N102" s="1938"/>
      <c r="O102" s="1938"/>
      <c r="P102" s="1939"/>
      <c r="Q102" s="1934"/>
    </row>
    <row r="103" spans="1:17">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ht="14.4">
      <c r="A104" s="685"/>
      <c r="B104" s="572" t="s">
        <v>1261</v>
      </c>
      <c r="C104" s="580"/>
      <c r="D104" s="580"/>
      <c r="E104" s="580"/>
      <c r="F104" s="580"/>
      <c r="G104" s="580"/>
      <c r="H104" s="682"/>
      <c r="I104" s="682"/>
      <c r="J104" s="682"/>
      <c r="K104" s="691"/>
      <c r="L104" s="692"/>
      <c r="M104" s="693"/>
      <c r="N104" s="1938"/>
      <c r="O104" s="1938"/>
      <c r="P104" s="1939"/>
      <c r="Q104" s="1934"/>
    </row>
    <row r="105" spans="1:17">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ht="28.8">
      <c r="A106" s="685"/>
      <c r="B106" s="689" t="s">
        <v>1664</v>
      </c>
      <c r="C106" s="680" t="s">
        <v>1286</v>
      </c>
      <c r="D106" s="680" t="s">
        <v>1287</v>
      </c>
      <c r="E106" s="680" t="s">
        <v>1288</v>
      </c>
      <c r="F106" s="680" t="s">
        <v>1289</v>
      </c>
      <c r="G106" s="680" t="s">
        <v>1290</v>
      </c>
      <c r="H106" s="573"/>
      <c r="I106" s="573"/>
      <c r="J106" s="573"/>
      <c r="K106" s="638"/>
      <c r="L106" s="639"/>
      <c r="M106" s="640"/>
      <c r="N106" s="1940"/>
      <c r="O106" s="1940"/>
      <c r="P106" s="1699"/>
      <c r="Q106" s="1947"/>
    </row>
    <row r="107" spans="1:17">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423" customWidth="1"/>
    <col min="2" max="2" width="15.77734375" style="423" customWidth="1"/>
    <col min="3" max="3" width="14.3320312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423"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1665</v>
      </c>
      <c r="B1" s="428"/>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IF(C2="——",ROUND(C37*D3/10000,0),ROUND(C37*D3/10000,0)-D2)</f>
        <v>#DIV/0!</v>
      </c>
      <c r="C2" s="436"/>
      <c r="D2" s="437" t="e">
        <f ca="1">SUMIF(INDIRECT("'"&amp;F2&amp;"'"&amp;"!A:A"),"承租人权益价值",INDIRECT("'"&amp;F2&amp;"'"&amp;"!c:c"))</f>
        <v>#REF!</v>
      </c>
      <c r="E2" s="438" t="s">
        <v>1056</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 ca="1">IF(C2="——",C37,ROUND(B2*10000/D3,0))</f>
        <v>#DIV/0!</v>
      </c>
      <c r="C3" s="442" t="s">
        <v>1208</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28" t="s">
        <v>1212</v>
      </c>
      <c r="AC4" s="3276" t="s">
        <v>1213</v>
      </c>
    </row>
    <row r="5" spans="1:29">
      <c r="A5" s="448"/>
      <c r="B5" s="449"/>
      <c r="C5" s="3199" t="s">
        <v>1216</v>
      </c>
      <c r="D5" s="3200"/>
      <c r="E5" s="3272" t="s">
        <v>1623</v>
      </c>
      <c r="F5" s="3202"/>
      <c r="G5" s="3199" t="s">
        <v>1624</v>
      </c>
      <c r="H5" s="3200"/>
      <c r="I5" s="3199" t="s">
        <v>1625</v>
      </c>
      <c r="J5" s="3200"/>
      <c r="K5" s="592"/>
      <c r="L5" s="593"/>
      <c r="M5" s="536"/>
      <c r="N5" s="536"/>
      <c r="O5" s="536"/>
      <c r="P5" s="3279"/>
      <c r="Q5" s="3236"/>
      <c r="R5" s="3241"/>
      <c r="S5" s="3242"/>
      <c r="T5" s="3241"/>
      <c r="U5" s="3242"/>
      <c r="V5" s="3214"/>
      <c r="W5" s="3214"/>
      <c r="X5" s="658"/>
      <c r="Y5" s="3241"/>
      <c r="Z5" s="3242"/>
      <c r="AA5" s="3228"/>
      <c r="AB5" s="3228"/>
      <c r="AC5" s="3228"/>
    </row>
    <row r="6" spans="1:29" ht="14.4">
      <c r="A6" s="450"/>
      <c r="B6" s="451"/>
      <c r="C6" s="3204" t="s">
        <v>1217</v>
      </c>
      <c r="D6" s="3205"/>
      <c r="E6" s="3206" t="s">
        <v>1217</v>
      </c>
      <c r="F6" s="3207"/>
      <c r="G6" s="3204" t="s">
        <v>1217</v>
      </c>
      <c r="H6" s="3205"/>
      <c r="I6" s="3204" t="s">
        <v>1217</v>
      </c>
      <c r="J6" s="3205"/>
      <c r="K6" s="592" t="s">
        <v>1218</v>
      </c>
      <c r="L6" s="593"/>
      <c r="M6" s="536"/>
      <c r="N6" s="536"/>
      <c r="O6" s="536"/>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c r="F7" s="457">
        <f>SUMIF(46:46,YEAR(E7)&amp;"-"&amp;MONTH(E7),47:47)</f>
        <v>0</v>
      </c>
      <c r="G7" s="1739"/>
      <c r="H7" s="455">
        <f>SUMIF(46:46,YEAR(G7)&amp;"-"&amp;MONTH(G7),47:47)</f>
        <v>0</v>
      </c>
      <c r="I7" s="456"/>
      <c r="J7" s="455">
        <f>SUMIF(46:46,YEAR(I7)&amp;"-"&amp;MONTH(I7),47:47)</f>
        <v>0</v>
      </c>
      <c r="K7" s="594"/>
      <c r="L7" s="595"/>
      <c r="M7" s="596"/>
      <c r="N7" s="596"/>
      <c r="O7" s="596"/>
      <c r="P7" s="3210" t="s">
        <v>1220</v>
      </c>
      <c r="Q7" s="3209"/>
      <c r="R7" s="659" t="s">
        <v>1221</v>
      </c>
      <c r="S7" s="660">
        <f t="shared" ref="S7:S14" si="0">F7</f>
        <v>0</v>
      </c>
      <c r="T7" s="659" t="s">
        <v>1221</v>
      </c>
      <c r="U7" s="660">
        <f t="shared" ref="U7:U14" si="1">H7</f>
        <v>0</v>
      </c>
      <c r="V7" s="659" t="s">
        <v>1221</v>
      </c>
      <c r="W7" s="660">
        <f t="shared" ref="W7:W14"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458"/>
      <c r="F8" s="457">
        <f>SUMIF(49:49,E8,50:50)-SUMIF(49:49,C8,50:50)+100</f>
        <v>0</v>
      </c>
      <c r="G8" s="458"/>
      <c r="H8" s="455">
        <f>SUMIF(49:49,G8,50:50)-SUMIF(49:49,C8,50:50)+100</f>
        <v>0</v>
      </c>
      <c r="I8" s="458"/>
      <c r="J8" s="455">
        <f>SUMIF(49:49,I8,50:50)-SUMIF(49:49,C8,50:50)+100</f>
        <v>0</v>
      </c>
      <c r="K8" s="594"/>
      <c r="L8" s="595"/>
      <c r="M8" s="596"/>
      <c r="N8" s="596"/>
      <c r="O8" s="596"/>
      <c r="P8" s="3210" t="s">
        <v>1224</v>
      </c>
      <c r="Q8" s="3211"/>
      <c r="R8" s="659" t="s">
        <v>1221</v>
      </c>
      <c r="S8" s="660">
        <f t="shared" si="0"/>
        <v>0</v>
      </c>
      <c r="T8" s="659" t="s">
        <v>1221</v>
      </c>
      <c r="U8" s="660">
        <f t="shared" si="1"/>
        <v>0</v>
      </c>
      <c r="V8" s="659" t="s">
        <v>1221</v>
      </c>
      <c r="W8" s="660">
        <f t="shared" si="2"/>
        <v>0</v>
      </c>
      <c r="X8" s="661"/>
      <c r="Y8" s="3210" t="s">
        <v>1224</v>
      </c>
      <c r="Z8" s="3211"/>
      <c r="AA8" s="677" t="e">
        <f t="shared" ref="AA8:AA34" si="3">D8/F8</f>
        <v>#DIV/0!</v>
      </c>
      <c r="AB8" s="677" t="e">
        <f t="shared" ref="AB8:AB34" si="4">D8/H8</f>
        <v>#DIV/0!</v>
      </c>
      <c r="AC8" s="677" t="e">
        <f t="shared" ref="AC8:AC34" si="5">D8/J8</f>
        <v>#DIV/0!</v>
      </c>
    </row>
    <row r="9" spans="1:29" s="418" customFormat="1" ht="14.4">
      <c r="A9" s="1740" t="s">
        <v>1225</v>
      </c>
      <c r="B9" s="1741" t="s">
        <v>1226</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13" t="s">
        <v>1227</v>
      </c>
      <c r="Q9" s="663" t="str">
        <f t="shared" ref="Q9:Q14" si="6">B9</f>
        <v>用途</v>
      </c>
      <c r="R9" s="659" t="s">
        <v>1221</v>
      </c>
      <c r="S9" s="660">
        <f t="shared" si="0"/>
        <v>100</v>
      </c>
      <c r="T9" s="659" t="s">
        <v>1221</v>
      </c>
      <c r="U9" s="660">
        <f t="shared" si="1"/>
        <v>100</v>
      </c>
      <c r="V9" s="659" t="s">
        <v>1221</v>
      </c>
      <c r="W9" s="660">
        <f t="shared" si="2"/>
        <v>100</v>
      </c>
      <c r="X9" s="661"/>
      <c r="Y9" s="3186" t="s">
        <v>1228</v>
      </c>
      <c r="Z9" s="677" t="str">
        <f t="shared" ref="Z9:Z14" si="7">Q9</f>
        <v>用途</v>
      </c>
      <c r="AA9" s="677">
        <f t="shared" si="3"/>
        <v>1</v>
      </c>
      <c r="AB9" s="677">
        <f t="shared" si="4"/>
        <v>1</v>
      </c>
      <c r="AC9" s="677">
        <f t="shared" si="5"/>
        <v>1</v>
      </c>
    </row>
    <row r="10" spans="1:29" s="419" customFormat="1" ht="28.8">
      <c r="A10" s="1743"/>
      <c r="B10" s="1744" t="s">
        <v>1229</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13"/>
      <c r="Q10" s="663" t="str">
        <f t="shared" si="6"/>
        <v>土地使用年限（年）</v>
      </c>
      <c r="R10" s="659" t="s">
        <v>1221</v>
      </c>
      <c r="S10" s="660">
        <f t="shared" si="0"/>
        <v>100</v>
      </c>
      <c r="T10" s="659" t="s">
        <v>1221</v>
      </c>
      <c r="U10" s="660">
        <f t="shared" si="1"/>
        <v>100</v>
      </c>
      <c r="V10" s="659" t="s">
        <v>1221</v>
      </c>
      <c r="W10" s="660">
        <f t="shared" si="2"/>
        <v>100</v>
      </c>
      <c r="X10" s="661"/>
      <c r="Y10" s="3186"/>
      <c r="Z10" s="677" t="str">
        <f t="shared" si="7"/>
        <v>土地使用年限（年）</v>
      </c>
      <c r="AA10" s="677">
        <f t="shared" si="3"/>
        <v>1</v>
      </c>
      <c r="AB10" s="677">
        <f t="shared" si="4"/>
        <v>1</v>
      </c>
      <c r="AC10" s="677">
        <f t="shared" si="5"/>
        <v>1</v>
      </c>
    </row>
    <row r="11" spans="1:29" ht="1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13"/>
      <c r="Q11" s="663">
        <f t="shared" si="6"/>
        <v>111</v>
      </c>
      <c r="R11" s="659" t="s">
        <v>1221</v>
      </c>
      <c r="S11" s="660">
        <f t="shared" si="0"/>
        <v>100</v>
      </c>
      <c r="T11" s="659" t="s">
        <v>1221</v>
      </c>
      <c r="U11" s="660">
        <f t="shared" si="1"/>
        <v>100</v>
      </c>
      <c r="V11" s="659" t="s">
        <v>1221</v>
      </c>
      <c r="W11" s="660">
        <f t="shared" si="2"/>
        <v>100</v>
      </c>
      <c r="X11" s="661"/>
      <c r="Y11" s="3186"/>
      <c r="Z11" s="677">
        <f t="shared" si="7"/>
        <v>111</v>
      </c>
      <c r="AA11" s="677">
        <f t="shared" si="3"/>
        <v>1</v>
      </c>
      <c r="AB11" s="677">
        <f t="shared" si="4"/>
        <v>1</v>
      </c>
      <c r="AC11" s="677">
        <f t="shared" si="5"/>
        <v>1</v>
      </c>
    </row>
    <row r="12" spans="1:29" s="418" customFormat="1" ht="1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13"/>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13"/>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96.6">
      <c r="A14" s="565" t="s">
        <v>1233</v>
      </c>
      <c r="B14" s="1869" t="s">
        <v>1238</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20" t="s">
        <v>1235</v>
      </c>
      <c r="Q14" s="598" t="str">
        <f t="shared" si="6"/>
        <v>交通便捷度</v>
      </c>
      <c r="R14" s="664" t="s">
        <v>1221</v>
      </c>
      <c r="S14" s="665">
        <f t="shared" si="0"/>
        <v>100</v>
      </c>
      <c r="T14" s="664" t="s">
        <v>1221</v>
      </c>
      <c r="U14" s="665">
        <f t="shared" si="1"/>
        <v>100</v>
      </c>
      <c r="V14" s="664" t="s">
        <v>1221</v>
      </c>
      <c r="W14" s="665">
        <f t="shared" si="2"/>
        <v>100</v>
      </c>
      <c r="X14" s="658"/>
      <c r="Y14" s="3220" t="s">
        <v>1235</v>
      </c>
      <c r="Z14" s="657" t="str">
        <f t="shared" si="7"/>
        <v>交通便捷度</v>
      </c>
      <c r="AA14" s="657">
        <f t="shared" si="3"/>
        <v>1</v>
      </c>
      <c r="AB14" s="657">
        <f t="shared" si="4"/>
        <v>1</v>
      </c>
      <c r="AC14" s="657">
        <f t="shared" si="5"/>
        <v>1</v>
      </c>
    </row>
    <row r="15" spans="1:29" ht="15">
      <c r="A15" s="569"/>
      <c r="B15" s="670"/>
      <c r="C15" s="485"/>
      <c r="D15" s="486"/>
      <c r="E15" s="485"/>
      <c r="F15" s="487"/>
      <c r="G15" s="485"/>
      <c r="H15" s="488"/>
      <c r="I15" s="485"/>
      <c r="J15" s="486"/>
      <c r="K15" s="606"/>
      <c r="L15" s="604"/>
      <c r="M15" s="536"/>
      <c r="N15" s="536"/>
      <c r="O15" s="1817"/>
      <c r="P15" s="3221"/>
      <c r="Q15" s="598"/>
      <c r="R15" s="664"/>
      <c r="S15" s="665"/>
      <c r="T15" s="664"/>
      <c r="U15" s="665"/>
      <c r="V15" s="664"/>
      <c r="W15" s="665"/>
      <c r="X15" s="658"/>
      <c r="Y15" s="3221"/>
      <c r="Z15" s="657"/>
      <c r="AA15" s="657">
        <v>1</v>
      </c>
      <c r="AB15" s="657">
        <v>1</v>
      </c>
      <c r="AC15" s="657">
        <v>1</v>
      </c>
    </row>
    <row r="16" spans="1:29" ht="41.4">
      <c r="A16" s="569"/>
      <c r="B16" s="1871" t="s">
        <v>1239</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21"/>
      <c r="Q16" s="598" t="str">
        <f>B16</f>
        <v>公共配套设施</v>
      </c>
      <c r="R16" s="664" t="s">
        <v>1221</v>
      </c>
      <c r="S16" s="665">
        <f>F16</f>
        <v>100</v>
      </c>
      <c r="T16" s="664" t="s">
        <v>1221</v>
      </c>
      <c r="U16" s="665">
        <f>H16</f>
        <v>100</v>
      </c>
      <c r="V16" s="664" t="s">
        <v>1221</v>
      </c>
      <c r="W16" s="665">
        <f>J16</f>
        <v>100</v>
      </c>
      <c r="X16" s="658"/>
      <c r="Y16" s="3221"/>
      <c r="Z16" s="657" t="str">
        <f>Q16</f>
        <v>公共配套设施</v>
      </c>
      <c r="AA16" s="657">
        <f t="shared" si="3"/>
        <v>1</v>
      </c>
      <c r="AB16" s="657">
        <f t="shared" si="4"/>
        <v>1</v>
      </c>
      <c r="AC16" s="657">
        <f t="shared" si="5"/>
        <v>1</v>
      </c>
    </row>
    <row r="17" spans="1:29" ht="15">
      <c r="A17" s="569"/>
      <c r="B17" s="1767"/>
      <c r="C17" s="496"/>
      <c r="D17" s="486"/>
      <c r="E17" s="485"/>
      <c r="F17" s="487"/>
      <c r="G17" s="485"/>
      <c r="H17" s="486"/>
      <c r="I17" s="485"/>
      <c r="J17" s="486"/>
      <c r="K17" s="606"/>
      <c r="L17" s="604"/>
      <c r="M17" s="536"/>
      <c r="N17" s="536"/>
      <c r="O17" s="1817"/>
      <c r="P17" s="3221"/>
      <c r="Q17" s="598"/>
      <c r="R17" s="664"/>
      <c r="S17" s="665"/>
      <c r="T17" s="664"/>
      <c r="U17" s="665"/>
      <c r="V17" s="664"/>
      <c r="W17" s="665"/>
      <c r="X17" s="658"/>
      <c r="Y17" s="3221"/>
      <c r="Z17" s="657"/>
      <c r="AA17" s="657">
        <v>1</v>
      </c>
      <c r="AB17" s="657">
        <v>1</v>
      </c>
      <c r="AC17" s="657">
        <v>1</v>
      </c>
    </row>
    <row r="18" spans="1:29" ht="41.4">
      <c r="A18" s="569"/>
      <c r="B18" s="1873" t="s">
        <v>1240</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21"/>
      <c r="Q18" s="598" t="str">
        <f>B18</f>
        <v>基础设施水平</v>
      </c>
      <c r="R18" s="664" t="s">
        <v>1221</v>
      </c>
      <c r="S18" s="665">
        <f>F18</f>
        <v>100</v>
      </c>
      <c r="T18" s="664" t="s">
        <v>1221</v>
      </c>
      <c r="U18" s="665">
        <f>H18</f>
        <v>100</v>
      </c>
      <c r="V18" s="664" t="s">
        <v>1221</v>
      </c>
      <c r="W18" s="665">
        <f>J18</f>
        <v>100</v>
      </c>
      <c r="X18" s="658"/>
      <c r="Y18" s="3221"/>
      <c r="Z18" s="657" t="str">
        <f>Q18</f>
        <v>基础设施水平</v>
      </c>
      <c r="AA18" s="657">
        <f t="shared" ref="AA18" si="8">D18/F18</f>
        <v>1</v>
      </c>
      <c r="AB18" s="657">
        <f t="shared" ref="AB18" si="9">D18/H18</f>
        <v>1</v>
      </c>
      <c r="AC18" s="657">
        <f t="shared" ref="AC18" si="10">D18/J18</f>
        <v>1</v>
      </c>
    </row>
    <row r="19" spans="1:29" ht="15">
      <c r="A19" s="569"/>
      <c r="B19" s="1873"/>
      <c r="C19" s="496"/>
      <c r="D19" s="488"/>
      <c r="E19" s="496"/>
      <c r="F19" s="500"/>
      <c r="G19" s="496"/>
      <c r="H19" s="486"/>
      <c r="I19" s="485"/>
      <c r="J19" s="486"/>
      <c r="K19" s="607"/>
      <c r="L19" s="604"/>
      <c r="M19" s="536"/>
      <c r="N19" s="536"/>
      <c r="O19" s="1817"/>
      <c r="P19" s="3221"/>
      <c r="Q19" s="598"/>
      <c r="R19" s="664"/>
      <c r="S19" s="665"/>
      <c r="T19" s="664"/>
      <c r="U19" s="665"/>
      <c r="V19" s="664"/>
      <c r="W19" s="665"/>
      <c r="X19" s="658"/>
      <c r="Y19" s="3221"/>
      <c r="Z19" s="657"/>
      <c r="AA19" s="657">
        <v>1</v>
      </c>
      <c r="AB19" s="657">
        <v>1</v>
      </c>
      <c r="AC19" s="657">
        <v>1</v>
      </c>
    </row>
    <row r="20" spans="1:29" ht="55.2">
      <c r="A20" s="569"/>
      <c r="B20" s="1871" t="s">
        <v>1627</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21"/>
      <c r="Q20" s="598" t="str">
        <f>B20</f>
        <v>自然及人文环境</v>
      </c>
      <c r="R20" s="664" t="s">
        <v>1221</v>
      </c>
      <c r="S20" s="665">
        <f>F20</f>
        <v>100</v>
      </c>
      <c r="T20" s="664" t="s">
        <v>1221</v>
      </c>
      <c r="U20" s="665">
        <f>H20</f>
        <v>100</v>
      </c>
      <c r="V20" s="664" t="s">
        <v>1221</v>
      </c>
      <c r="W20" s="665">
        <f>J20</f>
        <v>100</v>
      </c>
      <c r="X20" s="658"/>
      <c r="Y20" s="3221"/>
      <c r="Z20" s="657" t="str">
        <f>Q20</f>
        <v>自然及人文环境</v>
      </c>
      <c r="AA20" s="657">
        <f t="shared" si="3"/>
        <v>1</v>
      </c>
      <c r="AB20" s="657">
        <f t="shared" si="4"/>
        <v>1</v>
      </c>
      <c r="AC20" s="657">
        <f t="shared" si="5"/>
        <v>1</v>
      </c>
    </row>
    <row r="21" spans="1:29" ht="15">
      <c r="A21" s="569"/>
      <c r="B21" s="1767"/>
      <c r="C21" s="485"/>
      <c r="D21" s="486"/>
      <c r="E21" s="485"/>
      <c r="F21" s="487"/>
      <c r="G21" s="485"/>
      <c r="H21" s="486"/>
      <c r="I21" s="485"/>
      <c r="J21" s="486"/>
      <c r="K21" s="606"/>
      <c r="L21" s="604"/>
      <c r="M21" s="536"/>
      <c r="N21" s="536"/>
      <c r="O21" s="1817"/>
      <c r="P21" s="3221"/>
      <c r="Q21" s="598"/>
      <c r="R21" s="664"/>
      <c r="S21" s="665"/>
      <c r="T21" s="664"/>
      <c r="U21" s="665"/>
      <c r="V21" s="664"/>
      <c r="W21" s="665"/>
      <c r="X21" s="658"/>
      <c r="Y21" s="3221"/>
      <c r="Z21" s="657"/>
      <c r="AA21" s="657">
        <v>1</v>
      </c>
      <c r="AB21" s="657">
        <v>1</v>
      </c>
      <c r="AC21" s="657">
        <v>1</v>
      </c>
    </row>
    <row r="22" spans="1:29" ht="15">
      <c r="A22" s="569"/>
      <c r="B22" s="1871" t="s">
        <v>1243</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21"/>
      <c r="Q22" s="598" t="str">
        <f>B22</f>
        <v>楼层</v>
      </c>
      <c r="R22" s="664" t="s">
        <v>1221</v>
      </c>
      <c r="S22" s="665">
        <f>F22</f>
        <v>100</v>
      </c>
      <c r="T22" s="664" t="s">
        <v>1221</v>
      </c>
      <c r="U22" s="665">
        <f>H22</f>
        <v>100</v>
      </c>
      <c r="V22" s="664" t="s">
        <v>1221</v>
      </c>
      <c r="W22" s="665">
        <f>J22</f>
        <v>100</v>
      </c>
      <c r="X22" s="658"/>
      <c r="Y22" s="3221"/>
      <c r="Z22" s="657" t="str">
        <f>Q22</f>
        <v>楼层</v>
      </c>
      <c r="AA22" s="657">
        <f t="shared" si="3"/>
        <v>1</v>
      </c>
      <c r="AB22" s="657">
        <f t="shared" si="4"/>
        <v>1</v>
      </c>
      <c r="AC22" s="657">
        <f t="shared" si="5"/>
        <v>1</v>
      </c>
    </row>
    <row r="23" spans="1:29" ht="1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21"/>
      <c r="Q23" s="598">
        <f>B23</f>
        <v>111</v>
      </c>
      <c r="R23" s="664" t="s">
        <v>1221</v>
      </c>
      <c r="S23" s="665">
        <f>F23</f>
        <v>100</v>
      </c>
      <c r="T23" s="664" t="s">
        <v>1221</v>
      </c>
      <c r="U23" s="665">
        <f>H23</f>
        <v>100</v>
      </c>
      <c r="V23" s="664" t="s">
        <v>1221</v>
      </c>
      <c r="W23" s="665">
        <f>J23</f>
        <v>100</v>
      </c>
      <c r="X23" s="658"/>
      <c r="Y23" s="3221"/>
      <c r="Z23" s="657">
        <f>Q23</f>
        <v>111</v>
      </c>
      <c r="AA23" s="657">
        <f t="shared" si="3"/>
        <v>1</v>
      </c>
      <c r="AB23" s="657">
        <f t="shared" si="4"/>
        <v>1</v>
      </c>
      <c r="AC23" s="657">
        <f t="shared" si="5"/>
        <v>1</v>
      </c>
    </row>
    <row r="24" spans="1:29" ht="1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21"/>
      <c r="Q24" s="598">
        <f t="shared" ref="Q24:Q34" si="11">B24</f>
        <v>111</v>
      </c>
      <c r="R24" s="664" t="s">
        <v>1221</v>
      </c>
      <c r="S24" s="665">
        <f>F24</f>
        <v>100</v>
      </c>
      <c r="T24" s="664" t="s">
        <v>1221</v>
      </c>
      <c r="U24" s="665">
        <f>H24</f>
        <v>100</v>
      </c>
      <c r="V24" s="664" t="s">
        <v>1221</v>
      </c>
      <c r="W24" s="665">
        <f>J24</f>
        <v>100</v>
      </c>
      <c r="X24" s="658"/>
      <c r="Y24" s="3221"/>
      <c r="Z24" s="657">
        <f>Q24</f>
        <v>111</v>
      </c>
      <c r="AA24" s="657">
        <f t="shared" si="3"/>
        <v>1</v>
      </c>
      <c r="AB24" s="657">
        <f t="shared" si="4"/>
        <v>1</v>
      </c>
      <c r="AC24" s="657">
        <f t="shared" si="5"/>
        <v>1</v>
      </c>
    </row>
    <row r="25" spans="1:29" s="418" customFormat="1" ht="1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21"/>
      <c r="Q25" s="663">
        <f t="shared" si="11"/>
        <v>111</v>
      </c>
      <c r="R25" s="659" t="s">
        <v>1221</v>
      </c>
      <c r="S25" s="660">
        <f>F25</f>
        <v>100</v>
      </c>
      <c r="T25" s="659" t="s">
        <v>1221</v>
      </c>
      <c r="U25" s="660">
        <f>H25</f>
        <v>100</v>
      </c>
      <c r="V25" s="659" t="s">
        <v>1221</v>
      </c>
      <c r="W25" s="660">
        <f>J25</f>
        <v>100</v>
      </c>
      <c r="X25" s="661"/>
      <c r="Y25" s="3221"/>
      <c r="Z25" s="677">
        <f>Q25</f>
        <v>111</v>
      </c>
      <c r="AA25" s="657">
        <f t="shared" si="3"/>
        <v>1</v>
      </c>
      <c r="AB25" s="657">
        <f t="shared" si="4"/>
        <v>1</v>
      </c>
      <c r="AC25" s="657">
        <f t="shared" si="5"/>
        <v>1</v>
      </c>
    </row>
    <row r="26" spans="1:29" ht="30">
      <c r="A26" s="1896" t="s">
        <v>1245</v>
      </c>
      <c r="B26" s="1741" t="s">
        <v>1251</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283" t="s">
        <v>1247</v>
      </c>
      <c r="Q26" s="598" t="str">
        <f t="shared" si="11"/>
        <v>公共部分装修</v>
      </c>
      <c r="R26" s="664" t="s">
        <v>1221</v>
      </c>
      <c r="S26" s="665">
        <f t="shared" ref="S26:S34" si="12">F26</f>
        <v>100</v>
      </c>
      <c r="T26" s="664" t="s">
        <v>1221</v>
      </c>
      <c r="U26" s="665">
        <f t="shared" ref="U26:U34" si="13">H26</f>
        <v>100</v>
      </c>
      <c r="V26" s="664" t="s">
        <v>1221</v>
      </c>
      <c r="W26" s="665">
        <f t="shared" ref="W26:W34" si="14">J26</f>
        <v>100</v>
      </c>
      <c r="X26" s="658"/>
      <c r="Y26" s="3222" t="s">
        <v>1247</v>
      </c>
      <c r="Z26" s="657" t="str">
        <f t="shared" ref="Z26:Z34" si="15">Q26</f>
        <v>公共部分装修</v>
      </c>
      <c r="AA26" s="657">
        <f t="shared" si="3"/>
        <v>1</v>
      </c>
      <c r="AB26" s="657">
        <f t="shared" si="4"/>
        <v>1</v>
      </c>
      <c r="AC26" s="657">
        <f t="shared" si="5"/>
        <v>1</v>
      </c>
    </row>
    <row r="27" spans="1:29" s="420" customFormat="1" ht="15">
      <c r="A27" s="687"/>
      <c r="B27" s="1744" t="s">
        <v>1666</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22"/>
      <c r="Q27" s="666" t="str">
        <f t="shared" si="11"/>
        <v>成新率</v>
      </c>
      <c r="R27" s="667" t="s">
        <v>1221</v>
      </c>
      <c r="S27" s="668" t="e">
        <f t="shared" si="12"/>
        <v>#N/A</v>
      </c>
      <c r="T27" s="667" t="s">
        <v>1221</v>
      </c>
      <c r="U27" s="668" t="e">
        <f t="shared" si="13"/>
        <v>#N/A</v>
      </c>
      <c r="V27" s="667" t="s">
        <v>1221</v>
      </c>
      <c r="W27" s="668" t="e">
        <f t="shared" si="14"/>
        <v>#N/A</v>
      </c>
      <c r="X27" s="669"/>
      <c r="Y27" s="3222"/>
      <c r="Z27" s="678" t="str">
        <f t="shared" si="15"/>
        <v>成新率</v>
      </c>
      <c r="AA27" s="657" t="e">
        <f t="shared" si="3"/>
        <v>#N/A</v>
      </c>
      <c r="AB27" s="657" t="e">
        <f t="shared" si="4"/>
        <v>#N/A</v>
      </c>
      <c r="AC27" s="657" t="e">
        <f t="shared" si="5"/>
        <v>#N/A</v>
      </c>
    </row>
    <row r="28" spans="1:29" ht="15">
      <c r="A28" s="685"/>
      <c r="B28" s="1744" t="s">
        <v>1667</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22"/>
      <c r="Q28" s="598" t="str">
        <f t="shared" si="11"/>
        <v>物业等级</v>
      </c>
      <c r="R28" s="664" t="s">
        <v>1221</v>
      </c>
      <c r="S28" s="665">
        <f t="shared" si="12"/>
        <v>100</v>
      </c>
      <c r="T28" s="664" t="s">
        <v>1221</v>
      </c>
      <c r="U28" s="665">
        <f t="shared" si="13"/>
        <v>100</v>
      </c>
      <c r="V28" s="664" t="s">
        <v>1221</v>
      </c>
      <c r="W28" s="665">
        <f t="shared" si="14"/>
        <v>100</v>
      </c>
      <c r="X28" s="658"/>
      <c r="Y28" s="3222"/>
      <c r="Z28" s="657" t="str">
        <f t="shared" si="15"/>
        <v>物业等级</v>
      </c>
      <c r="AA28" s="657">
        <f t="shared" si="3"/>
        <v>1</v>
      </c>
      <c r="AB28" s="657">
        <f t="shared" si="4"/>
        <v>1</v>
      </c>
      <c r="AC28" s="657">
        <f t="shared" si="5"/>
        <v>1</v>
      </c>
    </row>
    <row r="29" spans="1:29" ht="15">
      <c r="A29" s="685"/>
      <c r="B29" s="1744" t="s">
        <v>1668</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22"/>
      <c r="Q29" s="598" t="str">
        <f t="shared" si="11"/>
        <v>有无电梯</v>
      </c>
      <c r="R29" s="664" t="s">
        <v>1221</v>
      </c>
      <c r="S29" s="665">
        <f t="shared" si="12"/>
        <v>100</v>
      </c>
      <c r="T29" s="664" t="s">
        <v>1221</v>
      </c>
      <c r="U29" s="665">
        <f t="shared" si="13"/>
        <v>100</v>
      </c>
      <c r="V29" s="664" t="s">
        <v>1221</v>
      </c>
      <c r="W29" s="665">
        <f t="shared" si="14"/>
        <v>100</v>
      </c>
      <c r="X29" s="658"/>
      <c r="Y29" s="3222"/>
      <c r="Z29" s="657" t="str">
        <f t="shared" si="15"/>
        <v>有无电梯</v>
      </c>
      <c r="AA29" s="657">
        <f t="shared" si="3"/>
        <v>1</v>
      </c>
      <c r="AB29" s="657">
        <f t="shared" si="4"/>
        <v>1</v>
      </c>
      <c r="AC29" s="657">
        <f t="shared" si="5"/>
        <v>1</v>
      </c>
    </row>
    <row r="30" spans="1:29" ht="15">
      <c r="A30" s="685"/>
      <c r="B30" s="1744" t="s">
        <v>658</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22"/>
      <c r="Q30" s="598" t="str">
        <f t="shared" si="11"/>
        <v>建筑面积</v>
      </c>
      <c r="R30" s="664" t="s">
        <v>1221</v>
      </c>
      <c r="S30" s="665" t="e">
        <f t="shared" si="12"/>
        <v>#N/A</v>
      </c>
      <c r="T30" s="664" t="s">
        <v>1221</v>
      </c>
      <c r="U30" s="665" t="e">
        <f t="shared" si="13"/>
        <v>#N/A</v>
      </c>
      <c r="V30" s="664" t="s">
        <v>1221</v>
      </c>
      <c r="W30" s="665" t="e">
        <f t="shared" si="14"/>
        <v>#N/A</v>
      </c>
      <c r="X30" s="658"/>
      <c r="Y30" s="3222"/>
      <c r="Z30" s="657" t="str">
        <f t="shared" si="15"/>
        <v>建筑面积</v>
      </c>
      <c r="AA30" s="657" t="e">
        <f t="shared" si="3"/>
        <v>#N/A</v>
      </c>
      <c r="AB30" s="657" t="e">
        <f t="shared" si="4"/>
        <v>#N/A</v>
      </c>
      <c r="AC30" s="657" t="e">
        <f t="shared" si="5"/>
        <v>#N/A</v>
      </c>
    </row>
    <row r="31" spans="1:29" s="418" customFormat="1" ht="15">
      <c r="A31" s="1770"/>
      <c r="B31" s="1744" t="s">
        <v>1669</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22"/>
      <c r="Q31" s="663" t="str">
        <f t="shared" si="11"/>
        <v>是否封闭</v>
      </c>
      <c r="R31" s="659" t="s">
        <v>1221</v>
      </c>
      <c r="S31" s="660">
        <f t="shared" si="12"/>
        <v>100</v>
      </c>
      <c r="T31" s="659" t="s">
        <v>1221</v>
      </c>
      <c r="U31" s="660">
        <f t="shared" si="13"/>
        <v>100</v>
      </c>
      <c r="V31" s="659" t="s">
        <v>1221</v>
      </c>
      <c r="W31" s="660">
        <f t="shared" si="14"/>
        <v>100</v>
      </c>
      <c r="X31" s="661"/>
      <c r="Y31" s="3222"/>
      <c r="Z31" s="677" t="str">
        <f t="shared" si="15"/>
        <v>是否封闭</v>
      </c>
      <c r="AA31" s="677">
        <f t="shared" si="3"/>
        <v>1</v>
      </c>
      <c r="AB31" s="677">
        <f t="shared" si="4"/>
        <v>1</v>
      </c>
      <c r="AC31" s="677">
        <f t="shared" si="5"/>
        <v>1</v>
      </c>
    </row>
    <row r="32" spans="1:29" ht="1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22" t="s">
        <v>1247</v>
      </c>
      <c r="Q32" s="598">
        <f t="shared" si="11"/>
        <v>111</v>
      </c>
      <c r="R32" s="664" t="s">
        <v>1221</v>
      </c>
      <c r="S32" s="665">
        <f t="shared" si="12"/>
        <v>100</v>
      </c>
      <c r="T32" s="664" t="s">
        <v>1221</v>
      </c>
      <c r="U32" s="665">
        <f t="shared" si="13"/>
        <v>100</v>
      </c>
      <c r="V32" s="664" t="s">
        <v>1221</v>
      </c>
      <c r="W32" s="665">
        <f t="shared" si="14"/>
        <v>100</v>
      </c>
      <c r="X32" s="658"/>
      <c r="Y32" s="3222" t="s">
        <v>1247</v>
      </c>
      <c r="Z32" s="657">
        <f t="shared" si="15"/>
        <v>111</v>
      </c>
      <c r="AA32" s="657">
        <f t="shared" si="3"/>
        <v>1</v>
      </c>
      <c r="AB32" s="657">
        <f t="shared" si="4"/>
        <v>1</v>
      </c>
      <c r="AC32" s="657">
        <f t="shared" si="5"/>
        <v>1</v>
      </c>
    </row>
    <row r="33" spans="1:30" ht="1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22"/>
      <c r="Q33" s="598">
        <f t="shared" si="11"/>
        <v>111</v>
      </c>
      <c r="R33" s="664" t="s">
        <v>1221</v>
      </c>
      <c r="S33" s="665">
        <f t="shared" si="12"/>
        <v>100</v>
      </c>
      <c r="T33" s="664" t="s">
        <v>1221</v>
      </c>
      <c r="U33" s="665">
        <f t="shared" si="13"/>
        <v>100</v>
      </c>
      <c r="V33" s="664" t="s">
        <v>1221</v>
      </c>
      <c r="W33" s="665">
        <f t="shared" si="14"/>
        <v>100</v>
      </c>
      <c r="X33" s="658"/>
      <c r="Y33" s="3222"/>
      <c r="Z33" s="657">
        <f t="shared" si="15"/>
        <v>111</v>
      </c>
      <c r="AA33" s="657">
        <f t="shared" si="3"/>
        <v>1</v>
      </c>
      <c r="AB33" s="657">
        <f t="shared" si="4"/>
        <v>1</v>
      </c>
      <c r="AC33" s="657">
        <f t="shared" si="5"/>
        <v>1</v>
      </c>
    </row>
    <row r="34" spans="1:30" ht="1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22"/>
      <c r="Q34" s="598">
        <f t="shared" si="11"/>
        <v>111</v>
      </c>
      <c r="R34" s="664" t="s">
        <v>1221</v>
      </c>
      <c r="S34" s="665">
        <f t="shared" si="12"/>
        <v>100</v>
      </c>
      <c r="T34" s="664" t="s">
        <v>1221</v>
      </c>
      <c r="U34" s="665">
        <f t="shared" si="13"/>
        <v>100</v>
      </c>
      <c r="V34" s="664" t="s">
        <v>1221</v>
      </c>
      <c r="W34" s="665">
        <f t="shared" si="14"/>
        <v>100</v>
      </c>
      <c r="X34" s="658"/>
      <c r="Y34" s="3222"/>
      <c r="Z34" s="657">
        <f t="shared" si="15"/>
        <v>111</v>
      </c>
      <c r="AA34" s="657">
        <f t="shared" si="3"/>
        <v>1</v>
      </c>
      <c r="AB34" s="657">
        <f t="shared" si="4"/>
        <v>1</v>
      </c>
      <c r="AC34" s="657">
        <f t="shared" si="5"/>
        <v>1</v>
      </c>
    </row>
    <row r="35" spans="1:30" ht="14.4">
      <c r="A35" s="520" t="s">
        <v>1267</v>
      </c>
      <c r="B35" s="1903"/>
      <c r="C35" s="522" t="s">
        <v>124</v>
      </c>
      <c r="D35" s="523"/>
      <c r="E35" s="524"/>
      <c r="F35" s="525"/>
      <c r="G35" s="526"/>
      <c r="H35" s="527"/>
      <c r="I35" s="524"/>
      <c r="J35" s="527"/>
      <c r="K35" s="1821"/>
      <c r="L35" s="610"/>
      <c r="M35" s="536"/>
      <c r="N35" s="536"/>
      <c r="O35" s="536"/>
      <c r="P35" s="3213" t="str">
        <f>A35</f>
        <v>成交单价（元/平方米）</v>
      </c>
      <c r="Q35" s="3213"/>
      <c r="R35" s="3214">
        <f>E35</f>
        <v>0</v>
      </c>
      <c r="S35" s="3214"/>
      <c r="T35" s="3214">
        <f>G35</f>
        <v>0</v>
      </c>
      <c r="U35" s="3214"/>
      <c r="V35" s="3214">
        <f>I35</f>
        <v>0</v>
      </c>
      <c r="W35" s="3214"/>
      <c r="X35" s="670"/>
      <c r="Y35" s="679"/>
      <c r="Z35" s="670"/>
      <c r="AA35" s="670"/>
      <c r="AB35" s="670"/>
      <c r="AC35" s="670"/>
    </row>
    <row r="36" spans="1:30" ht="14.4">
      <c r="A36" s="528" t="s">
        <v>1268</v>
      </c>
      <c r="B36" s="529"/>
      <c r="C36" s="530" t="e">
        <f>R37</f>
        <v>#DIV/0!</v>
      </c>
      <c r="D36" s="531" t="s">
        <v>1269</v>
      </c>
      <c r="E36" s="532" t="e">
        <f>R36</f>
        <v>#DIV/0!</v>
      </c>
      <c r="F36" s="533"/>
      <c r="G36" s="530" t="e">
        <f>T36</f>
        <v>#DIV/0!</v>
      </c>
      <c r="H36" s="533"/>
      <c r="I36" s="532" t="e">
        <f>V36</f>
        <v>#DIV/0!</v>
      </c>
      <c r="J36" s="533"/>
      <c r="K36" s="611">
        <f>F36+H36+J36</f>
        <v>0</v>
      </c>
      <c r="L36" s="610"/>
      <c r="M36" s="536"/>
      <c r="N36" s="536"/>
      <c r="O36" s="536"/>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670"/>
      <c r="Y36" s="670"/>
      <c r="Z36" s="670"/>
      <c r="AA36" s="670"/>
      <c r="AB36" s="670"/>
      <c r="AC36" s="670"/>
    </row>
    <row r="37" spans="1:30" ht="14.4">
      <c r="A37" s="534" t="s">
        <v>1270</v>
      </c>
      <c r="B37" s="535"/>
      <c r="C37" s="451" t="e">
        <f>R37</f>
        <v>#DIV/0!</v>
      </c>
      <c r="D37" s="451"/>
      <c r="E37" s="451"/>
      <c r="F37" s="451"/>
      <c r="G37" s="451"/>
      <c r="H37" s="451"/>
      <c r="I37" s="451"/>
      <c r="J37" s="451"/>
      <c r="K37" s="1822"/>
      <c r="L37" s="610"/>
      <c r="M37" s="536"/>
      <c r="N37" s="536"/>
      <c r="O37" s="536"/>
      <c r="P37" s="3273" t="str">
        <f>A37</f>
        <v>估价对象XX用房的比较价值（楼面单价，元/平方米）</v>
      </c>
      <c r="Q37" s="3274"/>
      <c r="R37" s="3284" t="e">
        <f>IF(F1="售价",ROUND(IF(D36="简单平均",AVERAGE(R36:W36),R36*F36+T36*H36+V36*J36),0),ROUND(IF(D36="简单平均",AVERAGE(R36:V36),R36*F36+T36*H36+V36*J36),1))</f>
        <v>#DIV/0!</v>
      </c>
      <c r="S37" s="3284"/>
      <c r="T37" s="3284"/>
      <c r="U37" s="3284"/>
      <c r="V37" s="3284"/>
      <c r="W37" s="3284"/>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1271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1272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1273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6">
      <c r="A45" s="1807" t="s">
        <v>1274</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ht="14.4">
      <c r="A46" s="550" t="s">
        <v>1219</v>
      </c>
      <c r="B46" s="551"/>
      <c r="C46" s="552" t="str">
        <f>YEAR(C7)&amp;"-"&amp;MONTH(C7)</f>
        <v>2022-12</v>
      </c>
      <c r="D46" s="553">
        <f>EDATE(C46,-1)</f>
        <v>44866</v>
      </c>
      <c r="E46" s="553">
        <f t="shared" ref="E46:O46" si="16">EDATE(D46,-1)</f>
        <v>44835</v>
      </c>
      <c r="F46" s="553">
        <f t="shared" si="16"/>
        <v>44805</v>
      </c>
      <c r="G46" s="553">
        <f t="shared" si="16"/>
        <v>44774</v>
      </c>
      <c r="H46" s="553">
        <f t="shared" si="16"/>
        <v>44743</v>
      </c>
      <c r="I46" s="553">
        <f t="shared" si="16"/>
        <v>44713</v>
      </c>
      <c r="J46" s="553">
        <f t="shared" si="16"/>
        <v>44682</v>
      </c>
      <c r="K46" s="553">
        <f t="shared" si="16"/>
        <v>44652</v>
      </c>
      <c r="L46" s="553">
        <f t="shared" si="16"/>
        <v>44621</v>
      </c>
      <c r="M46" s="553">
        <f t="shared" si="16"/>
        <v>44593</v>
      </c>
      <c r="N46" s="553">
        <f t="shared" si="16"/>
        <v>44562</v>
      </c>
      <c r="O46" s="553">
        <f t="shared" si="16"/>
        <v>44531</v>
      </c>
      <c r="P46" s="672"/>
      <c r="Q46" s="672"/>
      <c r="R46" s="672"/>
      <c r="S46" s="672"/>
      <c r="T46" s="672"/>
      <c r="U46" s="672"/>
      <c r="V46" s="672"/>
      <c r="W46" s="672"/>
      <c r="X46" s="672"/>
      <c r="Y46" s="672"/>
      <c r="Z46" s="672"/>
      <c r="AA46" s="672"/>
      <c r="AB46" s="672"/>
      <c r="AC46" s="672"/>
      <c r="AD46" s="672"/>
    </row>
    <row r="47" spans="1:30" s="418" customFormat="1">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ht="14.4">
      <c r="A48" s="557" t="s">
        <v>1275</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ht="14.4">
      <c r="A49" s="561" t="s">
        <v>1222</v>
      </c>
      <c r="B49" s="554"/>
      <c r="C49" s="562" t="s">
        <v>1223</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ht="14.4">
      <c r="A51" s="565" t="s">
        <v>1276</v>
      </c>
      <c r="B51" s="566" t="s">
        <v>1226</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8.8">
      <c r="A53" s="569"/>
      <c r="B53" s="572" t="s">
        <v>1229</v>
      </c>
      <c r="C53" s="573" t="s">
        <v>1278</v>
      </c>
      <c r="D53" s="573" t="s">
        <v>1279</v>
      </c>
      <c r="E53" s="573" t="s">
        <v>1280</v>
      </c>
      <c r="F53" s="573" t="s">
        <v>1281</v>
      </c>
      <c r="G53" s="573" t="s">
        <v>1282</v>
      </c>
      <c r="H53" s="573" t="s">
        <v>1283</v>
      </c>
      <c r="I53" s="573" t="s">
        <v>1284</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c r="A54" s="569"/>
      <c r="B54" s="574"/>
      <c r="C54" s="575" t="s">
        <v>1285</v>
      </c>
      <c r="D54" s="575" t="s">
        <v>1285</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ht="14.4">
      <c r="A61" s="565" t="s">
        <v>1233</v>
      </c>
      <c r="B61" s="566" t="s">
        <v>1238</v>
      </c>
      <c r="C61" s="583" t="s">
        <v>1286</v>
      </c>
      <c r="D61" s="583" t="s">
        <v>1287</v>
      </c>
      <c r="E61" s="583" t="s">
        <v>1288</v>
      </c>
      <c r="F61" s="583" t="s">
        <v>1289</v>
      </c>
      <c r="G61" s="583" t="s">
        <v>1290</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8.8">
      <c r="A63" s="569"/>
      <c r="B63" s="572" t="s">
        <v>1670</v>
      </c>
      <c r="C63" s="680" t="s">
        <v>1286</v>
      </c>
      <c r="D63" s="680" t="s">
        <v>1287</v>
      </c>
      <c r="E63" s="680" t="s">
        <v>1288</v>
      </c>
      <c r="F63" s="680" t="s">
        <v>1289</v>
      </c>
      <c r="G63" s="680" t="s">
        <v>1290</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ht="14.4">
      <c r="A65" s="569"/>
      <c r="B65" s="681" t="s">
        <v>1240</v>
      </c>
      <c r="C65" s="576" t="s">
        <v>1291</v>
      </c>
      <c r="D65" s="576" t="s">
        <v>1292</v>
      </c>
      <c r="E65" s="576" t="s">
        <v>1293</v>
      </c>
      <c r="F65" s="576" t="s">
        <v>1294</v>
      </c>
      <c r="G65" s="576" t="s">
        <v>1295</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ht="14.4">
      <c r="A67" s="569"/>
      <c r="B67" s="572" t="s">
        <v>1627</v>
      </c>
      <c r="C67" s="680" t="s">
        <v>1286</v>
      </c>
      <c r="D67" s="680" t="s">
        <v>1287</v>
      </c>
      <c r="E67" s="680" t="s">
        <v>1288</v>
      </c>
      <c r="F67" s="680" t="s">
        <v>1289</v>
      </c>
      <c r="G67" s="680" t="s">
        <v>1290</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ht="14.4">
      <c r="A69" s="569"/>
      <c r="B69" s="572" t="s">
        <v>1243</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ht="14.4">
      <c r="A77" s="565" t="s">
        <v>1245</v>
      </c>
      <c r="B77" s="566" t="s">
        <v>1251</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ht="14.4">
      <c r="A79" s="569"/>
      <c r="B79" s="572" t="s">
        <v>1666</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ht="14.4">
      <c r="A82" s="685"/>
      <c r="B82" s="681" t="s">
        <v>1667</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ht="14.4">
      <c r="A84" s="685"/>
      <c r="B84" s="572" t="s">
        <v>1668</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ht="14.4">
      <c r="A86" s="685"/>
      <c r="B86" s="681" t="s">
        <v>658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ht="14.4">
      <c r="A89" s="687"/>
      <c r="B89" s="572" t="s">
        <v>1669</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3.8"/>
  <cols>
    <col min="1" max="1" width="14.33203125" style="423" customWidth="1"/>
    <col min="2" max="2" width="15.77734375" style="423" customWidth="1"/>
    <col min="3" max="3" width="14.33203125" style="423" customWidth="1"/>
    <col min="4" max="4" width="14.1093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423"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7" customFormat="1" ht="28.5" customHeight="1">
      <c r="A1" s="1731" t="s">
        <v>1671</v>
      </c>
      <c r="B1" s="1732"/>
      <c r="C1" s="655" t="s">
        <v>1672</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#DIV/0!</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28" t="s">
        <v>1212</v>
      </c>
      <c r="AC4" s="3276" t="s">
        <v>1213</v>
      </c>
    </row>
    <row r="5" spans="1:29">
      <c r="A5" s="448"/>
      <c r="B5" s="449"/>
      <c r="C5" s="3199" t="s">
        <v>1216</v>
      </c>
      <c r="D5" s="3200"/>
      <c r="E5" s="3272" t="s">
        <v>1623</v>
      </c>
      <c r="F5" s="3202"/>
      <c r="G5" s="3199" t="s">
        <v>1624</v>
      </c>
      <c r="H5" s="3200"/>
      <c r="I5" s="3199" t="s">
        <v>1625</v>
      </c>
      <c r="J5" s="3200"/>
      <c r="K5" s="592"/>
      <c r="L5" s="593"/>
      <c r="M5" s="536"/>
      <c r="N5" s="536"/>
      <c r="O5" s="536"/>
      <c r="P5" s="3279"/>
      <c r="Q5" s="3236"/>
      <c r="R5" s="3241"/>
      <c r="S5" s="3242"/>
      <c r="T5" s="3241"/>
      <c r="U5" s="3242"/>
      <c r="V5" s="3214"/>
      <c r="W5" s="3214"/>
      <c r="X5" s="658"/>
      <c r="Y5" s="3241"/>
      <c r="Z5" s="3242"/>
      <c r="AA5" s="3228"/>
      <c r="AB5" s="3228"/>
      <c r="AC5" s="3228"/>
    </row>
    <row r="6" spans="1:29" ht="14.4">
      <c r="A6" s="450"/>
      <c r="B6" s="451"/>
      <c r="C6" s="3204" t="s">
        <v>1217</v>
      </c>
      <c r="D6" s="3205"/>
      <c r="E6" s="3206" t="s">
        <v>1217</v>
      </c>
      <c r="F6" s="3207"/>
      <c r="G6" s="3204" t="s">
        <v>1217</v>
      </c>
      <c r="H6" s="3205"/>
      <c r="I6" s="3204" t="s">
        <v>1217</v>
      </c>
      <c r="J6" s="3205"/>
      <c r="K6" s="592" t="s">
        <v>1218</v>
      </c>
      <c r="L6" s="593"/>
      <c r="M6" s="536"/>
      <c r="N6" s="536"/>
      <c r="O6" s="536"/>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10" t="s">
        <v>1220</v>
      </c>
      <c r="Q7" s="3209"/>
      <c r="R7" s="659" t="s">
        <v>1221</v>
      </c>
      <c r="S7" s="660">
        <f t="shared" ref="S7:S15" si="0">F7</f>
        <v>0</v>
      </c>
      <c r="T7" s="659" t="s">
        <v>1221</v>
      </c>
      <c r="U7" s="660">
        <f t="shared" ref="U7:U15" si="1">H7</f>
        <v>0</v>
      </c>
      <c r="V7" s="659" t="s">
        <v>1221</v>
      </c>
      <c r="W7" s="660">
        <f t="shared" ref="W7:W15"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458"/>
      <c r="F8" s="457">
        <f>SUMIF(73:73,E8,74:74)-SUMIF(73:73,C8,74:74)+100</f>
        <v>0</v>
      </c>
      <c r="G8" s="458"/>
      <c r="H8" s="455">
        <f>SUMIF(73:73,G8,74:74)-SUMIF(73:73,C8,74:74)+100</f>
        <v>0</v>
      </c>
      <c r="I8" s="458"/>
      <c r="J8" s="455">
        <f>SUMIF(73:73,I8,74:74)-SUMIF(73:73,C8,74:74)+100</f>
        <v>0</v>
      </c>
      <c r="K8" s="594"/>
      <c r="L8" s="595"/>
      <c r="M8" s="596"/>
      <c r="N8" s="596"/>
      <c r="O8" s="596"/>
      <c r="P8" s="3210" t="s">
        <v>1224</v>
      </c>
      <c r="Q8" s="3211"/>
      <c r="R8" s="659" t="s">
        <v>1221</v>
      </c>
      <c r="S8" s="660">
        <f t="shared" si="0"/>
        <v>0</v>
      </c>
      <c r="T8" s="659" t="s">
        <v>1221</v>
      </c>
      <c r="U8" s="660">
        <f t="shared" si="1"/>
        <v>0</v>
      </c>
      <c r="V8" s="659" t="s">
        <v>1221</v>
      </c>
      <c r="W8" s="660">
        <f t="shared" si="2"/>
        <v>0</v>
      </c>
      <c r="X8" s="661"/>
      <c r="Y8" s="3210" t="s">
        <v>1224</v>
      </c>
      <c r="Z8" s="3211"/>
      <c r="AA8" s="677" t="e">
        <f t="shared" ref="AA8:AA45" si="3">D8/F8</f>
        <v>#DIV/0!</v>
      </c>
      <c r="AB8" s="677" t="e">
        <f t="shared" ref="AB8:AB45" si="4">D8/H8</f>
        <v>#DIV/0!</v>
      </c>
      <c r="AC8" s="677" t="e">
        <f t="shared" ref="AC8:AC45" si="5">D8/J8</f>
        <v>#DIV/0!</v>
      </c>
    </row>
    <row r="9" spans="1:29" s="418" customFormat="1" ht="14.4">
      <c r="A9" s="1740" t="s">
        <v>1225</v>
      </c>
      <c r="B9" s="1741" t="s">
        <v>1226</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13" t="s">
        <v>1227</v>
      </c>
      <c r="Q9" s="663" t="str">
        <f t="shared" ref="Q9:Q15" si="6">B9</f>
        <v>用途</v>
      </c>
      <c r="R9" s="659" t="s">
        <v>1221</v>
      </c>
      <c r="S9" s="660">
        <f t="shared" si="0"/>
        <v>100</v>
      </c>
      <c r="T9" s="659" t="s">
        <v>1221</v>
      </c>
      <c r="U9" s="660">
        <f t="shared" si="1"/>
        <v>100</v>
      </c>
      <c r="V9" s="659" t="s">
        <v>1221</v>
      </c>
      <c r="W9" s="660">
        <f t="shared" si="2"/>
        <v>100</v>
      </c>
      <c r="X9" s="661"/>
      <c r="Y9" s="3186" t="s">
        <v>1228</v>
      </c>
      <c r="Z9" s="677" t="str">
        <f t="shared" ref="Z9:Z15" si="7">Q9</f>
        <v>用途</v>
      </c>
      <c r="AA9" s="677">
        <f t="shared" si="3"/>
        <v>1</v>
      </c>
      <c r="AB9" s="677">
        <f t="shared" si="4"/>
        <v>1</v>
      </c>
      <c r="AC9" s="677">
        <f t="shared" si="5"/>
        <v>1</v>
      </c>
    </row>
    <row r="10" spans="1:29" s="419" customFormat="1" ht="28.8">
      <c r="A10" s="1743"/>
      <c r="B10" s="1744" t="s">
        <v>1229</v>
      </c>
      <c r="C10" s="472"/>
      <c r="D10" s="468">
        <v>100</v>
      </c>
      <c r="E10" s="1867"/>
      <c r="F10" s="468">
        <f>ROUND(100/'数据-取费表'!G16,0)</f>
        <v>121</v>
      </c>
      <c r="G10" s="1868"/>
      <c r="H10" s="468">
        <f>ROUND(100/'数据-取费表'!G16,0)</f>
        <v>121</v>
      </c>
      <c r="I10" s="1868"/>
      <c r="J10" s="468">
        <f>ROUND(100/'数据-取费表'!G16,0)</f>
        <v>121</v>
      </c>
      <c r="K10" s="1814"/>
      <c r="L10" s="600"/>
      <c r="M10" s="601"/>
      <c r="N10" s="601"/>
      <c r="O10" s="1815"/>
      <c r="P10" s="3213"/>
      <c r="Q10" s="663" t="str">
        <f t="shared" si="6"/>
        <v>土地使用年限（年）</v>
      </c>
      <c r="R10" s="659" t="s">
        <v>1221</v>
      </c>
      <c r="S10" s="660">
        <f t="shared" si="0"/>
        <v>121</v>
      </c>
      <c r="T10" s="659" t="s">
        <v>1221</v>
      </c>
      <c r="U10" s="660">
        <f t="shared" si="1"/>
        <v>121</v>
      </c>
      <c r="V10" s="659" t="s">
        <v>1221</v>
      </c>
      <c r="W10" s="660">
        <f t="shared" si="2"/>
        <v>121</v>
      </c>
      <c r="X10" s="661"/>
      <c r="Y10" s="3186"/>
      <c r="Z10" s="677" t="str">
        <f t="shared" si="7"/>
        <v>土地使用年限（年）</v>
      </c>
      <c r="AA10" s="677">
        <f t="shared" si="3"/>
        <v>0.82644628099173556</v>
      </c>
      <c r="AB10" s="677">
        <f t="shared" si="4"/>
        <v>0.82644628099173556</v>
      </c>
      <c r="AC10" s="677">
        <f t="shared" si="5"/>
        <v>0.82644628099173556</v>
      </c>
    </row>
    <row r="11" spans="1:29" ht="15">
      <c r="A11" s="569"/>
      <c r="B11" s="1744" t="s">
        <v>1232</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13"/>
      <c r="Q11" s="663" t="str">
        <f t="shared" si="6"/>
        <v>容积率</v>
      </c>
      <c r="R11" s="659" t="s">
        <v>1221</v>
      </c>
      <c r="S11" s="660" t="e">
        <f t="shared" si="0"/>
        <v>#N/A</v>
      </c>
      <c r="T11" s="659" t="s">
        <v>1221</v>
      </c>
      <c r="U11" s="660" t="e">
        <f t="shared" si="1"/>
        <v>#N/A</v>
      </c>
      <c r="V11" s="659" t="s">
        <v>1221</v>
      </c>
      <c r="W11" s="660" t="e">
        <f t="shared" si="2"/>
        <v>#N/A</v>
      </c>
      <c r="X11" s="661"/>
      <c r="Y11" s="3186"/>
      <c r="Z11" s="677" t="str">
        <f t="shared" si="7"/>
        <v>容积率</v>
      </c>
      <c r="AA11" s="677" t="e">
        <f t="shared" si="3"/>
        <v>#N/A</v>
      </c>
      <c r="AB11" s="677" t="e">
        <f t="shared" si="4"/>
        <v>#N/A</v>
      </c>
      <c r="AC11" s="677" t="e">
        <f t="shared" si="5"/>
        <v>#N/A</v>
      </c>
    </row>
    <row r="12" spans="1:29" s="418" customFormat="1" ht="15">
      <c r="A12" s="683"/>
      <c r="B12" s="624" t="s">
        <v>1673</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13"/>
      <c r="Q12" s="663" t="str">
        <f t="shared" si="6"/>
        <v>配建</v>
      </c>
      <c r="R12" s="659" t="s">
        <v>1221</v>
      </c>
      <c r="S12" s="660">
        <f t="shared" si="0"/>
        <v>100</v>
      </c>
      <c r="T12" s="659" t="s">
        <v>1221</v>
      </c>
      <c r="U12" s="660">
        <f t="shared" si="1"/>
        <v>100</v>
      </c>
      <c r="V12" s="659" t="s">
        <v>1221</v>
      </c>
      <c r="W12" s="660">
        <f t="shared" si="2"/>
        <v>100</v>
      </c>
      <c r="X12" s="661"/>
      <c r="Y12" s="3186"/>
      <c r="Z12" s="677" t="str">
        <f t="shared" si="7"/>
        <v>配建</v>
      </c>
      <c r="AA12" s="677">
        <f t="shared" si="3"/>
        <v>1</v>
      </c>
      <c r="AB12" s="677">
        <f t="shared" si="4"/>
        <v>1</v>
      </c>
      <c r="AC12" s="677">
        <f t="shared" si="5"/>
        <v>1</v>
      </c>
    </row>
    <row r="13" spans="1:29" ht="1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13"/>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1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13"/>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677">
        <f t="shared" si="5"/>
        <v>1</v>
      </c>
    </row>
    <row r="15" spans="1:29" ht="96.6">
      <c r="A15" s="565" t="s">
        <v>1233</v>
      </c>
      <c r="B15" s="1869" t="s">
        <v>1626</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20" t="s">
        <v>1235</v>
      </c>
      <c r="Q15" s="598" t="str">
        <f t="shared" si="6"/>
        <v>居住社区成熟度</v>
      </c>
      <c r="R15" s="664" t="s">
        <v>1221</v>
      </c>
      <c r="S15" s="665">
        <f t="shared" si="0"/>
        <v>100</v>
      </c>
      <c r="T15" s="664" t="s">
        <v>1221</v>
      </c>
      <c r="U15" s="665">
        <f t="shared" si="1"/>
        <v>100</v>
      </c>
      <c r="V15" s="664" t="s">
        <v>1221</v>
      </c>
      <c r="W15" s="665">
        <f t="shared" si="2"/>
        <v>100</v>
      </c>
      <c r="X15" s="658"/>
      <c r="Y15" s="3220" t="s">
        <v>1235</v>
      </c>
      <c r="Z15" s="657" t="str">
        <f t="shared" si="7"/>
        <v>居住社区成熟度</v>
      </c>
      <c r="AA15" s="657">
        <f t="shared" si="3"/>
        <v>1</v>
      </c>
      <c r="AB15" s="657">
        <f t="shared" si="4"/>
        <v>1</v>
      </c>
      <c r="AC15" s="657">
        <f t="shared" si="5"/>
        <v>1</v>
      </c>
    </row>
    <row r="16" spans="1:29" ht="15">
      <c r="A16" s="569"/>
      <c r="B16" s="670"/>
      <c r="C16" s="485"/>
      <c r="D16" s="486"/>
      <c r="E16" s="1753"/>
      <c r="F16" s="486"/>
      <c r="G16" s="1753"/>
      <c r="H16" s="488"/>
      <c r="I16" s="1874"/>
      <c r="J16" s="486"/>
      <c r="K16" s="1814"/>
      <c r="L16" s="604"/>
      <c r="M16" s="536"/>
      <c r="N16" s="536"/>
      <c r="O16" s="1817"/>
      <c r="P16" s="3221"/>
      <c r="Q16" s="598"/>
      <c r="R16" s="664"/>
      <c r="S16" s="665"/>
      <c r="T16" s="664"/>
      <c r="U16" s="665"/>
      <c r="V16" s="664"/>
      <c r="W16" s="665"/>
      <c r="X16" s="658"/>
      <c r="Y16" s="3221"/>
      <c r="Z16" s="657"/>
      <c r="AA16" s="657">
        <v>1</v>
      </c>
      <c r="AB16" s="657">
        <v>1</v>
      </c>
      <c r="AC16" s="657">
        <v>1</v>
      </c>
    </row>
    <row r="17" spans="1:29" ht="82.8">
      <c r="A17" s="569"/>
      <c r="B17" s="1871" t="s">
        <v>1653</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21"/>
      <c r="Q17" s="598" t="str">
        <f>B17</f>
        <v>商业繁华度</v>
      </c>
      <c r="R17" s="664" t="s">
        <v>1221</v>
      </c>
      <c r="S17" s="665">
        <f>F17</f>
        <v>100</v>
      </c>
      <c r="T17" s="664" t="s">
        <v>1221</v>
      </c>
      <c r="U17" s="665">
        <f>H17</f>
        <v>100</v>
      </c>
      <c r="V17" s="664" t="s">
        <v>1221</v>
      </c>
      <c r="W17" s="665">
        <f>J17</f>
        <v>100</v>
      </c>
      <c r="X17" s="658"/>
      <c r="Y17" s="3221"/>
      <c r="Z17" s="657" t="str">
        <f>Q17</f>
        <v>商业繁华度</v>
      </c>
      <c r="AA17" s="657">
        <f t="shared" si="3"/>
        <v>1</v>
      </c>
      <c r="AB17" s="657">
        <f t="shared" si="4"/>
        <v>1</v>
      </c>
      <c r="AC17" s="657">
        <f t="shared" si="5"/>
        <v>1</v>
      </c>
    </row>
    <row r="18" spans="1:29" ht="15">
      <c r="A18" s="569"/>
      <c r="B18" s="1767"/>
      <c r="C18" s="496"/>
      <c r="D18" s="488"/>
      <c r="E18" s="1872"/>
      <c r="F18" s="488"/>
      <c r="G18" s="1872"/>
      <c r="H18" s="486"/>
      <c r="I18" s="1880"/>
      <c r="J18" s="486"/>
      <c r="K18" s="1814"/>
      <c r="L18" s="604"/>
      <c r="M18" s="536"/>
      <c r="N18" s="536"/>
      <c r="O18" s="1817"/>
      <c r="P18" s="3221"/>
      <c r="Q18" s="598"/>
      <c r="R18" s="664"/>
      <c r="S18" s="665"/>
      <c r="T18" s="664"/>
      <c r="U18" s="665"/>
      <c r="V18" s="664"/>
      <c r="W18" s="665"/>
      <c r="X18" s="658"/>
      <c r="Y18" s="3221"/>
      <c r="Z18" s="657"/>
      <c r="AA18" s="657">
        <v>1</v>
      </c>
      <c r="AB18" s="657">
        <v>1</v>
      </c>
      <c r="AC18" s="657">
        <v>1</v>
      </c>
    </row>
    <row r="19" spans="1:29" ht="82.8">
      <c r="A19" s="569"/>
      <c r="B19" s="1871" t="s">
        <v>1234</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21"/>
      <c r="Q19" s="598" t="str">
        <f>B19</f>
        <v>办公集聚程度</v>
      </c>
      <c r="R19" s="664" t="s">
        <v>1221</v>
      </c>
      <c r="S19" s="665">
        <f>F19</f>
        <v>100</v>
      </c>
      <c r="T19" s="664" t="s">
        <v>1221</v>
      </c>
      <c r="U19" s="665">
        <f>H19</f>
        <v>100</v>
      </c>
      <c r="V19" s="664" t="s">
        <v>1221</v>
      </c>
      <c r="W19" s="665">
        <f>J19</f>
        <v>100</v>
      </c>
      <c r="X19" s="658"/>
      <c r="Y19" s="3221"/>
      <c r="Z19" s="657" t="str">
        <f>Q19</f>
        <v>办公集聚程度</v>
      </c>
      <c r="AA19" s="657">
        <f t="shared" si="3"/>
        <v>1</v>
      </c>
      <c r="AB19" s="657">
        <f t="shared" si="4"/>
        <v>1</v>
      </c>
      <c r="AC19" s="657">
        <f t="shared" si="5"/>
        <v>1</v>
      </c>
    </row>
    <row r="20" spans="1:29" ht="15">
      <c r="A20" s="569"/>
      <c r="B20" s="1767"/>
      <c r="C20" s="485"/>
      <c r="D20" s="486"/>
      <c r="E20" s="1753"/>
      <c r="F20" s="486"/>
      <c r="G20" s="1753"/>
      <c r="H20" s="486"/>
      <c r="I20" s="1874"/>
      <c r="J20" s="486"/>
      <c r="K20" s="1814"/>
      <c r="L20" s="604"/>
      <c r="M20" s="536"/>
      <c r="N20" s="536"/>
      <c r="O20" s="1817"/>
      <c r="P20" s="3221"/>
      <c r="Q20" s="598"/>
      <c r="R20" s="664"/>
      <c r="S20" s="665"/>
      <c r="T20" s="664"/>
      <c r="U20" s="665"/>
      <c r="V20" s="664"/>
      <c r="W20" s="665"/>
      <c r="X20" s="658"/>
      <c r="Y20" s="3221"/>
      <c r="Z20" s="657"/>
      <c r="AA20" s="657">
        <v>1</v>
      </c>
      <c r="AB20" s="657">
        <v>1</v>
      </c>
      <c r="AC20" s="657">
        <v>1</v>
      </c>
    </row>
    <row r="21" spans="1:29" ht="96.6">
      <c r="A21" s="569"/>
      <c r="B21" s="1871" t="s">
        <v>1238</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21"/>
      <c r="Q21" s="598" t="str">
        <f>B21</f>
        <v>交通便捷度</v>
      </c>
      <c r="R21" s="664" t="s">
        <v>1221</v>
      </c>
      <c r="S21" s="665">
        <f>F21</f>
        <v>100</v>
      </c>
      <c r="T21" s="664" t="s">
        <v>1221</v>
      </c>
      <c r="U21" s="665">
        <f>H21</f>
        <v>100</v>
      </c>
      <c r="V21" s="664" t="s">
        <v>1221</v>
      </c>
      <c r="W21" s="665">
        <f>J21</f>
        <v>100</v>
      </c>
      <c r="X21" s="658"/>
      <c r="Y21" s="3221"/>
      <c r="Z21" s="657" t="str">
        <f>Q21</f>
        <v>交通便捷度</v>
      </c>
      <c r="AA21" s="657">
        <f t="shared" si="3"/>
        <v>1</v>
      </c>
      <c r="AB21" s="657">
        <f t="shared" si="4"/>
        <v>1</v>
      </c>
      <c r="AC21" s="657">
        <f t="shared" si="5"/>
        <v>1</v>
      </c>
    </row>
    <row r="22" spans="1:29" ht="15">
      <c r="A22" s="569"/>
      <c r="B22" s="1873"/>
      <c r="C22" s="485"/>
      <c r="D22" s="488"/>
      <c r="E22" s="1753"/>
      <c r="F22" s="486"/>
      <c r="G22" s="1753"/>
      <c r="H22" s="486"/>
      <c r="I22" s="1874"/>
      <c r="J22" s="486"/>
      <c r="K22" s="1814"/>
      <c r="L22" s="604"/>
      <c r="M22" s="536"/>
      <c r="N22" s="536"/>
      <c r="O22" s="1817"/>
      <c r="P22" s="3221"/>
      <c r="Q22" s="598"/>
      <c r="R22" s="664"/>
      <c r="S22" s="665"/>
      <c r="T22" s="664"/>
      <c r="U22" s="665"/>
      <c r="V22" s="664"/>
      <c r="W22" s="665"/>
      <c r="X22" s="658"/>
      <c r="Y22" s="3221"/>
      <c r="Z22" s="657"/>
      <c r="AA22" s="657">
        <v>1</v>
      </c>
      <c r="AB22" s="657">
        <v>1</v>
      </c>
      <c r="AC22" s="657">
        <v>1</v>
      </c>
    </row>
    <row r="23" spans="1:29" ht="28.8">
      <c r="A23" s="448"/>
      <c r="B23" s="1871" t="s">
        <v>1674</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21"/>
      <c r="Q23" s="598" t="str">
        <f t="shared" ref="Q23:Q38" si="8">B23</f>
        <v>区域土地利用方向</v>
      </c>
      <c r="R23" s="664" t="s">
        <v>1221</v>
      </c>
      <c r="S23" s="665">
        <f>F23</f>
        <v>100</v>
      </c>
      <c r="T23" s="664" t="s">
        <v>1221</v>
      </c>
      <c r="U23" s="665">
        <f>H23</f>
        <v>100</v>
      </c>
      <c r="V23" s="664" t="s">
        <v>1221</v>
      </c>
      <c r="W23" s="665">
        <f>J23</f>
        <v>100</v>
      </c>
      <c r="X23" s="658"/>
      <c r="Y23" s="3221"/>
      <c r="Z23" s="657" t="str">
        <f>Q23</f>
        <v>区域土地利用方向</v>
      </c>
      <c r="AA23" s="657">
        <f t="shared" si="3"/>
        <v>1</v>
      </c>
      <c r="AB23" s="657">
        <f t="shared" si="4"/>
        <v>1</v>
      </c>
      <c r="AC23" s="657">
        <f t="shared" si="5"/>
        <v>1</v>
      </c>
    </row>
    <row r="24" spans="1:29" ht="15">
      <c r="A24" s="448"/>
      <c r="B24" s="1767"/>
      <c r="C24" s="501"/>
      <c r="D24" s="486"/>
      <c r="E24" s="1753"/>
      <c r="F24" s="486"/>
      <c r="G24" s="1874"/>
      <c r="H24" s="486"/>
      <c r="I24" s="1874"/>
      <c r="J24" s="486"/>
      <c r="K24" s="1818"/>
      <c r="L24" s="604"/>
      <c r="M24" s="536"/>
      <c r="N24" s="536"/>
      <c r="O24" s="1817"/>
      <c r="P24" s="3221"/>
      <c r="Q24" s="598"/>
      <c r="R24" s="664"/>
      <c r="S24" s="665"/>
      <c r="T24" s="664"/>
      <c r="U24" s="665"/>
      <c r="V24" s="664"/>
      <c r="W24" s="665"/>
      <c r="X24" s="658"/>
      <c r="Y24" s="3221"/>
      <c r="Z24" s="657"/>
      <c r="AA24" s="657"/>
      <c r="AB24" s="657"/>
      <c r="AC24" s="657"/>
    </row>
    <row r="25" spans="1:29" ht="55.2">
      <c r="A25" s="448"/>
      <c r="B25" s="1873" t="s">
        <v>1675</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21"/>
      <c r="Q25" s="598" t="str">
        <f t="shared" si="8"/>
        <v>自然及人文环境状况</v>
      </c>
      <c r="R25" s="664" t="s">
        <v>1221</v>
      </c>
      <c r="S25" s="665">
        <f>F25</f>
        <v>100</v>
      </c>
      <c r="T25" s="664" t="s">
        <v>1221</v>
      </c>
      <c r="U25" s="665">
        <f>H25</f>
        <v>100</v>
      </c>
      <c r="V25" s="664" t="s">
        <v>1221</v>
      </c>
      <c r="W25" s="665">
        <f>J25</f>
        <v>100</v>
      </c>
      <c r="X25" s="658"/>
      <c r="Y25" s="3221"/>
      <c r="Z25" s="657" t="str">
        <f>Q25</f>
        <v>自然及人文环境状况</v>
      </c>
      <c r="AA25" s="657">
        <f t="shared" si="3"/>
        <v>1</v>
      </c>
      <c r="AB25" s="657">
        <f t="shared" si="4"/>
        <v>1</v>
      </c>
      <c r="AC25" s="657">
        <f t="shared" si="5"/>
        <v>1</v>
      </c>
    </row>
    <row r="26" spans="1:29" ht="15">
      <c r="A26" s="448"/>
      <c r="B26" s="1767"/>
      <c r="C26" s="485"/>
      <c r="D26" s="486"/>
      <c r="E26" s="1752"/>
      <c r="F26" s="486"/>
      <c r="G26" s="1752"/>
      <c r="H26" s="486"/>
      <c r="I26" s="485"/>
      <c r="J26" s="486"/>
      <c r="K26" s="1814"/>
      <c r="L26" s="604"/>
      <c r="M26" s="536"/>
      <c r="N26" s="536"/>
      <c r="O26" s="1817"/>
      <c r="P26" s="3221"/>
      <c r="Q26" s="598"/>
      <c r="R26" s="664"/>
      <c r="S26" s="665"/>
      <c r="T26" s="664"/>
      <c r="U26" s="665"/>
      <c r="V26" s="664"/>
      <c r="W26" s="665"/>
      <c r="X26" s="658"/>
      <c r="Y26" s="3221"/>
      <c r="Z26" s="657"/>
      <c r="AA26" s="657">
        <v>1</v>
      </c>
      <c r="AB26" s="657">
        <v>1</v>
      </c>
      <c r="AC26" s="657">
        <v>1</v>
      </c>
    </row>
    <row r="27" spans="1:29" s="418" customFormat="1" ht="41.4">
      <c r="A27" s="504"/>
      <c r="B27" s="1873" t="s">
        <v>1239</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21"/>
      <c r="Q27" s="663" t="str">
        <f t="shared" si="8"/>
        <v>公共配套设施</v>
      </c>
      <c r="R27" s="659" t="s">
        <v>1221</v>
      </c>
      <c r="S27" s="660">
        <f>F27</f>
        <v>100</v>
      </c>
      <c r="T27" s="659" t="s">
        <v>1221</v>
      </c>
      <c r="U27" s="660">
        <f>H27</f>
        <v>100</v>
      </c>
      <c r="V27" s="659" t="s">
        <v>1221</v>
      </c>
      <c r="W27" s="660">
        <f>J27</f>
        <v>100</v>
      </c>
      <c r="X27" s="661"/>
      <c r="Y27" s="3221"/>
      <c r="Z27" s="677" t="str">
        <f>Q27</f>
        <v>公共配套设施</v>
      </c>
      <c r="AA27" s="657">
        <f>D27/F27</f>
        <v>1</v>
      </c>
      <c r="AB27" s="657">
        <f>D27/H27</f>
        <v>1</v>
      </c>
      <c r="AC27" s="657">
        <f>D27/J27</f>
        <v>1</v>
      </c>
    </row>
    <row r="28" spans="1:29" s="418" customFormat="1" ht="15">
      <c r="A28" s="504"/>
      <c r="B28" s="1767"/>
      <c r="C28" s="1754"/>
      <c r="D28" s="486"/>
      <c r="E28" s="1752"/>
      <c r="F28" s="486"/>
      <c r="G28" s="1752"/>
      <c r="H28" s="486"/>
      <c r="I28" s="485"/>
      <c r="J28" s="486"/>
      <c r="K28" s="1814"/>
      <c r="L28" s="595"/>
      <c r="M28" s="596"/>
      <c r="N28" s="596"/>
      <c r="O28" s="1813"/>
      <c r="P28" s="3221"/>
      <c r="Q28" s="663"/>
      <c r="R28" s="659"/>
      <c r="S28" s="660"/>
      <c r="T28" s="659"/>
      <c r="U28" s="660"/>
      <c r="V28" s="659"/>
      <c r="W28" s="660"/>
      <c r="X28" s="661"/>
      <c r="Y28" s="3221"/>
      <c r="Z28" s="677"/>
      <c r="AA28" s="657">
        <v>1</v>
      </c>
      <c r="AB28" s="657">
        <v>1</v>
      </c>
      <c r="AC28" s="657">
        <v>1</v>
      </c>
    </row>
    <row r="29" spans="1:29" s="418" customFormat="1" ht="41.4">
      <c r="A29" s="504"/>
      <c r="B29" s="1873" t="s">
        <v>1240</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21"/>
      <c r="Q29" s="663" t="str">
        <f t="shared" ref="Q29" si="9">B29</f>
        <v>基础设施水平</v>
      </c>
      <c r="R29" s="659" t="s">
        <v>1221</v>
      </c>
      <c r="S29" s="660">
        <f>F29</f>
        <v>100</v>
      </c>
      <c r="T29" s="659" t="s">
        <v>1221</v>
      </c>
      <c r="U29" s="660">
        <f>H29</f>
        <v>100</v>
      </c>
      <c r="V29" s="659" t="s">
        <v>1221</v>
      </c>
      <c r="W29" s="660">
        <f>J29</f>
        <v>100</v>
      </c>
      <c r="X29" s="661"/>
      <c r="Y29" s="3221"/>
      <c r="Z29" s="677" t="str">
        <f>Q29</f>
        <v>基础设施水平</v>
      </c>
      <c r="AA29" s="657">
        <f>D29/F29</f>
        <v>1</v>
      </c>
      <c r="AB29" s="657">
        <f>D29/H29</f>
        <v>1</v>
      </c>
      <c r="AC29" s="657">
        <f>D29/J29</f>
        <v>1</v>
      </c>
    </row>
    <row r="30" spans="1:29" s="418" customFormat="1" ht="15">
      <c r="A30" s="504"/>
      <c r="B30" s="1767"/>
      <c r="C30" s="1754"/>
      <c r="D30" s="486"/>
      <c r="E30" s="1875"/>
      <c r="F30" s="486"/>
      <c r="G30" s="1875"/>
      <c r="H30" s="486"/>
      <c r="I30" s="1875"/>
      <c r="J30" s="486"/>
      <c r="K30" s="1814"/>
      <c r="L30" s="595"/>
      <c r="M30" s="596"/>
      <c r="N30" s="596"/>
      <c r="O30" s="1813"/>
      <c r="P30" s="3221"/>
      <c r="Q30" s="663"/>
      <c r="R30" s="659"/>
      <c r="S30" s="660"/>
      <c r="T30" s="659"/>
      <c r="U30" s="660"/>
      <c r="V30" s="659"/>
      <c r="W30" s="660"/>
      <c r="X30" s="661"/>
      <c r="Y30" s="3221"/>
      <c r="Z30" s="677"/>
      <c r="AA30" s="657">
        <v>1</v>
      </c>
      <c r="AB30" s="657">
        <v>1</v>
      </c>
      <c r="AC30" s="657">
        <v>1</v>
      </c>
    </row>
    <row r="31" spans="1:29" ht="15">
      <c r="A31" s="569"/>
      <c r="B31" s="1767" t="s">
        <v>1654</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21"/>
      <c r="Q31" s="598" t="str">
        <f t="shared" si="8"/>
        <v>临街状况</v>
      </c>
      <c r="R31" s="664" t="s">
        <v>1221</v>
      </c>
      <c r="S31" s="665">
        <f t="shared" ref="S31:S45" si="10">F31</f>
        <v>100</v>
      </c>
      <c r="T31" s="664" t="s">
        <v>1221</v>
      </c>
      <c r="U31" s="665">
        <f t="shared" ref="U31:U45" si="11">H31</f>
        <v>100</v>
      </c>
      <c r="V31" s="664" t="s">
        <v>1221</v>
      </c>
      <c r="W31" s="665">
        <f t="shared" ref="W31:W45" si="12">J31</f>
        <v>100</v>
      </c>
      <c r="X31" s="658"/>
      <c r="Y31" s="3221"/>
      <c r="Z31" s="657" t="str">
        <f t="shared" ref="Z31:Z45" si="13">Q31</f>
        <v>临街状况</v>
      </c>
      <c r="AA31" s="657">
        <f t="shared" si="3"/>
        <v>1</v>
      </c>
      <c r="AB31" s="657">
        <f t="shared" si="4"/>
        <v>1</v>
      </c>
      <c r="AC31" s="657">
        <f t="shared" si="5"/>
        <v>1</v>
      </c>
    </row>
    <row r="32" spans="1:29" ht="28.8">
      <c r="A32" s="569"/>
      <c r="B32" s="1873" t="s">
        <v>1242</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21"/>
      <c r="Q32" s="598" t="str">
        <f t="shared" si="8"/>
        <v>毗邻道路的类型与等级</v>
      </c>
      <c r="R32" s="664" t="s">
        <v>1221</v>
      </c>
      <c r="S32" s="665">
        <f t="shared" si="10"/>
        <v>100</v>
      </c>
      <c r="T32" s="664" t="s">
        <v>1221</v>
      </c>
      <c r="U32" s="665">
        <f t="shared" si="11"/>
        <v>100</v>
      </c>
      <c r="V32" s="664" t="s">
        <v>1221</v>
      </c>
      <c r="W32" s="665">
        <f t="shared" si="12"/>
        <v>100</v>
      </c>
      <c r="X32" s="658"/>
      <c r="Y32" s="3221"/>
      <c r="Z32" s="657" t="str">
        <f t="shared" si="13"/>
        <v>毗邻道路的类型与等级</v>
      </c>
      <c r="AA32" s="657">
        <f t="shared" si="3"/>
        <v>1</v>
      </c>
      <c r="AB32" s="657">
        <f t="shared" si="4"/>
        <v>1</v>
      </c>
      <c r="AC32" s="657">
        <f t="shared" si="5"/>
        <v>1</v>
      </c>
    </row>
    <row r="33" spans="1:29" ht="15">
      <c r="A33" s="569"/>
      <c r="B33" s="1767"/>
      <c r="C33" s="485"/>
      <c r="D33" s="486"/>
      <c r="E33" s="1752"/>
      <c r="F33" s="486"/>
      <c r="G33" s="1752"/>
      <c r="H33" s="486"/>
      <c r="I33" s="485"/>
      <c r="J33" s="486"/>
      <c r="K33" s="602"/>
      <c r="L33" s="604"/>
      <c r="M33" s="536"/>
      <c r="N33" s="536"/>
      <c r="O33" s="1817"/>
      <c r="P33" s="3221"/>
      <c r="Q33" s="598"/>
      <c r="R33" s="664"/>
      <c r="S33" s="665"/>
      <c r="T33" s="664"/>
      <c r="U33" s="665"/>
      <c r="V33" s="664"/>
      <c r="W33" s="665"/>
      <c r="X33" s="658"/>
      <c r="Y33" s="3221"/>
      <c r="Z33" s="657"/>
      <c r="AA33" s="657">
        <v>1</v>
      </c>
      <c r="AB33" s="657">
        <v>1</v>
      </c>
      <c r="AC33" s="657">
        <v>1</v>
      </c>
    </row>
    <row r="34" spans="1:29" ht="15">
      <c r="A34" s="569"/>
      <c r="B34" s="1744" t="s">
        <v>1676</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21"/>
      <c r="Q34" s="598" t="str">
        <f t="shared" si="8"/>
        <v>土地级别</v>
      </c>
      <c r="R34" s="664" t="s">
        <v>1221</v>
      </c>
      <c r="S34" s="665">
        <f t="shared" si="10"/>
        <v>100</v>
      </c>
      <c r="T34" s="664" t="s">
        <v>1221</v>
      </c>
      <c r="U34" s="665">
        <f t="shared" si="11"/>
        <v>100</v>
      </c>
      <c r="V34" s="664" t="s">
        <v>1221</v>
      </c>
      <c r="W34" s="665">
        <f t="shared" si="12"/>
        <v>100</v>
      </c>
      <c r="X34" s="658"/>
      <c r="Y34" s="3221"/>
      <c r="Z34" s="657" t="str">
        <f t="shared" si="13"/>
        <v>土地级别</v>
      </c>
      <c r="AA34" s="657">
        <f t="shared" si="3"/>
        <v>1</v>
      </c>
      <c r="AB34" s="657">
        <f t="shared" si="4"/>
        <v>1</v>
      </c>
      <c r="AC34" s="657">
        <f t="shared" si="5"/>
        <v>1</v>
      </c>
    </row>
    <row r="35" spans="1:29" ht="1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21"/>
      <c r="Q35" s="598">
        <f t="shared" si="8"/>
        <v>111</v>
      </c>
      <c r="R35" s="664" t="s">
        <v>1221</v>
      </c>
      <c r="S35" s="665">
        <f t="shared" si="10"/>
        <v>100</v>
      </c>
      <c r="T35" s="664" t="s">
        <v>1221</v>
      </c>
      <c r="U35" s="665">
        <f t="shared" si="11"/>
        <v>100</v>
      </c>
      <c r="V35" s="664" t="s">
        <v>1221</v>
      </c>
      <c r="W35" s="665">
        <f t="shared" si="12"/>
        <v>100</v>
      </c>
      <c r="X35" s="658"/>
      <c r="Y35" s="3221"/>
      <c r="Z35" s="657">
        <f t="shared" si="13"/>
        <v>111</v>
      </c>
      <c r="AA35" s="657">
        <f t="shared" si="3"/>
        <v>1</v>
      </c>
      <c r="AB35" s="657">
        <f t="shared" si="4"/>
        <v>1</v>
      </c>
      <c r="AC35" s="657">
        <f t="shared" si="5"/>
        <v>1</v>
      </c>
    </row>
    <row r="36" spans="1:29" ht="1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283" t="s">
        <v>1247</v>
      </c>
      <c r="Q36" s="598">
        <f t="shared" si="8"/>
        <v>111</v>
      </c>
      <c r="R36" s="664" t="s">
        <v>1221</v>
      </c>
      <c r="S36" s="665">
        <f t="shared" si="10"/>
        <v>100</v>
      </c>
      <c r="T36" s="664" t="s">
        <v>1221</v>
      </c>
      <c r="U36" s="665">
        <f t="shared" si="11"/>
        <v>100</v>
      </c>
      <c r="V36" s="664" t="s">
        <v>1221</v>
      </c>
      <c r="W36" s="665">
        <f t="shared" si="12"/>
        <v>100</v>
      </c>
      <c r="X36" s="658"/>
      <c r="Y36" s="3222" t="s">
        <v>1247</v>
      </c>
      <c r="Z36" s="657">
        <f t="shared" si="13"/>
        <v>111</v>
      </c>
      <c r="AA36" s="657">
        <f t="shared" si="3"/>
        <v>1</v>
      </c>
      <c r="AB36" s="657">
        <f t="shared" si="4"/>
        <v>1</v>
      </c>
      <c r="AC36" s="657">
        <f t="shared" si="5"/>
        <v>1</v>
      </c>
    </row>
    <row r="37" spans="1:29" s="420" customFormat="1" ht="1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22"/>
      <c r="Q37" s="598">
        <f t="shared" si="8"/>
        <v>111</v>
      </c>
      <c r="R37" s="667" t="s">
        <v>1221</v>
      </c>
      <c r="S37" s="668">
        <f t="shared" si="10"/>
        <v>100</v>
      </c>
      <c r="T37" s="667" t="s">
        <v>1221</v>
      </c>
      <c r="U37" s="668">
        <f t="shared" si="11"/>
        <v>100</v>
      </c>
      <c r="V37" s="667" t="s">
        <v>1221</v>
      </c>
      <c r="W37" s="668">
        <f t="shared" si="12"/>
        <v>100</v>
      </c>
      <c r="X37" s="669"/>
      <c r="Y37" s="3222"/>
      <c r="Z37" s="678">
        <f t="shared" si="13"/>
        <v>111</v>
      </c>
      <c r="AA37" s="657">
        <f t="shared" si="3"/>
        <v>1</v>
      </c>
      <c r="AB37" s="657">
        <f t="shared" si="4"/>
        <v>1</v>
      </c>
      <c r="AC37" s="657">
        <f t="shared" si="5"/>
        <v>1</v>
      </c>
    </row>
    <row r="38" spans="1:29" ht="15.6">
      <c r="A38" s="685" t="s">
        <v>1245</v>
      </c>
      <c r="B38" s="1767" t="s">
        <v>1677</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22"/>
      <c r="Q38" s="598" t="str">
        <f t="shared" si="8"/>
        <v>宗地面积</v>
      </c>
      <c r="R38" s="664" t="s">
        <v>1221</v>
      </c>
      <c r="S38" s="665" t="e">
        <f t="shared" si="10"/>
        <v>#N/A</v>
      </c>
      <c r="T38" s="664" t="s">
        <v>1221</v>
      </c>
      <c r="U38" s="665" t="e">
        <f t="shared" si="11"/>
        <v>#N/A</v>
      </c>
      <c r="V38" s="664" t="s">
        <v>1221</v>
      </c>
      <c r="W38" s="665" t="e">
        <f t="shared" si="12"/>
        <v>#N/A</v>
      </c>
      <c r="X38" s="658"/>
      <c r="Y38" s="3222"/>
      <c r="Z38" s="657" t="str">
        <f t="shared" si="13"/>
        <v>宗地面积</v>
      </c>
      <c r="AA38" s="657" t="e">
        <f t="shared" si="3"/>
        <v>#N/A</v>
      </c>
      <c r="AB38" s="657" t="e">
        <f t="shared" si="4"/>
        <v>#N/A</v>
      </c>
      <c r="AC38" s="657" t="e">
        <f t="shared" si="5"/>
        <v>#N/A</v>
      </c>
    </row>
    <row r="39" spans="1:29" ht="15">
      <c r="A39" s="685"/>
      <c r="B39" s="1744" t="s">
        <v>1678</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22"/>
      <c r="Q39" s="598" t="str">
        <f t="shared" ref="Q39:Q45" si="14">B39</f>
        <v>宗地形状</v>
      </c>
      <c r="R39" s="664" t="s">
        <v>1221</v>
      </c>
      <c r="S39" s="665">
        <f t="shared" si="10"/>
        <v>100</v>
      </c>
      <c r="T39" s="664" t="s">
        <v>1221</v>
      </c>
      <c r="U39" s="665">
        <f t="shared" si="11"/>
        <v>100</v>
      </c>
      <c r="V39" s="664" t="s">
        <v>1221</v>
      </c>
      <c r="W39" s="665">
        <f t="shared" si="12"/>
        <v>100</v>
      </c>
      <c r="X39" s="658"/>
      <c r="Y39" s="3222"/>
      <c r="Z39" s="657" t="str">
        <f t="shared" si="13"/>
        <v>宗地形状</v>
      </c>
      <c r="AA39" s="657">
        <f t="shared" si="3"/>
        <v>1</v>
      </c>
      <c r="AB39" s="657">
        <f t="shared" si="4"/>
        <v>1</v>
      </c>
      <c r="AC39" s="657">
        <f t="shared" si="5"/>
        <v>1</v>
      </c>
    </row>
    <row r="40" spans="1:29" ht="15">
      <c r="A40" s="685"/>
      <c r="B40" s="1744" t="s">
        <v>1679</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22"/>
      <c r="Q40" s="598" t="str">
        <f t="shared" si="14"/>
        <v>临街宽度及深度</v>
      </c>
      <c r="R40" s="664" t="s">
        <v>1221</v>
      </c>
      <c r="S40" s="665">
        <f t="shared" si="10"/>
        <v>100</v>
      </c>
      <c r="T40" s="664" t="s">
        <v>1221</v>
      </c>
      <c r="U40" s="665">
        <f t="shared" si="11"/>
        <v>100</v>
      </c>
      <c r="V40" s="664" t="s">
        <v>1221</v>
      </c>
      <c r="W40" s="665">
        <f t="shared" si="12"/>
        <v>100</v>
      </c>
      <c r="X40" s="658"/>
      <c r="Y40" s="3222"/>
      <c r="Z40" s="657" t="str">
        <f t="shared" si="13"/>
        <v>临街宽度及深度</v>
      </c>
      <c r="AA40" s="657">
        <f t="shared" si="3"/>
        <v>1</v>
      </c>
      <c r="AB40" s="657">
        <f t="shared" si="4"/>
        <v>1</v>
      </c>
      <c r="AC40" s="657">
        <f t="shared" si="5"/>
        <v>1</v>
      </c>
    </row>
    <row r="41" spans="1:29" s="418" customFormat="1" ht="15">
      <c r="A41" s="1770"/>
      <c r="B41" s="1744" t="s">
        <v>1680</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22"/>
      <c r="Q41" s="598" t="str">
        <f t="shared" si="14"/>
        <v>宗地开发程度</v>
      </c>
      <c r="R41" s="659" t="s">
        <v>1221</v>
      </c>
      <c r="S41" s="660">
        <f t="shared" si="10"/>
        <v>100</v>
      </c>
      <c r="T41" s="659" t="s">
        <v>1221</v>
      </c>
      <c r="U41" s="660">
        <f t="shared" si="11"/>
        <v>100</v>
      </c>
      <c r="V41" s="659" t="s">
        <v>1221</v>
      </c>
      <c r="W41" s="660">
        <f t="shared" si="12"/>
        <v>100</v>
      </c>
      <c r="X41" s="661"/>
      <c r="Y41" s="3222"/>
      <c r="Z41" s="677" t="str">
        <f t="shared" si="13"/>
        <v>宗地开发程度</v>
      </c>
      <c r="AA41" s="677">
        <f t="shared" si="3"/>
        <v>1</v>
      </c>
      <c r="AB41" s="677">
        <f t="shared" si="4"/>
        <v>1</v>
      </c>
      <c r="AC41" s="677">
        <f t="shared" si="5"/>
        <v>1</v>
      </c>
    </row>
    <row r="42" spans="1:29" ht="15">
      <c r="A42" s="685"/>
      <c r="B42" s="1744" t="s">
        <v>1681</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22" t="s">
        <v>1247</v>
      </c>
      <c r="Q42" s="598" t="str">
        <f t="shared" si="14"/>
        <v>工程地质条件</v>
      </c>
      <c r="R42" s="664" t="s">
        <v>1221</v>
      </c>
      <c r="S42" s="665">
        <f t="shared" si="10"/>
        <v>100</v>
      </c>
      <c r="T42" s="664" t="s">
        <v>1221</v>
      </c>
      <c r="U42" s="665">
        <f t="shared" si="11"/>
        <v>100</v>
      </c>
      <c r="V42" s="664" t="s">
        <v>1221</v>
      </c>
      <c r="W42" s="665">
        <f t="shared" si="12"/>
        <v>100</v>
      </c>
      <c r="X42" s="658"/>
      <c r="Y42" s="3222" t="s">
        <v>1247</v>
      </c>
      <c r="Z42" s="657" t="str">
        <f t="shared" si="13"/>
        <v>工程地质条件</v>
      </c>
      <c r="AA42" s="657">
        <f t="shared" si="3"/>
        <v>1</v>
      </c>
      <c r="AB42" s="657">
        <f t="shared" si="4"/>
        <v>1</v>
      </c>
      <c r="AC42" s="657">
        <f t="shared" si="5"/>
        <v>1</v>
      </c>
    </row>
    <row r="43" spans="1:29" ht="1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22"/>
      <c r="Q43" s="598">
        <f t="shared" si="14"/>
        <v>111</v>
      </c>
      <c r="R43" s="664" t="s">
        <v>1221</v>
      </c>
      <c r="S43" s="665">
        <f t="shared" si="10"/>
        <v>100</v>
      </c>
      <c r="T43" s="664" t="s">
        <v>1221</v>
      </c>
      <c r="U43" s="665">
        <f t="shared" si="11"/>
        <v>100</v>
      </c>
      <c r="V43" s="664" t="s">
        <v>1221</v>
      </c>
      <c r="W43" s="665">
        <f t="shared" si="12"/>
        <v>100</v>
      </c>
      <c r="X43" s="658"/>
      <c r="Y43" s="3222"/>
      <c r="Z43" s="657">
        <f t="shared" si="13"/>
        <v>111</v>
      </c>
      <c r="AA43" s="657">
        <f t="shared" si="3"/>
        <v>1</v>
      </c>
      <c r="AB43" s="657">
        <f t="shared" si="4"/>
        <v>1</v>
      </c>
      <c r="AC43" s="657">
        <f t="shared" si="5"/>
        <v>1</v>
      </c>
    </row>
    <row r="44" spans="1:29" ht="1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22"/>
      <c r="Q44" s="598">
        <f t="shared" si="14"/>
        <v>111</v>
      </c>
      <c r="R44" s="664" t="s">
        <v>1221</v>
      </c>
      <c r="S44" s="665">
        <f t="shared" si="10"/>
        <v>100</v>
      </c>
      <c r="T44" s="664" t="s">
        <v>1221</v>
      </c>
      <c r="U44" s="665">
        <f t="shared" si="11"/>
        <v>100</v>
      </c>
      <c r="V44" s="664" t="s">
        <v>1221</v>
      </c>
      <c r="W44" s="665">
        <f t="shared" si="12"/>
        <v>100</v>
      </c>
      <c r="X44" s="658"/>
      <c r="Y44" s="3222"/>
      <c r="Z44" s="657">
        <f t="shared" si="13"/>
        <v>111</v>
      </c>
      <c r="AA44" s="657">
        <f t="shared" si="3"/>
        <v>1</v>
      </c>
      <c r="AB44" s="657">
        <f t="shared" si="4"/>
        <v>1</v>
      </c>
      <c r="AC44" s="657">
        <f t="shared" si="5"/>
        <v>1</v>
      </c>
    </row>
    <row r="45" spans="1:29" s="420" customFormat="1" ht="1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22"/>
      <c r="Q45" s="598">
        <f t="shared" si="14"/>
        <v>111</v>
      </c>
      <c r="R45" s="667" t="s">
        <v>1221</v>
      </c>
      <c r="S45" s="668">
        <f t="shared" si="10"/>
        <v>100</v>
      </c>
      <c r="T45" s="667" t="s">
        <v>1221</v>
      </c>
      <c r="U45" s="668">
        <f t="shared" si="11"/>
        <v>100</v>
      </c>
      <c r="V45" s="667" t="s">
        <v>1221</v>
      </c>
      <c r="W45" s="668">
        <f t="shared" si="12"/>
        <v>100</v>
      </c>
      <c r="X45" s="669"/>
      <c r="Y45" s="3222"/>
      <c r="Z45" s="678">
        <f t="shared" si="13"/>
        <v>111</v>
      </c>
      <c r="AA45" s="657">
        <f t="shared" si="3"/>
        <v>1</v>
      </c>
      <c r="AB45" s="657">
        <f t="shared" si="4"/>
        <v>1</v>
      </c>
      <c r="AC45" s="657">
        <f t="shared" si="5"/>
        <v>1</v>
      </c>
    </row>
    <row r="46" spans="1:29" ht="14.4">
      <c r="A46" s="520" t="s">
        <v>1682</v>
      </c>
      <c r="B46" s="1774" t="s">
        <v>1683</v>
      </c>
      <c r="C46" s="1775" t="s">
        <v>124</v>
      </c>
      <c r="D46" s="523"/>
      <c r="E46" s="524"/>
      <c r="F46" s="525"/>
      <c r="G46" s="526"/>
      <c r="H46" s="527"/>
      <c r="I46" s="524"/>
      <c r="J46" s="527"/>
      <c r="K46" s="1821"/>
      <c r="L46" s="610"/>
      <c r="M46" s="536"/>
      <c r="N46" s="536"/>
      <c r="O46" s="536"/>
      <c r="P46" s="3213" t="str">
        <f>A46</f>
        <v>成交单价</v>
      </c>
      <c r="Q46" s="3213"/>
      <c r="R46" s="3214">
        <f>E46</f>
        <v>0</v>
      </c>
      <c r="S46" s="3214"/>
      <c r="T46" s="3214">
        <f>G46</f>
        <v>0</v>
      </c>
      <c r="U46" s="3214"/>
      <c r="V46" s="3214">
        <f>I46</f>
        <v>0</v>
      </c>
      <c r="W46" s="3214"/>
      <c r="X46" s="670"/>
      <c r="Y46" s="679"/>
      <c r="Z46" s="670"/>
      <c r="AA46" s="670"/>
      <c r="AB46" s="670"/>
      <c r="AC46" s="670"/>
    </row>
    <row r="47" spans="1:29" ht="14.4">
      <c r="A47" s="528" t="s">
        <v>1268</v>
      </c>
      <c r="B47" s="1776"/>
      <c r="C47" s="1777" t="e">
        <f>R48</f>
        <v>#DIV/0!</v>
      </c>
      <c r="D47" s="531" t="s">
        <v>1269</v>
      </c>
      <c r="E47" s="1777" t="e">
        <f>R47</f>
        <v>#DIV/0!</v>
      </c>
      <c r="F47" s="533"/>
      <c r="G47" s="1778" t="e">
        <f>T47</f>
        <v>#DIV/0!</v>
      </c>
      <c r="H47" s="533"/>
      <c r="I47" s="1777" t="e">
        <f>V47</f>
        <v>#DIV/0!</v>
      </c>
      <c r="J47" s="533"/>
      <c r="K47" s="611">
        <f>F47+H47+J47</f>
        <v>0</v>
      </c>
      <c r="L47" s="610"/>
      <c r="M47" s="536"/>
      <c r="N47" s="536"/>
      <c r="O47" s="536"/>
      <c r="P47" s="3213" t="str">
        <f>A47</f>
        <v>比较价值（元/平方米）</v>
      </c>
      <c r="Q47" s="3213"/>
      <c r="R47" s="3287" t="e">
        <f>ROUND(PRODUCT(R46,AA7:AA45),0)</f>
        <v>#DIV/0!</v>
      </c>
      <c r="S47" s="3287"/>
      <c r="T47" s="3287" t="e">
        <f>ROUND(PRODUCT(T46,AB7:AB45),0)</f>
        <v>#DIV/0!</v>
      </c>
      <c r="U47" s="3287"/>
      <c r="V47" s="3287" t="e">
        <f>ROUND(PRODUCT(V46,AC7:AC45),0)</f>
        <v>#DIV/0!</v>
      </c>
      <c r="W47" s="3287"/>
      <c r="X47" s="670"/>
      <c r="Y47" s="670"/>
      <c r="Z47" s="670"/>
      <c r="AA47" s="670"/>
      <c r="AB47" s="670"/>
      <c r="AC47" s="670"/>
    </row>
    <row r="48" spans="1:29" ht="14.4">
      <c r="A48" s="534" t="s">
        <v>1684</v>
      </c>
      <c r="B48" s="535"/>
      <c r="C48" s="1779" t="e">
        <f>R48</f>
        <v>#DIV/0!</v>
      </c>
      <c r="D48" s="1779"/>
      <c r="E48" s="1779"/>
      <c r="F48" s="1779"/>
      <c r="G48" s="1779"/>
      <c r="H48" s="1779"/>
      <c r="I48" s="1779"/>
      <c r="J48" s="1779"/>
      <c r="K48" s="1822"/>
      <c r="L48" s="610"/>
      <c r="M48" s="536"/>
      <c r="N48" s="536"/>
      <c r="O48" s="536"/>
      <c r="P48" s="3273" t="str">
        <f>A48</f>
        <v>估价对象XX用房的比较价值（楼面单价，元/平方米）</v>
      </c>
      <c r="Q48" s="3274"/>
      <c r="R48" s="3288" t="e">
        <f>ROUND(IF(D47="简单平均",AVERAGE(R47:W47),R47*F47+T47*H47+V47*J47),0)</f>
        <v>#DIV/0!</v>
      </c>
      <c r="S48" s="3288"/>
      <c r="T48" s="3288"/>
      <c r="U48" s="3288"/>
      <c r="V48" s="3288"/>
      <c r="W48" s="3288"/>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1271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1272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1273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1685</v>
      </c>
      <c r="B55" s="1783" t="s">
        <v>1686</v>
      </c>
      <c r="C55" s="1784" t="s">
        <v>1687</v>
      </c>
      <c r="D55" s="1785" t="s">
        <v>1688</v>
      </c>
      <c r="E55" s="1786" t="s">
        <v>1689</v>
      </c>
      <c r="F55" s="1878" t="s">
        <v>1690</v>
      </c>
      <c r="G55" s="3195" t="s">
        <v>1691</v>
      </c>
      <c r="H55" s="3286"/>
      <c r="I55" s="736" t="s">
        <v>1692</v>
      </c>
      <c r="J55" s="1881">
        <f>项目基本情况!F35</f>
        <v>0</v>
      </c>
      <c r="K55" s="1823" t="s">
        <v>1693</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1694</v>
      </c>
      <c r="B56" s="1789" t="e">
        <f>C48</f>
        <v>#DIV/0!</v>
      </c>
      <c r="C56" s="386">
        <v>1</v>
      </c>
      <c r="D56" s="1790">
        <v>1</v>
      </c>
      <c r="E56" s="386">
        <f>'数据-汇总表'!E8+'数据-汇总表'!E9</f>
        <v>38613.699999999997</v>
      </c>
      <c r="F56" s="1879" t="e">
        <f t="shared" ref="F56:F65" si="15">ROUND(B56*E56/10000,0)</f>
        <v>#DIV/0!</v>
      </c>
      <c r="G56" s="3212"/>
      <c r="H56" s="3213"/>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1695</v>
      </c>
      <c r="B57" s="65" t="e">
        <f>ROUND($C$48*C57*D57,0)</f>
        <v>#DIV/0!</v>
      </c>
      <c r="C57" s="1451">
        <f t="shared" ref="C57:C65" si="16">IF($C$55="北京市系数",I57,J57)</f>
        <v>0</v>
      </c>
      <c r="D57" s="1793">
        <v>0.25</v>
      </c>
      <c r="E57" s="1794"/>
      <c r="F57" s="1879" t="e">
        <f t="shared" si="15"/>
        <v>#DIV/0!</v>
      </c>
      <c r="G57" s="3285" t="s">
        <v>1696</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1697</v>
      </c>
      <c r="B58" s="65" t="e">
        <f t="shared" ref="B58:B65" si="17">ROUND($C$48*C58*D58,0)</f>
        <v>#DIV/0!</v>
      </c>
      <c r="C58" s="1451">
        <f t="shared" si="16"/>
        <v>0</v>
      </c>
      <c r="D58" s="1793">
        <v>0.25</v>
      </c>
      <c r="E58" s="1794"/>
      <c r="F58" s="1879" t="e">
        <f t="shared" si="15"/>
        <v>#DIV/0!</v>
      </c>
      <c r="G58" s="3285"/>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1698</v>
      </c>
      <c r="B59" s="65" t="e">
        <f t="shared" si="17"/>
        <v>#DIV/0!</v>
      </c>
      <c r="C59" s="1451">
        <f t="shared" si="16"/>
        <v>0</v>
      </c>
      <c r="D59" s="1793">
        <v>0.25</v>
      </c>
      <c r="E59" s="1794"/>
      <c r="F59" s="1879" t="e">
        <f t="shared" si="15"/>
        <v>#DIV/0!</v>
      </c>
      <c r="G59" s="3285"/>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1699</v>
      </c>
      <c r="B60" s="65" t="e">
        <f t="shared" si="17"/>
        <v>#DIV/0!</v>
      </c>
      <c r="C60" s="1451">
        <f t="shared" si="16"/>
        <v>0</v>
      </c>
      <c r="D60" s="1793">
        <v>0.25</v>
      </c>
      <c r="E60" s="1794"/>
      <c r="F60" s="1879" t="e">
        <f t="shared" si="15"/>
        <v>#DIV/0!</v>
      </c>
      <c r="G60" s="3285"/>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1700</v>
      </c>
      <c r="B61" s="65" t="e">
        <f t="shared" si="17"/>
        <v>#DIV/0!</v>
      </c>
      <c r="C61" s="1451">
        <f t="shared" si="16"/>
        <v>0.3</v>
      </c>
      <c r="D61" s="1793">
        <v>0.25</v>
      </c>
      <c r="E61" s="64">
        <f>'数据-汇总表'!E11</f>
        <v>9319.9500000000007</v>
      </c>
      <c r="F61" s="1879" t="e">
        <f t="shared" si="15"/>
        <v>#DIV/0!</v>
      </c>
      <c r="G61" s="1795" t="s">
        <v>1701</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1702</v>
      </c>
      <c r="B62" s="65" t="e">
        <f t="shared" si="17"/>
        <v>#DIV/0!</v>
      </c>
      <c r="C62" s="1451">
        <f t="shared" si="16"/>
        <v>0.3</v>
      </c>
      <c r="D62" s="1793">
        <v>0.25</v>
      </c>
      <c r="E62" s="64">
        <f>'数据-汇总表'!E12</f>
        <v>0</v>
      </c>
      <c r="F62" s="1879" t="e">
        <f t="shared" si="15"/>
        <v>#DIV/0!</v>
      </c>
      <c r="G62" s="1797" t="s">
        <v>1703</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1704</v>
      </c>
      <c r="B63" s="65" t="e">
        <f t="shared" si="17"/>
        <v>#DIV/0!</v>
      </c>
      <c r="C63" s="1451">
        <f t="shared" si="16"/>
        <v>0</v>
      </c>
      <c r="D63" s="1793">
        <v>0.25</v>
      </c>
      <c r="E63" s="64">
        <f>'数据-汇总表'!E13</f>
        <v>2208.2499999999995</v>
      </c>
      <c r="F63" s="1879" t="e">
        <f t="shared" si="15"/>
        <v>#DIV/0!</v>
      </c>
      <c r="G63" s="1797" t="s">
        <v>1705</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1706</v>
      </c>
      <c r="B64" s="65" t="e">
        <f t="shared" si="17"/>
        <v>#DIV/0!</v>
      </c>
      <c r="C64" s="1451">
        <f t="shared" si="16"/>
        <v>0</v>
      </c>
      <c r="D64" s="1793">
        <v>0.25</v>
      </c>
      <c r="E64" s="64">
        <f>'数据-汇总表'!E14</f>
        <v>0</v>
      </c>
      <c r="F64" s="1879" t="e">
        <f t="shared" si="15"/>
        <v>#DIV/0!</v>
      </c>
      <c r="G64" s="1795" t="s">
        <v>1696</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1707</v>
      </c>
      <c r="B65" s="65" t="e">
        <f t="shared" si="17"/>
        <v>#DIV/0!</v>
      </c>
      <c r="C65" s="1451">
        <f t="shared" si="16"/>
        <v>0.25</v>
      </c>
      <c r="D65" s="1793">
        <v>0.25</v>
      </c>
      <c r="E65" s="64">
        <f>'数据-汇总表'!E15</f>
        <v>0</v>
      </c>
      <c r="F65" s="1879" t="e">
        <f t="shared" si="15"/>
        <v>#DIV/0!</v>
      </c>
      <c r="G65" s="1798" t="s">
        <v>1701</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3.2">
      <c r="A66" s="1800" t="s">
        <v>1708</v>
      </c>
      <c r="B66" s="1801" t="s">
        <v>1285</v>
      </c>
      <c r="C66" s="1801" t="s">
        <v>1285</v>
      </c>
      <c r="D66" s="1801" t="s">
        <v>1285</v>
      </c>
      <c r="E66" s="1801">
        <f>IF(B46="楼面地价",SUM(E56:E65),'数据-汇总表'!D3)</f>
        <v>50141.899999999994</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2022-12-1</v>
      </c>
      <c r="D68" s="1806">
        <f>EDATE(C68,-3)</f>
        <v>44805</v>
      </c>
      <c r="E68" s="1806">
        <f>EDATE(D68,-3)</f>
        <v>44713</v>
      </c>
      <c r="F68" s="1806">
        <f t="shared" ref="F68:O68" si="18">EDATE(E68,-3)</f>
        <v>44621</v>
      </c>
      <c r="G68" s="1806">
        <f t="shared" si="18"/>
        <v>44531</v>
      </c>
      <c r="H68" s="1806">
        <f t="shared" si="18"/>
        <v>44440</v>
      </c>
      <c r="I68" s="1806">
        <f t="shared" si="18"/>
        <v>44348</v>
      </c>
      <c r="J68" s="1806">
        <f t="shared" si="18"/>
        <v>44256</v>
      </c>
      <c r="K68" s="1806">
        <f t="shared" si="18"/>
        <v>44166</v>
      </c>
      <c r="L68" s="1806">
        <f t="shared" si="18"/>
        <v>44075</v>
      </c>
      <c r="M68" s="1806">
        <f t="shared" si="18"/>
        <v>43983</v>
      </c>
      <c r="N68" s="1806">
        <f t="shared" si="18"/>
        <v>43891</v>
      </c>
      <c r="O68" s="1806">
        <f t="shared" si="18"/>
        <v>43800</v>
      </c>
      <c r="P68" s="536"/>
      <c r="Q68" s="536"/>
      <c r="R68" s="536"/>
      <c r="S68" s="536"/>
      <c r="T68" s="536"/>
      <c r="U68" s="536"/>
      <c r="V68" s="536"/>
      <c r="W68" s="536"/>
      <c r="X68" s="536"/>
      <c r="Y68" s="536"/>
      <c r="Z68" s="536"/>
      <c r="AA68" s="536"/>
      <c r="AB68" s="536"/>
      <c r="AC68" s="536"/>
    </row>
    <row r="69" spans="1:29" ht="21.6">
      <c r="A69" s="1807" t="s">
        <v>1274</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ht="14.4">
      <c r="A70" s="733" t="s">
        <v>1709</v>
      </c>
      <c r="B70" s="1830"/>
      <c r="C70" s="1831" t="str">
        <f>YEAR(C68)&amp;"-"&amp;ROUNDUP(MONTH(C68)/3,0)</f>
        <v>2022-4</v>
      </c>
      <c r="D70" s="1831" t="str">
        <f>YEAR(D68)&amp;"-"&amp;ROUNDUP(MONTH(D68)/3,0)</f>
        <v>2022-3</v>
      </c>
      <c r="E70" s="1831" t="str">
        <f t="shared" ref="E70:O70" si="19">YEAR(E68)&amp;"-"&amp;ROUNDUP(MONTH(E68)/3,0)</f>
        <v>2022-2</v>
      </c>
      <c r="F70" s="1831" t="str">
        <f t="shared" si="19"/>
        <v>2022-1</v>
      </c>
      <c r="G70" s="1831" t="str">
        <f t="shared" si="19"/>
        <v>2021-4</v>
      </c>
      <c r="H70" s="1831" t="str">
        <f t="shared" si="19"/>
        <v>2021-3</v>
      </c>
      <c r="I70" s="1831" t="str">
        <f t="shared" si="19"/>
        <v>2021-2</v>
      </c>
      <c r="J70" s="1831" t="str">
        <f t="shared" si="19"/>
        <v>2021-1</v>
      </c>
      <c r="K70" s="1831" t="str">
        <f t="shared" si="19"/>
        <v>2020-4</v>
      </c>
      <c r="L70" s="1831" t="str">
        <f t="shared" si="19"/>
        <v>2020-3</v>
      </c>
      <c r="M70" s="1831" t="str">
        <f t="shared" si="19"/>
        <v>2020-2</v>
      </c>
      <c r="N70" s="1831" t="str">
        <f t="shared" si="19"/>
        <v>2020-1</v>
      </c>
      <c r="O70" s="1831" t="str">
        <f t="shared" si="19"/>
        <v>2019-4</v>
      </c>
      <c r="P70" s="672"/>
      <c r="Q70" s="672"/>
      <c r="R70" s="672"/>
      <c r="S70" s="672"/>
      <c r="T70" s="672"/>
      <c r="U70" s="672"/>
      <c r="V70" s="672"/>
      <c r="W70" s="672"/>
      <c r="X70" s="672"/>
      <c r="Y70" s="672"/>
      <c r="Z70" s="672"/>
      <c r="AA70" s="672"/>
      <c r="AB70" s="672"/>
      <c r="AC70" s="672"/>
    </row>
    <row r="71" spans="1:29" s="418" customFormat="1" ht="30" customHeight="1">
      <c r="A71" s="1886" t="s">
        <v>1710</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ht="14.4">
      <c r="A72" s="557" t="s">
        <v>1275</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ht="14.4">
      <c r="A73" s="561" t="s">
        <v>1222</v>
      </c>
      <c r="B73" s="554"/>
      <c r="C73" s="562" t="s">
        <v>1223</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ht="14.4">
      <c r="A75" s="565" t="s">
        <v>1276</v>
      </c>
      <c r="B75" s="566" t="s">
        <v>1226</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8.8">
      <c r="A77" s="569"/>
      <c r="B77" s="572" t="s">
        <v>1229</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ht="14.4">
      <c r="A79" s="569"/>
      <c r="B79" s="681" t="s">
        <v>1232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ht="14.4">
      <c r="A88" s="565" t="s">
        <v>1233</v>
      </c>
      <c r="B88" s="566" t="s">
        <v>1626</v>
      </c>
      <c r="C88" s="583" t="s">
        <v>1286</v>
      </c>
      <c r="D88" s="583" t="s">
        <v>1287</v>
      </c>
      <c r="E88" s="583" t="s">
        <v>1288</v>
      </c>
      <c r="F88" s="583" t="s">
        <v>1289</v>
      </c>
      <c r="G88" s="583" t="s">
        <v>1290</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ht="14.4">
      <c r="A90" s="569"/>
      <c r="B90" s="572" t="s">
        <v>1653</v>
      </c>
      <c r="C90" s="680" t="s">
        <v>1286</v>
      </c>
      <c r="D90" s="680" t="s">
        <v>1287</v>
      </c>
      <c r="E90" s="680" t="s">
        <v>1288</v>
      </c>
      <c r="F90" s="680" t="s">
        <v>1289</v>
      </c>
      <c r="G90" s="680" t="s">
        <v>1290</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ht="14.4">
      <c r="A92" s="569"/>
      <c r="B92" s="572" t="s">
        <v>1234</v>
      </c>
      <c r="C92" s="680" t="s">
        <v>1286</v>
      </c>
      <c r="D92" s="680" t="s">
        <v>1287</v>
      </c>
      <c r="E92" s="680" t="s">
        <v>1288</v>
      </c>
      <c r="F92" s="680" t="s">
        <v>1289</v>
      </c>
      <c r="G92" s="680" t="s">
        <v>1290</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ht="14.4">
      <c r="A94" s="569"/>
      <c r="B94" s="572" t="s">
        <v>1238</v>
      </c>
      <c r="C94" s="680" t="s">
        <v>1286</v>
      </c>
      <c r="D94" s="680" t="s">
        <v>1287</v>
      </c>
      <c r="E94" s="680" t="s">
        <v>1288</v>
      </c>
      <c r="F94" s="680" t="s">
        <v>1289</v>
      </c>
      <c r="G94" s="680" t="s">
        <v>1290</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28.8">
      <c r="A96" s="683"/>
      <c r="B96" s="572" t="s">
        <v>1674</v>
      </c>
      <c r="C96" s="680" t="s">
        <v>1286</v>
      </c>
      <c r="D96" s="680" t="s">
        <v>1287</v>
      </c>
      <c r="E96" s="680" t="s">
        <v>1288</v>
      </c>
      <c r="F96" s="680" t="s">
        <v>1289</v>
      </c>
      <c r="G96" s="680" t="s">
        <v>1290</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8.8">
      <c r="A98" s="683"/>
      <c r="B98" s="572" t="s">
        <v>1675</v>
      </c>
      <c r="C98" s="583" t="s">
        <v>1286</v>
      </c>
      <c r="D98" s="583" t="s">
        <v>1287</v>
      </c>
      <c r="E98" s="583" t="s">
        <v>1288</v>
      </c>
      <c r="F98" s="583" t="s">
        <v>1289</v>
      </c>
      <c r="G98" s="583" t="s">
        <v>1290</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ht="14.4">
      <c r="A100" s="579"/>
      <c r="B100" s="572" t="s">
        <v>1239</v>
      </c>
      <c r="C100" s="583" t="s">
        <v>1286</v>
      </c>
      <c r="D100" s="583" t="s">
        <v>1287</v>
      </c>
      <c r="E100" s="583" t="s">
        <v>1288</v>
      </c>
      <c r="F100" s="583" t="s">
        <v>1289</v>
      </c>
      <c r="G100" s="583" t="s">
        <v>1290</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ht="14.4">
      <c r="A102" s="579"/>
      <c r="B102" s="681" t="s">
        <v>1240</v>
      </c>
      <c r="C102" s="576" t="s">
        <v>1291</v>
      </c>
      <c r="D102" s="576" t="s">
        <v>1292</v>
      </c>
      <c r="E102" s="576" t="s">
        <v>1293</v>
      </c>
      <c r="F102" s="576" t="s">
        <v>1294</v>
      </c>
      <c r="G102" s="576" t="s">
        <v>1295</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ht="14.4">
      <c r="A104" s="569"/>
      <c r="B104" s="572" t="str">
        <f>B31</f>
        <v>临街状况</v>
      </c>
      <c r="C104" s="573" t="s">
        <v>1711</v>
      </c>
      <c r="D104" s="573" t="s">
        <v>1712</v>
      </c>
      <c r="E104" s="573" t="s">
        <v>1713</v>
      </c>
      <c r="F104" s="573" t="s">
        <v>1714</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8.8">
      <c r="A106" s="569"/>
      <c r="B106" s="572" t="s">
        <v>1242</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ht="14.4">
      <c r="A108" s="569"/>
      <c r="B108" s="572" t="s">
        <v>1676</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ht="14.4">
      <c r="A116" s="565" t="s">
        <v>1245</v>
      </c>
      <c r="B116" s="566" t="s">
        <v>1677</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ht="14.4">
      <c r="A119" s="685"/>
      <c r="B119" s="572" t="s">
        <v>1678</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ht="14.4">
      <c r="A121" s="685"/>
      <c r="B121" s="572" t="s">
        <v>1679</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ht="14.4">
      <c r="A123" s="687"/>
      <c r="B123" s="572" t="s">
        <v>1680</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ht="14.4">
      <c r="A125" s="685"/>
      <c r="B125" s="572" t="s">
        <v>1681</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3.8"/>
  <cols>
    <col min="1" max="1" width="14.33203125" style="423" customWidth="1"/>
    <col min="2" max="2" width="15.77734375" style="423" customWidth="1"/>
    <col min="3" max="3" width="14.3320312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4.44140625" style="423" customWidth="1"/>
    <col min="10" max="10" width="12.21875" style="423" customWidth="1"/>
    <col min="11" max="11" width="12.21875" style="424" customWidth="1"/>
    <col min="12" max="12" width="12.21875" style="425" customWidth="1"/>
    <col min="13" max="15" width="12.21875" style="423" customWidth="1"/>
    <col min="16" max="16" width="4.77734375" style="423"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7" customFormat="1" ht="28.5" customHeight="1">
      <c r="A1" s="1731" t="s">
        <v>1671</v>
      </c>
      <c r="B1" s="1732"/>
      <c r="C1" s="655" t="s">
        <v>1661</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#REF!</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28" t="s">
        <v>1212</v>
      </c>
      <c r="AC4" s="3276" t="s">
        <v>1213</v>
      </c>
    </row>
    <row r="5" spans="1:29">
      <c r="A5" s="448"/>
      <c r="B5" s="449"/>
      <c r="C5" s="3199" t="s">
        <v>1216</v>
      </c>
      <c r="D5" s="3200"/>
      <c r="E5" s="3272" t="s">
        <v>1623</v>
      </c>
      <c r="F5" s="3202"/>
      <c r="G5" s="3199" t="s">
        <v>1624</v>
      </c>
      <c r="H5" s="3200"/>
      <c r="I5" s="3199" t="s">
        <v>1625</v>
      </c>
      <c r="J5" s="3200"/>
      <c r="K5" s="592"/>
      <c r="L5" s="593"/>
      <c r="M5" s="536"/>
      <c r="N5" s="536"/>
      <c r="O5" s="536"/>
      <c r="P5" s="3279"/>
      <c r="Q5" s="3236"/>
      <c r="R5" s="3241"/>
      <c r="S5" s="3242"/>
      <c r="T5" s="3241"/>
      <c r="U5" s="3242"/>
      <c r="V5" s="3214"/>
      <c r="W5" s="3214"/>
      <c r="X5" s="658"/>
      <c r="Y5" s="3241"/>
      <c r="Z5" s="3242"/>
      <c r="AA5" s="3228"/>
      <c r="AB5" s="3228"/>
      <c r="AC5" s="3228"/>
    </row>
    <row r="6" spans="1:29" ht="14.4">
      <c r="A6" s="450"/>
      <c r="B6" s="451"/>
      <c r="C6" s="3289" t="s">
        <v>1715</v>
      </c>
      <c r="D6" s="3290"/>
      <c r="E6" s="3291" t="s">
        <v>1715</v>
      </c>
      <c r="F6" s="3292"/>
      <c r="G6" s="3289" t="s">
        <v>1715</v>
      </c>
      <c r="H6" s="3290"/>
      <c r="I6" s="3289" t="s">
        <v>1715</v>
      </c>
      <c r="J6" s="3290"/>
      <c r="K6" s="592" t="s">
        <v>1218</v>
      </c>
      <c r="L6" s="593"/>
      <c r="M6" s="536"/>
      <c r="N6" s="536"/>
      <c r="O6" s="536"/>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10" t="s">
        <v>1220</v>
      </c>
      <c r="Q7" s="3209"/>
      <c r="R7" s="659" t="s">
        <v>1221</v>
      </c>
      <c r="S7" s="660">
        <f t="shared" ref="S7:S15" si="0">F7</f>
        <v>0</v>
      </c>
      <c r="T7" s="659" t="s">
        <v>1221</v>
      </c>
      <c r="U7" s="660">
        <f t="shared" ref="U7:U15" si="1">H7</f>
        <v>0</v>
      </c>
      <c r="V7" s="659" t="s">
        <v>1221</v>
      </c>
      <c r="W7" s="660">
        <f t="shared" ref="W7:W15" si="2">J7</f>
        <v>0</v>
      </c>
      <c r="X7" s="661"/>
      <c r="Y7" s="3210" t="s">
        <v>1220</v>
      </c>
      <c r="Z7" s="3211"/>
      <c r="AA7" s="677" t="e">
        <f>D7/F7</f>
        <v>#DIV/0!</v>
      </c>
      <c r="AB7" s="677" t="e">
        <f>D7/H7</f>
        <v>#DIV/0!</v>
      </c>
      <c r="AC7" s="677" t="e">
        <f>D7/J7</f>
        <v>#DIV/0!</v>
      </c>
    </row>
    <row r="8" spans="1:29" s="418" customFormat="1" ht="14.4">
      <c r="A8" s="452" t="s">
        <v>1222</v>
      </c>
      <c r="B8" s="453"/>
      <c r="C8" s="458" t="s">
        <v>1223</v>
      </c>
      <c r="D8" s="455">
        <v>100</v>
      </c>
      <c r="E8" s="458" t="s">
        <v>1223</v>
      </c>
      <c r="F8" s="457">
        <f>SUMIF(68:68,E8,69:69)-SUMIF(68:68,C8,69:69)+100</f>
        <v>100</v>
      </c>
      <c r="G8" s="458" t="s">
        <v>1223</v>
      </c>
      <c r="H8" s="455">
        <f>SUMIF(68:68,G8,69:69)-SUMIF(68:68,C8,69:69)+100</f>
        <v>100</v>
      </c>
      <c r="I8" s="458" t="s">
        <v>1223</v>
      </c>
      <c r="J8" s="455">
        <f>SUMIF(68:68,I8,69:69)-SUMIF(68:68,C8,69:69)+100</f>
        <v>100</v>
      </c>
      <c r="K8" s="594"/>
      <c r="L8" s="595"/>
      <c r="M8" s="596"/>
      <c r="N8" s="596"/>
      <c r="O8" s="596"/>
      <c r="P8" s="3210" t="s">
        <v>1224</v>
      </c>
      <c r="Q8" s="3211"/>
      <c r="R8" s="659" t="s">
        <v>1221</v>
      </c>
      <c r="S8" s="660">
        <f t="shared" si="0"/>
        <v>100</v>
      </c>
      <c r="T8" s="659" t="s">
        <v>1221</v>
      </c>
      <c r="U8" s="660">
        <f t="shared" si="1"/>
        <v>100</v>
      </c>
      <c r="V8" s="659" t="s">
        <v>1221</v>
      </c>
      <c r="W8" s="660">
        <f t="shared" si="2"/>
        <v>100</v>
      </c>
      <c r="X8" s="661"/>
      <c r="Y8" s="3210" t="s">
        <v>1224</v>
      </c>
      <c r="Z8" s="3211"/>
      <c r="AA8" s="677">
        <f t="shared" ref="AA8:AA40" si="3">D8/F8</f>
        <v>1</v>
      </c>
      <c r="AB8" s="677">
        <f t="shared" ref="AB8:AB40" si="4">D8/H8</f>
        <v>1</v>
      </c>
      <c r="AC8" s="677">
        <f t="shared" ref="AC8:AC40" si="5">D8/J8</f>
        <v>1</v>
      </c>
    </row>
    <row r="9" spans="1:29" s="418" customFormat="1" ht="14.4">
      <c r="A9" s="1740" t="s">
        <v>1225</v>
      </c>
      <c r="B9" s="1741" t="s">
        <v>1226</v>
      </c>
      <c r="C9" s="1742" t="s">
        <v>1716</v>
      </c>
      <c r="D9" s="462">
        <v>100</v>
      </c>
      <c r="E9" s="1742" t="s">
        <v>1716</v>
      </c>
      <c r="F9" s="462">
        <f>SUMIF(70:70,E9,71:71)-SUMIF(70:70,C9,71:71)+100</f>
        <v>100</v>
      </c>
      <c r="G9" s="1742" t="s">
        <v>1716</v>
      </c>
      <c r="H9" s="462">
        <f>SUMIF(70:70,G9,71:71)-SUMIF(70:70,C9,71:71)+100</f>
        <v>100</v>
      </c>
      <c r="I9" s="1742" t="s">
        <v>1716</v>
      </c>
      <c r="J9" s="462">
        <f>SUMIF(70:70,I9,71:71)-SUMIF(70:70,C9,71:71)+100</f>
        <v>100</v>
      </c>
      <c r="K9" s="594"/>
      <c r="L9" s="595"/>
      <c r="M9" s="596"/>
      <c r="N9" s="596"/>
      <c r="O9" s="1813"/>
      <c r="P9" s="3213" t="s">
        <v>1227</v>
      </c>
      <c r="Q9" s="663" t="str">
        <f t="shared" ref="Q9:Q15" si="6">B9</f>
        <v>用途</v>
      </c>
      <c r="R9" s="659" t="s">
        <v>1221</v>
      </c>
      <c r="S9" s="660">
        <f t="shared" si="0"/>
        <v>100</v>
      </c>
      <c r="T9" s="659" t="s">
        <v>1221</v>
      </c>
      <c r="U9" s="660">
        <f t="shared" si="1"/>
        <v>100</v>
      </c>
      <c r="V9" s="659" t="s">
        <v>1221</v>
      </c>
      <c r="W9" s="660">
        <f t="shared" si="2"/>
        <v>100</v>
      </c>
      <c r="X9" s="661"/>
      <c r="Y9" s="3186" t="s">
        <v>1228</v>
      </c>
      <c r="Z9" s="677" t="str">
        <f t="shared" ref="Z9:Z15" si="7">Q9</f>
        <v>用途</v>
      </c>
      <c r="AA9" s="677">
        <f t="shared" si="3"/>
        <v>1</v>
      </c>
      <c r="AB9" s="677">
        <f t="shared" si="4"/>
        <v>1</v>
      </c>
      <c r="AC9" s="677">
        <f t="shared" si="5"/>
        <v>1</v>
      </c>
    </row>
    <row r="10" spans="1:29" s="419" customFormat="1" ht="28.8">
      <c r="A10" s="1743"/>
      <c r="B10" s="1744" t="s">
        <v>1229</v>
      </c>
      <c r="C10" s="472"/>
      <c r="D10" s="468">
        <v>100</v>
      </c>
      <c r="E10" s="472"/>
      <c r="F10" s="468">
        <f>ROUND(100/'数据-取费表'!G16,0)</f>
        <v>121</v>
      </c>
      <c r="G10" s="472"/>
      <c r="H10" s="468">
        <f>ROUND(100/'数据-取费表'!G16,0)</f>
        <v>121</v>
      </c>
      <c r="I10" s="472"/>
      <c r="J10" s="468">
        <f>ROUND(100/'数据-取费表'!G16,0)</f>
        <v>121</v>
      </c>
      <c r="K10" s="1814"/>
      <c r="L10" s="600"/>
      <c r="M10" s="601"/>
      <c r="N10" s="601"/>
      <c r="O10" s="1815"/>
      <c r="P10" s="3213"/>
      <c r="Q10" s="663" t="str">
        <f t="shared" si="6"/>
        <v>土地使用年限（年）</v>
      </c>
      <c r="R10" s="659" t="s">
        <v>1221</v>
      </c>
      <c r="S10" s="660">
        <f t="shared" si="0"/>
        <v>121</v>
      </c>
      <c r="T10" s="659" t="s">
        <v>1221</v>
      </c>
      <c r="U10" s="660">
        <f t="shared" si="1"/>
        <v>121</v>
      </c>
      <c r="V10" s="659" t="s">
        <v>1221</v>
      </c>
      <c r="W10" s="660">
        <f t="shared" si="2"/>
        <v>121</v>
      </c>
      <c r="X10" s="661"/>
      <c r="Y10" s="3186"/>
      <c r="Z10" s="677" t="str">
        <f t="shared" si="7"/>
        <v>土地使用年限（年）</v>
      </c>
      <c r="AA10" s="677">
        <f t="shared" si="3"/>
        <v>0.82644628099173556</v>
      </c>
      <c r="AB10" s="677">
        <f t="shared" si="4"/>
        <v>0.82644628099173556</v>
      </c>
      <c r="AC10" s="677">
        <f t="shared" si="5"/>
        <v>0.82644628099173556</v>
      </c>
    </row>
    <row r="11" spans="1:29" ht="15">
      <c r="A11" s="569"/>
      <c r="B11" s="1744" t="s">
        <v>1232</v>
      </c>
      <c r="C11" s="1745">
        <f>'数据-汇总表'!I6</f>
        <v>4.72</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13"/>
      <c r="Q11" s="663" t="str">
        <f t="shared" si="6"/>
        <v>容积率</v>
      </c>
      <c r="R11" s="659" t="s">
        <v>1221</v>
      </c>
      <c r="S11" s="660">
        <f t="shared" si="0"/>
        <v>100</v>
      </c>
      <c r="T11" s="659" t="s">
        <v>1221</v>
      </c>
      <c r="U11" s="660">
        <f t="shared" si="1"/>
        <v>100</v>
      </c>
      <c r="V11" s="659" t="s">
        <v>1221</v>
      </c>
      <c r="W11" s="660">
        <f t="shared" si="2"/>
        <v>100</v>
      </c>
      <c r="X11" s="661"/>
      <c r="Y11" s="3186"/>
      <c r="Z11" s="677" t="str">
        <f t="shared" si="7"/>
        <v>容积率</v>
      </c>
      <c r="AA11" s="677">
        <f t="shared" si="3"/>
        <v>1</v>
      </c>
      <c r="AB11" s="677">
        <f t="shared" si="4"/>
        <v>1</v>
      </c>
      <c r="AC11" s="677">
        <f t="shared" si="5"/>
        <v>1</v>
      </c>
    </row>
    <row r="12" spans="1:29" s="418" customFormat="1" ht="1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13"/>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13"/>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1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13"/>
      <c r="Q14" s="663">
        <f t="shared" si="6"/>
        <v>111</v>
      </c>
      <c r="R14" s="659" t="s">
        <v>1221</v>
      </c>
      <c r="S14" s="660">
        <f t="shared" si="0"/>
        <v>100</v>
      </c>
      <c r="T14" s="659" t="s">
        <v>1221</v>
      </c>
      <c r="U14" s="660">
        <f t="shared" si="1"/>
        <v>100</v>
      </c>
      <c r="V14" s="659" t="s">
        <v>1221</v>
      </c>
      <c r="W14" s="660">
        <f t="shared" si="2"/>
        <v>100</v>
      </c>
      <c r="X14" s="661"/>
      <c r="Y14" s="3186"/>
      <c r="Z14" s="677">
        <f t="shared" si="7"/>
        <v>111</v>
      </c>
      <c r="AA14" s="677">
        <f t="shared" si="3"/>
        <v>1</v>
      </c>
      <c r="AB14" s="677">
        <f t="shared" si="4"/>
        <v>1</v>
      </c>
      <c r="AC14" s="677">
        <f t="shared" si="5"/>
        <v>1</v>
      </c>
    </row>
    <row r="15" spans="1:29" ht="55.2">
      <c r="A15" s="565" t="s">
        <v>1233</v>
      </c>
      <c r="B15" s="478" t="s">
        <v>1662</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20" t="s">
        <v>1235</v>
      </c>
      <c r="Q15" s="598" t="str">
        <f t="shared" si="6"/>
        <v>产业集聚程度</v>
      </c>
      <c r="R15" s="664" t="s">
        <v>1221</v>
      </c>
      <c r="S15" s="665">
        <f t="shared" si="0"/>
        <v>103</v>
      </c>
      <c r="T15" s="664" t="s">
        <v>1221</v>
      </c>
      <c r="U15" s="665">
        <f t="shared" si="1"/>
        <v>103</v>
      </c>
      <c r="V15" s="664" t="s">
        <v>1221</v>
      </c>
      <c r="W15" s="665">
        <f t="shared" si="2"/>
        <v>103</v>
      </c>
      <c r="X15" s="658"/>
      <c r="Y15" s="3220" t="s">
        <v>1235</v>
      </c>
      <c r="Z15" s="657" t="str">
        <f t="shared" si="7"/>
        <v>产业集聚程度</v>
      </c>
      <c r="AA15" s="657">
        <f t="shared" si="3"/>
        <v>0.970873786407767</v>
      </c>
      <c r="AB15" s="657">
        <f t="shared" si="4"/>
        <v>0.970873786407767</v>
      </c>
      <c r="AC15" s="657">
        <f t="shared" si="5"/>
        <v>0.970873786407767</v>
      </c>
    </row>
    <row r="16" spans="1:29" ht="15">
      <c r="A16" s="569"/>
      <c r="B16" s="1751"/>
      <c r="C16" s="485" t="s">
        <v>1717</v>
      </c>
      <c r="D16" s="486"/>
      <c r="E16" s="1752" t="s">
        <v>1718</v>
      </c>
      <c r="F16" s="486"/>
      <c r="G16" s="1752" t="s">
        <v>1718</v>
      </c>
      <c r="H16" s="488"/>
      <c r="I16" s="1752" t="s">
        <v>1718</v>
      </c>
      <c r="J16" s="486"/>
      <c r="K16" s="1814"/>
      <c r="L16" s="604"/>
      <c r="M16" s="536"/>
      <c r="N16" s="536"/>
      <c r="O16" s="1817"/>
      <c r="P16" s="3221"/>
      <c r="Q16" s="598"/>
      <c r="R16" s="664"/>
      <c r="S16" s="665"/>
      <c r="T16" s="664"/>
      <c r="U16" s="665"/>
      <c r="V16" s="664"/>
      <c r="W16" s="665"/>
      <c r="X16" s="658"/>
      <c r="Y16" s="3221"/>
      <c r="Z16" s="657"/>
      <c r="AA16" s="657">
        <v>1</v>
      </c>
      <c r="AB16" s="657">
        <v>1</v>
      </c>
      <c r="AC16" s="657">
        <v>1</v>
      </c>
    </row>
    <row r="17" spans="1:29" ht="124.2">
      <c r="A17" s="569"/>
      <c r="B17" s="489" t="s">
        <v>1238</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21"/>
      <c r="Q17" s="598" t="str">
        <f>B17</f>
        <v>交通便捷度</v>
      </c>
      <c r="R17" s="664" t="s">
        <v>1221</v>
      </c>
      <c r="S17" s="665">
        <f>F17</f>
        <v>102</v>
      </c>
      <c r="T17" s="664" t="s">
        <v>1221</v>
      </c>
      <c r="U17" s="665">
        <f>H17</f>
        <v>102</v>
      </c>
      <c r="V17" s="664" t="s">
        <v>1221</v>
      </c>
      <c r="W17" s="665">
        <f>J17</f>
        <v>102</v>
      </c>
      <c r="X17" s="658"/>
      <c r="Y17" s="3221"/>
      <c r="Z17" s="657" t="str">
        <f>Q17</f>
        <v>交通便捷度</v>
      </c>
      <c r="AA17" s="657">
        <f t="shared" si="3"/>
        <v>0.98039215686274506</v>
      </c>
      <c r="AB17" s="657">
        <f t="shared" si="4"/>
        <v>0.98039215686274506</v>
      </c>
      <c r="AC17" s="657">
        <f t="shared" si="5"/>
        <v>0.98039215686274506</v>
      </c>
    </row>
    <row r="18" spans="1:29" ht="15">
      <c r="A18" s="569"/>
      <c r="B18" s="495"/>
      <c r="C18" s="485" t="s">
        <v>1718</v>
      </c>
      <c r="D18" s="486"/>
      <c r="E18" s="1753" t="s">
        <v>1237</v>
      </c>
      <c r="F18" s="486"/>
      <c r="G18" s="1753" t="s">
        <v>1237</v>
      </c>
      <c r="H18" s="486"/>
      <c r="I18" s="1753" t="s">
        <v>1237</v>
      </c>
      <c r="J18" s="486"/>
      <c r="K18" s="1814"/>
      <c r="L18" s="604"/>
      <c r="M18" s="536"/>
      <c r="N18" s="536"/>
      <c r="O18" s="1817"/>
      <c r="P18" s="3221"/>
      <c r="Q18" s="598"/>
      <c r="R18" s="664"/>
      <c r="S18" s="665"/>
      <c r="T18" s="664"/>
      <c r="U18" s="665"/>
      <c r="V18" s="664"/>
      <c r="W18" s="665"/>
      <c r="X18" s="658"/>
      <c r="Y18" s="3221"/>
      <c r="Z18" s="657"/>
      <c r="AA18" s="657">
        <v>1</v>
      </c>
      <c r="AB18" s="657">
        <v>1</v>
      </c>
      <c r="AC18" s="657">
        <v>1</v>
      </c>
    </row>
    <row r="19" spans="1:29" ht="28.8">
      <c r="A19" s="569"/>
      <c r="B19" s="489" t="s">
        <v>1674</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21"/>
      <c r="Q19" s="598" t="str">
        <f t="shared" ref="Q19:Q34" si="8">B19</f>
        <v>区域土地利用方向</v>
      </c>
      <c r="R19" s="664" t="s">
        <v>1221</v>
      </c>
      <c r="S19" s="665">
        <f>F19</f>
        <v>100</v>
      </c>
      <c r="T19" s="664" t="s">
        <v>1221</v>
      </c>
      <c r="U19" s="665">
        <f>H19</f>
        <v>100</v>
      </c>
      <c r="V19" s="664" t="s">
        <v>1221</v>
      </c>
      <c r="W19" s="665">
        <f>J19</f>
        <v>100</v>
      </c>
      <c r="X19" s="658"/>
      <c r="Y19" s="3221"/>
      <c r="Z19" s="657" t="str">
        <f>Q19</f>
        <v>区域土地利用方向</v>
      </c>
      <c r="AA19" s="657">
        <f t="shared" si="3"/>
        <v>1</v>
      </c>
      <c r="AB19" s="657">
        <f t="shared" si="4"/>
        <v>1</v>
      </c>
      <c r="AC19" s="657">
        <f t="shared" si="5"/>
        <v>1</v>
      </c>
    </row>
    <row r="20" spans="1:29" ht="15">
      <c r="A20" s="448"/>
      <c r="B20" s="495"/>
      <c r="C20" s="485" t="s">
        <v>1237</v>
      </c>
      <c r="D20" s="486"/>
      <c r="E20" s="485" t="s">
        <v>1237</v>
      </c>
      <c r="F20" s="486"/>
      <c r="G20" s="485" t="s">
        <v>1237</v>
      </c>
      <c r="H20" s="486"/>
      <c r="I20" s="485" t="s">
        <v>1237</v>
      </c>
      <c r="J20" s="486"/>
      <c r="K20" s="1818"/>
      <c r="L20" s="604"/>
      <c r="M20" s="536"/>
      <c r="N20" s="536"/>
      <c r="O20" s="1817"/>
      <c r="P20" s="3221"/>
      <c r="Q20" s="598"/>
      <c r="R20" s="664"/>
      <c r="S20" s="665"/>
      <c r="T20" s="664"/>
      <c r="U20" s="665"/>
      <c r="V20" s="664"/>
      <c r="W20" s="665"/>
      <c r="X20" s="658"/>
      <c r="Y20" s="3221"/>
      <c r="Z20" s="657"/>
      <c r="AA20" s="657"/>
      <c r="AB20" s="657"/>
      <c r="AC20" s="657"/>
    </row>
    <row r="21" spans="1:29" ht="82.8">
      <c r="A21" s="448"/>
      <c r="B21" s="489" t="s">
        <v>1719</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21"/>
      <c r="Q21" s="598" t="str">
        <f t="shared" si="8"/>
        <v>环境状况</v>
      </c>
      <c r="R21" s="664" t="s">
        <v>1221</v>
      </c>
      <c r="S21" s="665">
        <f>F21</f>
        <v>100</v>
      </c>
      <c r="T21" s="664" t="s">
        <v>1221</v>
      </c>
      <c r="U21" s="665">
        <f>H21</f>
        <v>100</v>
      </c>
      <c r="V21" s="664" t="s">
        <v>1221</v>
      </c>
      <c r="W21" s="665">
        <f>J21</f>
        <v>100</v>
      </c>
      <c r="X21" s="658"/>
      <c r="Y21" s="3221"/>
      <c r="Z21" s="657" t="str">
        <f>Q21</f>
        <v>环境状况</v>
      </c>
      <c r="AA21" s="657">
        <f t="shared" si="3"/>
        <v>1</v>
      </c>
      <c r="AB21" s="657">
        <f t="shared" si="4"/>
        <v>1</v>
      </c>
      <c r="AC21" s="657">
        <f t="shared" si="5"/>
        <v>1</v>
      </c>
    </row>
    <row r="22" spans="1:29" ht="15">
      <c r="A22" s="448"/>
      <c r="B22" s="495"/>
      <c r="C22" s="485" t="s">
        <v>1718</v>
      </c>
      <c r="D22" s="486"/>
      <c r="E22" s="485" t="s">
        <v>1718</v>
      </c>
      <c r="F22" s="486"/>
      <c r="G22" s="485" t="s">
        <v>1718</v>
      </c>
      <c r="H22" s="486"/>
      <c r="I22" s="485" t="s">
        <v>1718</v>
      </c>
      <c r="J22" s="486"/>
      <c r="K22" s="1814"/>
      <c r="L22" s="604"/>
      <c r="M22" s="536"/>
      <c r="N22" s="536"/>
      <c r="O22" s="1817"/>
      <c r="P22" s="3221"/>
      <c r="Q22" s="598"/>
      <c r="R22" s="664"/>
      <c r="S22" s="665"/>
      <c r="T22" s="664"/>
      <c r="U22" s="665"/>
      <c r="V22" s="664"/>
      <c r="W22" s="665"/>
      <c r="X22" s="658"/>
      <c r="Y22" s="3221"/>
      <c r="Z22" s="657"/>
      <c r="AA22" s="657">
        <v>1</v>
      </c>
      <c r="AB22" s="657">
        <v>1</v>
      </c>
      <c r="AC22" s="657">
        <v>1</v>
      </c>
    </row>
    <row r="23" spans="1:29" s="418" customFormat="1" ht="55.2">
      <c r="A23" s="504"/>
      <c r="B23" s="497" t="s">
        <v>1239</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21"/>
      <c r="Q23" s="663" t="str">
        <f t="shared" si="8"/>
        <v>公共配套设施</v>
      </c>
      <c r="R23" s="659" t="s">
        <v>1221</v>
      </c>
      <c r="S23" s="660">
        <f>F23</f>
        <v>101</v>
      </c>
      <c r="T23" s="659" t="s">
        <v>1221</v>
      </c>
      <c r="U23" s="660">
        <f>H23</f>
        <v>101</v>
      </c>
      <c r="V23" s="659" t="s">
        <v>1221</v>
      </c>
      <c r="W23" s="660">
        <f>J23</f>
        <v>101</v>
      </c>
      <c r="X23" s="661"/>
      <c r="Y23" s="3221"/>
      <c r="Z23" s="677" t="str">
        <f>Q23</f>
        <v>公共配套设施</v>
      </c>
      <c r="AA23" s="657">
        <f>D23/F23</f>
        <v>0.99009900990099009</v>
      </c>
      <c r="AB23" s="657">
        <f>D23/H23</f>
        <v>0.99009900990099009</v>
      </c>
      <c r="AC23" s="657">
        <f>D23/J23</f>
        <v>0.99009900990099009</v>
      </c>
    </row>
    <row r="24" spans="1:29" s="418" customFormat="1" ht="15">
      <c r="A24" s="504"/>
      <c r="B24" s="495"/>
      <c r="C24" s="1754" t="s">
        <v>1717</v>
      </c>
      <c r="D24" s="486"/>
      <c r="E24" s="1752" t="s">
        <v>1718</v>
      </c>
      <c r="F24" s="486"/>
      <c r="G24" s="1752" t="s">
        <v>1718</v>
      </c>
      <c r="H24" s="486"/>
      <c r="I24" s="1752" t="s">
        <v>1718</v>
      </c>
      <c r="J24" s="486"/>
      <c r="K24" s="1814"/>
      <c r="L24" s="595"/>
      <c r="M24" s="596"/>
      <c r="N24" s="596"/>
      <c r="O24" s="1813"/>
      <c r="P24" s="3221"/>
      <c r="Q24" s="663"/>
      <c r="R24" s="659"/>
      <c r="S24" s="660"/>
      <c r="T24" s="659"/>
      <c r="U24" s="660"/>
      <c r="V24" s="659"/>
      <c r="W24" s="660"/>
      <c r="X24" s="661"/>
      <c r="Y24" s="3221"/>
      <c r="Z24" s="677"/>
      <c r="AA24" s="677">
        <v>1</v>
      </c>
      <c r="AB24" s="677">
        <v>1</v>
      </c>
      <c r="AC24" s="677">
        <v>1</v>
      </c>
    </row>
    <row r="25" spans="1:29" s="418" customFormat="1" ht="41.4">
      <c r="A25" s="504"/>
      <c r="B25" s="497" t="s">
        <v>1240</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21"/>
      <c r="Q25" s="663" t="str">
        <f t="shared" ref="Q25" si="9">B25</f>
        <v>基础设施水平</v>
      </c>
      <c r="R25" s="659" t="s">
        <v>1221</v>
      </c>
      <c r="S25" s="660">
        <f>F25</f>
        <v>100</v>
      </c>
      <c r="T25" s="659" t="s">
        <v>1221</v>
      </c>
      <c r="U25" s="660">
        <f>H25</f>
        <v>100</v>
      </c>
      <c r="V25" s="659" t="s">
        <v>1221</v>
      </c>
      <c r="W25" s="660">
        <f>J25</f>
        <v>100</v>
      </c>
      <c r="X25" s="661"/>
      <c r="Y25" s="3221"/>
      <c r="Z25" s="677" t="str">
        <f>Q25</f>
        <v>基础设施水平</v>
      </c>
      <c r="AA25" s="657">
        <f>D25/F25</f>
        <v>1</v>
      </c>
      <c r="AB25" s="657">
        <f>D25/H25</f>
        <v>1</v>
      </c>
      <c r="AC25" s="657">
        <f>D25/J25</f>
        <v>1</v>
      </c>
    </row>
    <row r="26" spans="1:29" s="418" customFormat="1" ht="15">
      <c r="A26" s="504"/>
      <c r="B26" s="495"/>
      <c r="C26" s="1754" t="s">
        <v>238</v>
      </c>
      <c r="D26" s="486"/>
      <c r="E26" s="1754" t="s">
        <v>238</v>
      </c>
      <c r="F26" s="486"/>
      <c r="G26" s="1754" t="s">
        <v>238</v>
      </c>
      <c r="H26" s="486"/>
      <c r="I26" s="1754" t="s">
        <v>238</v>
      </c>
      <c r="J26" s="486"/>
      <c r="K26" s="1814"/>
      <c r="L26" s="595"/>
      <c r="M26" s="596"/>
      <c r="N26" s="596"/>
      <c r="O26" s="1813"/>
      <c r="P26" s="3221"/>
      <c r="Q26" s="663"/>
      <c r="R26" s="659"/>
      <c r="S26" s="660"/>
      <c r="T26" s="659"/>
      <c r="U26" s="660"/>
      <c r="V26" s="659"/>
      <c r="W26" s="660"/>
      <c r="X26" s="661"/>
      <c r="Y26" s="3221"/>
      <c r="Z26" s="677"/>
      <c r="AA26" s="677">
        <v>1</v>
      </c>
      <c r="AB26" s="677">
        <v>1</v>
      </c>
      <c r="AC26" s="677">
        <v>1</v>
      </c>
    </row>
    <row r="27" spans="1:29" ht="15">
      <c r="A27" s="569"/>
      <c r="B27" s="495" t="s">
        <v>1654</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21"/>
      <c r="Q27" s="598" t="str">
        <f t="shared" si="8"/>
        <v>临街状况</v>
      </c>
      <c r="R27" s="664" t="s">
        <v>1221</v>
      </c>
      <c r="S27" s="665">
        <f t="shared" ref="S27:S40" si="10">F27</f>
        <v>100</v>
      </c>
      <c r="T27" s="664" t="s">
        <v>1221</v>
      </c>
      <c r="U27" s="665">
        <f t="shared" ref="U27:U40" si="11">H27</f>
        <v>100</v>
      </c>
      <c r="V27" s="664" t="s">
        <v>1221</v>
      </c>
      <c r="W27" s="665">
        <f t="shared" ref="W27:W40" si="12">J27</f>
        <v>100</v>
      </c>
      <c r="X27" s="658"/>
      <c r="Y27" s="3221"/>
      <c r="Z27" s="657" t="str">
        <f t="shared" ref="Z27:Z40" si="13">Q27</f>
        <v>临街状况</v>
      </c>
      <c r="AA27" s="657">
        <f t="shared" si="3"/>
        <v>1</v>
      </c>
      <c r="AB27" s="657">
        <f t="shared" si="4"/>
        <v>1</v>
      </c>
      <c r="AC27" s="657">
        <f t="shared" si="5"/>
        <v>1</v>
      </c>
    </row>
    <row r="28" spans="1:29" ht="28.8">
      <c r="A28" s="569"/>
      <c r="B28" s="497" t="s">
        <v>1242</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21"/>
      <c r="Q28" s="598" t="str">
        <f t="shared" si="8"/>
        <v>毗邻道路的类型与等级</v>
      </c>
      <c r="R28" s="664" t="s">
        <v>1221</v>
      </c>
      <c r="S28" s="665">
        <f t="shared" si="10"/>
        <v>100</v>
      </c>
      <c r="T28" s="664" t="s">
        <v>1221</v>
      </c>
      <c r="U28" s="665">
        <f t="shared" si="11"/>
        <v>100</v>
      </c>
      <c r="V28" s="664" t="s">
        <v>1221</v>
      </c>
      <c r="W28" s="665">
        <f t="shared" si="12"/>
        <v>100</v>
      </c>
      <c r="X28" s="658"/>
      <c r="Y28" s="3221"/>
      <c r="Z28" s="657" t="str">
        <f t="shared" si="13"/>
        <v>毗邻道路的类型与等级</v>
      </c>
      <c r="AA28" s="657">
        <f t="shared" si="3"/>
        <v>1</v>
      </c>
      <c r="AB28" s="657">
        <f t="shared" si="4"/>
        <v>1</v>
      </c>
      <c r="AC28" s="657">
        <f t="shared" si="5"/>
        <v>1</v>
      </c>
    </row>
    <row r="29" spans="1:29" ht="15">
      <c r="A29" s="569"/>
      <c r="B29" s="495"/>
      <c r="C29" s="485"/>
      <c r="D29" s="486"/>
      <c r="E29" s="1752"/>
      <c r="F29" s="486"/>
      <c r="G29" s="1752"/>
      <c r="H29" s="486"/>
      <c r="I29" s="1752"/>
      <c r="J29" s="486"/>
      <c r="K29" s="602"/>
      <c r="L29" s="604"/>
      <c r="M29" s="536"/>
      <c r="N29" s="536"/>
      <c r="O29" s="1817"/>
      <c r="P29" s="3221"/>
      <c r="Q29" s="598"/>
      <c r="R29" s="664"/>
      <c r="S29" s="665"/>
      <c r="T29" s="664"/>
      <c r="U29" s="665"/>
      <c r="V29" s="664"/>
      <c r="W29" s="665"/>
      <c r="X29" s="658"/>
      <c r="Y29" s="3221"/>
      <c r="Z29" s="657"/>
      <c r="AA29" s="657">
        <v>1</v>
      </c>
      <c r="AB29" s="657">
        <v>1</v>
      </c>
      <c r="AC29" s="657">
        <v>1</v>
      </c>
    </row>
    <row r="30" spans="1:29" ht="15">
      <c r="A30" s="569"/>
      <c r="B30" s="468" t="s">
        <v>1676</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21"/>
      <c r="Q30" s="598" t="str">
        <f t="shared" si="8"/>
        <v>土地级别</v>
      </c>
      <c r="R30" s="664" t="s">
        <v>1221</v>
      </c>
      <c r="S30" s="665">
        <f t="shared" si="10"/>
        <v>100</v>
      </c>
      <c r="T30" s="664" t="s">
        <v>1221</v>
      </c>
      <c r="U30" s="665">
        <f t="shared" si="11"/>
        <v>100</v>
      </c>
      <c r="V30" s="664" t="s">
        <v>1221</v>
      </c>
      <c r="W30" s="665">
        <f t="shared" si="12"/>
        <v>100</v>
      </c>
      <c r="X30" s="658"/>
      <c r="Y30" s="3221"/>
      <c r="Z30" s="657" t="str">
        <f t="shared" si="13"/>
        <v>土地级别</v>
      </c>
      <c r="AA30" s="657">
        <f t="shared" si="3"/>
        <v>1</v>
      </c>
      <c r="AB30" s="657">
        <f t="shared" si="4"/>
        <v>1</v>
      </c>
      <c r="AC30" s="657">
        <f t="shared" si="5"/>
        <v>1</v>
      </c>
    </row>
    <row r="31" spans="1:29" ht="1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21"/>
      <c r="Q31" s="598">
        <f t="shared" si="8"/>
        <v>111</v>
      </c>
      <c r="R31" s="664" t="s">
        <v>1221</v>
      </c>
      <c r="S31" s="665">
        <f t="shared" si="10"/>
        <v>100</v>
      </c>
      <c r="T31" s="664" t="s">
        <v>1221</v>
      </c>
      <c r="U31" s="665">
        <f t="shared" si="11"/>
        <v>100</v>
      </c>
      <c r="V31" s="664" t="s">
        <v>1221</v>
      </c>
      <c r="W31" s="665">
        <f t="shared" si="12"/>
        <v>100</v>
      </c>
      <c r="X31" s="658"/>
      <c r="Y31" s="3221"/>
      <c r="Z31" s="657">
        <f t="shared" si="13"/>
        <v>111</v>
      </c>
      <c r="AA31" s="657">
        <f t="shared" si="3"/>
        <v>1</v>
      </c>
      <c r="AB31" s="657">
        <f t="shared" si="4"/>
        <v>1</v>
      </c>
      <c r="AC31" s="657">
        <f t="shared" si="5"/>
        <v>1</v>
      </c>
    </row>
    <row r="32" spans="1:29" ht="1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283" t="s">
        <v>1247</v>
      </c>
      <c r="Q32" s="598">
        <f t="shared" si="8"/>
        <v>111</v>
      </c>
      <c r="R32" s="664" t="s">
        <v>1221</v>
      </c>
      <c r="S32" s="665">
        <f t="shared" si="10"/>
        <v>100</v>
      </c>
      <c r="T32" s="664" t="s">
        <v>1221</v>
      </c>
      <c r="U32" s="665">
        <f t="shared" si="11"/>
        <v>100</v>
      </c>
      <c r="V32" s="664" t="s">
        <v>1221</v>
      </c>
      <c r="W32" s="665">
        <f t="shared" si="12"/>
        <v>100</v>
      </c>
      <c r="X32" s="658"/>
      <c r="Y32" s="3222" t="s">
        <v>1247</v>
      </c>
      <c r="Z32" s="657">
        <f t="shared" si="13"/>
        <v>111</v>
      </c>
      <c r="AA32" s="657">
        <f t="shared" si="3"/>
        <v>1</v>
      </c>
      <c r="AB32" s="657">
        <f t="shared" si="4"/>
        <v>1</v>
      </c>
      <c r="AC32" s="657">
        <f t="shared" si="5"/>
        <v>1</v>
      </c>
    </row>
    <row r="33" spans="1:31" s="420" customFormat="1" ht="1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22"/>
      <c r="Q33" s="598">
        <f t="shared" si="8"/>
        <v>111</v>
      </c>
      <c r="R33" s="667" t="s">
        <v>1221</v>
      </c>
      <c r="S33" s="668">
        <f t="shared" si="10"/>
        <v>100</v>
      </c>
      <c r="T33" s="667" t="s">
        <v>1221</v>
      </c>
      <c r="U33" s="668">
        <f t="shared" si="11"/>
        <v>100</v>
      </c>
      <c r="V33" s="667" t="s">
        <v>1221</v>
      </c>
      <c r="W33" s="668">
        <f t="shared" si="12"/>
        <v>100</v>
      </c>
      <c r="X33" s="669"/>
      <c r="Y33" s="3222"/>
      <c r="Z33" s="678">
        <f t="shared" si="13"/>
        <v>111</v>
      </c>
      <c r="AA33" s="657">
        <f t="shared" si="3"/>
        <v>1</v>
      </c>
      <c r="AB33" s="657">
        <f t="shared" si="4"/>
        <v>1</v>
      </c>
      <c r="AC33" s="657">
        <f t="shared" si="5"/>
        <v>1</v>
      </c>
    </row>
    <row r="34" spans="1:31" ht="15">
      <c r="A34" s="565" t="s">
        <v>1245</v>
      </c>
      <c r="B34" s="1767" t="s">
        <v>1677</v>
      </c>
      <c r="C34" s="1768">
        <f>'数据-汇总表'!D3</f>
        <v>8176.44</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22"/>
      <c r="Q34" s="598" t="str">
        <f t="shared" si="8"/>
        <v>宗地面积</v>
      </c>
      <c r="R34" s="664" t="s">
        <v>1221</v>
      </c>
      <c r="S34" s="665" t="e">
        <f t="shared" si="10"/>
        <v>#REF!</v>
      </c>
      <c r="T34" s="664" t="s">
        <v>1221</v>
      </c>
      <c r="U34" s="665" t="e">
        <f t="shared" si="11"/>
        <v>#REF!</v>
      </c>
      <c r="V34" s="664" t="s">
        <v>1221</v>
      </c>
      <c r="W34" s="665" t="e">
        <f t="shared" si="12"/>
        <v>#REF!</v>
      </c>
      <c r="X34" s="658"/>
      <c r="Y34" s="3222"/>
      <c r="Z34" s="657" t="str">
        <f t="shared" si="13"/>
        <v>宗地面积</v>
      </c>
      <c r="AA34" s="657" t="e">
        <f t="shared" si="3"/>
        <v>#REF!</v>
      </c>
      <c r="AB34" s="657" t="e">
        <f t="shared" si="4"/>
        <v>#REF!</v>
      </c>
      <c r="AC34" s="657" t="e">
        <f t="shared" si="5"/>
        <v>#REF!</v>
      </c>
    </row>
    <row r="35" spans="1:31" ht="15">
      <c r="A35" s="685"/>
      <c r="B35" s="1744" t="s">
        <v>1678</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22"/>
      <c r="Q35" s="598" t="str">
        <f t="shared" ref="Q35:Q40" si="14">B35</f>
        <v>宗地形状</v>
      </c>
      <c r="R35" s="664" t="s">
        <v>1221</v>
      </c>
      <c r="S35" s="665">
        <f t="shared" si="10"/>
        <v>100</v>
      </c>
      <c r="T35" s="664" t="s">
        <v>1221</v>
      </c>
      <c r="U35" s="665">
        <f t="shared" si="11"/>
        <v>100</v>
      </c>
      <c r="V35" s="664" t="s">
        <v>1221</v>
      </c>
      <c r="W35" s="665">
        <f t="shared" si="12"/>
        <v>100</v>
      </c>
      <c r="X35" s="658"/>
      <c r="Y35" s="3222"/>
      <c r="Z35" s="657" t="str">
        <f t="shared" si="13"/>
        <v>宗地形状</v>
      </c>
      <c r="AA35" s="657">
        <f t="shared" si="3"/>
        <v>1</v>
      </c>
      <c r="AB35" s="657">
        <f t="shared" si="4"/>
        <v>1</v>
      </c>
      <c r="AC35" s="657">
        <f t="shared" si="5"/>
        <v>1</v>
      </c>
    </row>
    <row r="36" spans="1:31" s="418" customFormat="1" ht="15">
      <c r="A36" s="1770"/>
      <c r="B36" s="1744" t="s">
        <v>1680</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22"/>
      <c r="Q36" s="598" t="str">
        <f t="shared" si="14"/>
        <v>宗地开发程度</v>
      </c>
      <c r="R36" s="659" t="s">
        <v>1221</v>
      </c>
      <c r="S36" s="660">
        <f t="shared" si="10"/>
        <v>100</v>
      </c>
      <c r="T36" s="659" t="s">
        <v>1221</v>
      </c>
      <c r="U36" s="660">
        <f t="shared" si="11"/>
        <v>100</v>
      </c>
      <c r="V36" s="659" t="s">
        <v>1221</v>
      </c>
      <c r="W36" s="660">
        <f t="shared" si="12"/>
        <v>100</v>
      </c>
      <c r="X36" s="661"/>
      <c r="Y36" s="3222"/>
      <c r="Z36" s="677" t="str">
        <f t="shared" si="13"/>
        <v>宗地开发程度</v>
      </c>
      <c r="AA36" s="677">
        <f t="shared" si="3"/>
        <v>1</v>
      </c>
      <c r="AB36" s="677">
        <f t="shared" si="4"/>
        <v>1</v>
      </c>
      <c r="AC36" s="677">
        <f t="shared" si="5"/>
        <v>1</v>
      </c>
    </row>
    <row r="37" spans="1:31" ht="15">
      <c r="A37" s="685"/>
      <c r="B37" s="1744" t="s">
        <v>1681</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22" t="s">
        <v>1247</v>
      </c>
      <c r="Q37" s="598" t="str">
        <f t="shared" si="14"/>
        <v>工程地质条件</v>
      </c>
      <c r="R37" s="664" t="s">
        <v>1221</v>
      </c>
      <c r="S37" s="665">
        <f t="shared" si="10"/>
        <v>100</v>
      </c>
      <c r="T37" s="664" t="s">
        <v>1221</v>
      </c>
      <c r="U37" s="665">
        <f t="shared" si="11"/>
        <v>100</v>
      </c>
      <c r="V37" s="664" t="s">
        <v>1221</v>
      </c>
      <c r="W37" s="665">
        <f t="shared" si="12"/>
        <v>100</v>
      </c>
      <c r="X37" s="658"/>
      <c r="Y37" s="3222" t="s">
        <v>1247</v>
      </c>
      <c r="Z37" s="657" t="str">
        <f t="shared" si="13"/>
        <v>工程地质条件</v>
      </c>
      <c r="AA37" s="657">
        <f t="shared" si="3"/>
        <v>1</v>
      </c>
      <c r="AB37" s="657">
        <f t="shared" si="4"/>
        <v>1</v>
      </c>
      <c r="AC37" s="657">
        <f t="shared" si="5"/>
        <v>1</v>
      </c>
    </row>
    <row r="38" spans="1:31" ht="1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22"/>
      <c r="Q38" s="598">
        <f t="shared" si="14"/>
        <v>111</v>
      </c>
      <c r="R38" s="664" t="s">
        <v>1221</v>
      </c>
      <c r="S38" s="665">
        <f t="shared" si="10"/>
        <v>100</v>
      </c>
      <c r="T38" s="664" t="s">
        <v>1221</v>
      </c>
      <c r="U38" s="665">
        <f t="shared" si="11"/>
        <v>100</v>
      </c>
      <c r="V38" s="664" t="s">
        <v>1221</v>
      </c>
      <c r="W38" s="665">
        <f t="shared" si="12"/>
        <v>100</v>
      </c>
      <c r="X38" s="658"/>
      <c r="Y38" s="3222"/>
      <c r="Z38" s="657">
        <f t="shared" si="13"/>
        <v>111</v>
      </c>
      <c r="AA38" s="657">
        <f t="shared" si="3"/>
        <v>1</v>
      </c>
      <c r="AB38" s="657">
        <f t="shared" si="4"/>
        <v>1</v>
      </c>
      <c r="AC38" s="657">
        <f t="shared" si="5"/>
        <v>1</v>
      </c>
    </row>
    <row r="39" spans="1:31" ht="1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22"/>
      <c r="Q39" s="598">
        <f t="shared" si="14"/>
        <v>111</v>
      </c>
      <c r="R39" s="664" t="s">
        <v>1221</v>
      </c>
      <c r="S39" s="665">
        <f t="shared" si="10"/>
        <v>100</v>
      </c>
      <c r="T39" s="664" t="s">
        <v>1221</v>
      </c>
      <c r="U39" s="665">
        <f t="shared" si="11"/>
        <v>100</v>
      </c>
      <c r="V39" s="664" t="s">
        <v>1221</v>
      </c>
      <c r="W39" s="665">
        <f t="shared" si="12"/>
        <v>100</v>
      </c>
      <c r="X39" s="658"/>
      <c r="Y39" s="3222"/>
      <c r="Z39" s="657">
        <f t="shared" si="13"/>
        <v>111</v>
      </c>
      <c r="AA39" s="657">
        <f t="shared" si="3"/>
        <v>1</v>
      </c>
      <c r="AB39" s="657">
        <f t="shared" si="4"/>
        <v>1</v>
      </c>
      <c r="AC39" s="657">
        <f t="shared" si="5"/>
        <v>1</v>
      </c>
    </row>
    <row r="40" spans="1:31" s="420" customFormat="1" ht="1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22"/>
      <c r="Q40" s="598">
        <f t="shared" si="14"/>
        <v>111</v>
      </c>
      <c r="R40" s="667" t="s">
        <v>1221</v>
      </c>
      <c r="S40" s="668">
        <f t="shared" si="10"/>
        <v>100</v>
      </c>
      <c r="T40" s="667" t="s">
        <v>1221</v>
      </c>
      <c r="U40" s="668">
        <f t="shared" si="11"/>
        <v>100</v>
      </c>
      <c r="V40" s="667" t="s">
        <v>1221</v>
      </c>
      <c r="W40" s="668">
        <f t="shared" si="12"/>
        <v>100</v>
      </c>
      <c r="X40" s="669"/>
      <c r="Y40" s="3222"/>
      <c r="Z40" s="678">
        <f t="shared" si="13"/>
        <v>111</v>
      </c>
      <c r="AA40" s="657">
        <f t="shared" si="3"/>
        <v>1</v>
      </c>
      <c r="AB40" s="657">
        <f t="shared" si="4"/>
        <v>1</v>
      </c>
      <c r="AC40" s="657">
        <f t="shared" si="5"/>
        <v>1</v>
      </c>
    </row>
    <row r="41" spans="1:31" ht="14.4">
      <c r="A41" s="520" t="s">
        <v>1682</v>
      </c>
      <c r="B41" s="1774" t="s">
        <v>1720</v>
      </c>
      <c r="C41" s="1775" t="s">
        <v>124</v>
      </c>
      <c r="D41" s="523"/>
      <c r="E41" s="524" t="e">
        <f>#REF!</f>
        <v>#REF!</v>
      </c>
      <c r="F41" s="525"/>
      <c r="G41" s="526" t="e">
        <f>#REF!</f>
        <v>#REF!</v>
      </c>
      <c r="H41" s="527"/>
      <c r="I41" s="524" t="e">
        <f>#REF!</f>
        <v>#REF!</v>
      </c>
      <c r="J41" s="527"/>
      <c r="K41" s="1821"/>
      <c r="L41" s="610"/>
      <c r="M41" s="536"/>
      <c r="N41" s="536"/>
      <c r="O41" s="536"/>
      <c r="P41" s="3213" t="str">
        <f>A41</f>
        <v>成交单价</v>
      </c>
      <c r="Q41" s="3213"/>
      <c r="R41" s="3214" t="e">
        <f>E41</f>
        <v>#REF!</v>
      </c>
      <c r="S41" s="3214"/>
      <c r="T41" s="3214" t="e">
        <f>G41</f>
        <v>#REF!</v>
      </c>
      <c r="U41" s="3214"/>
      <c r="V41" s="3214" t="e">
        <f>I41</f>
        <v>#REF!</v>
      </c>
      <c r="W41" s="3214"/>
      <c r="X41" s="670"/>
      <c r="Y41" s="679"/>
      <c r="Z41" s="670"/>
      <c r="AA41" s="670"/>
      <c r="AB41" s="670"/>
      <c r="AC41" s="670"/>
    </row>
    <row r="42" spans="1:31" ht="14.4">
      <c r="A42" s="528" t="s">
        <v>1268</v>
      </c>
      <c r="B42" s="1776"/>
      <c r="C42" s="1777" t="e">
        <f>R43</f>
        <v>#REF!</v>
      </c>
      <c r="D42" s="531" t="s">
        <v>1269</v>
      </c>
      <c r="E42" s="1777" t="e">
        <f>R42</f>
        <v>#REF!</v>
      </c>
      <c r="F42" s="533"/>
      <c r="G42" s="1778" t="e">
        <f>T42</f>
        <v>#REF!</v>
      </c>
      <c r="H42" s="533"/>
      <c r="I42" s="1777" t="e">
        <f>V42</f>
        <v>#REF!</v>
      </c>
      <c r="J42" s="533"/>
      <c r="K42" s="611">
        <f>F42+H42+J42</f>
        <v>0</v>
      </c>
      <c r="L42" s="610"/>
      <c r="M42" s="536"/>
      <c r="N42" s="536"/>
      <c r="O42" s="536"/>
      <c r="P42" s="3213" t="str">
        <f>A42</f>
        <v>比较价值（元/平方米）</v>
      </c>
      <c r="Q42" s="3213"/>
      <c r="R42" s="3287" t="e">
        <f>ROUND(PRODUCT(R41,AA7:AA40),0)</f>
        <v>#REF!</v>
      </c>
      <c r="S42" s="3287"/>
      <c r="T42" s="3287" t="e">
        <f>ROUND(PRODUCT(T41,AB7:AB40),0)</f>
        <v>#REF!</v>
      </c>
      <c r="U42" s="3287"/>
      <c r="V42" s="3287" t="e">
        <f>ROUND(PRODUCT(V41,AC7:AC40),0)</f>
        <v>#REF!</v>
      </c>
      <c r="W42" s="3287"/>
      <c r="X42" s="670"/>
      <c r="Y42" s="670"/>
      <c r="Z42" s="670"/>
      <c r="AA42" s="670"/>
      <c r="AB42" s="670"/>
      <c r="AC42" s="670"/>
    </row>
    <row r="43" spans="1:31" ht="14.4">
      <c r="A43" s="534" t="s">
        <v>1270</v>
      </c>
      <c r="B43" s="535"/>
      <c r="C43" s="1779" t="e">
        <f>R43</f>
        <v>#REF!</v>
      </c>
      <c r="D43" s="1779"/>
      <c r="E43" s="1779"/>
      <c r="F43" s="1779"/>
      <c r="G43" s="1779"/>
      <c r="H43" s="1779"/>
      <c r="I43" s="1779"/>
      <c r="J43" s="1779"/>
      <c r="K43" s="1822"/>
      <c r="L43" s="610"/>
      <c r="M43" s="536"/>
      <c r="N43" s="536"/>
      <c r="O43" s="536"/>
      <c r="P43" s="3273" t="str">
        <f>A43</f>
        <v>估价对象XX用房的比较价值（楼面单价，元/平方米）</v>
      </c>
      <c r="Q43" s="3274"/>
      <c r="R43" s="3288" t="e">
        <f>ROUND(IF(D42="简单平均",AVERAGE(R42:W42),R42*F42+T42*H42+V42*J42),0)</f>
        <v>#REF!</v>
      </c>
      <c r="S43" s="3288"/>
      <c r="T43" s="3288"/>
      <c r="U43" s="3288"/>
      <c r="V43" s="3288"/>
      <c r="W43" s="3288"/>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1271</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1272</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1273</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8.8">
      <c r="A50" s="1782" t="s">
        <v>1685</v>
      </c>
      <c r="B50" s="1783" t="s">
        <v>1686</v>
      </c>
      <c r="C50" s="1784" t="s">
        <v>1687</v>
      </c>
      <c r="D50" s="1785" t="s">
        <v>1688</v>
      </c>
      <c r="E50" s="1786" t="s">
        <v>1689</v>
      </c>
      <c r="F50" s="1787" t="s">
        <v>1690</v>
      </c>
      <c r="G50" s="3195" t="s">
        <v>1691</v>
      </c>
      <c r="H50" s="3286"/>
      <c r="I50" s="657" t="s">
        <v>1721</v>
      </c>
      <c r="J50" s="657">
        <f>项目基本情况!F35</f>
        <v>0</v>
      </c>
      <c r="K50" s="1823" t="s">
        <v>1693</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1694</v>
      </c>
      <c r="B51" s="1789" t="e">
        <f>C43</f>
        <v>#REF!</v>
      </c>
      <c r="C51" s="386">
        <v>1</v>
      </c>
      <c r="D51" s="1790">
        <v>1</v>
      </c>
      <c r="E51" s="386">
        <f>'数据-汇总表'!E8+'数据-汇总表'!E9</f>
        <v>38613.699999999997</v>
      </c>
      <c r="F51" s="1791" t="e">
        <f t="shared" ref="F51:F60" si="15">ROUND(B51*E51/10000,0)</f>
        <v>#REF!</v>
      </c>
      <c r="G51" s="3212"/>
      <c r="H51" s="3213"/>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1695</v>
      </c>
      <c r="B52" s="65" t="e">
        <f>ROUND($C$43*C52*D52,0)</f>
        <v>#REF!</v>
      </c>
      <c r="C52" s="1451">
        <f t="shared" ref="C52:C60" si="16">IF($C$50="北京市系数",I52,J52)</f>
        <v>0</v>
      </c>
      <c r="D52" s="1793">
        <v>0.25</v>
      </c>
      <c r="E52" s="1794"/>
      <c r="F52" s="1791" t="e">
        <f t="shared" si="15"/>
        <v>#REF!</v>
      </c>
      <c r="G52" s="3285" t="s">
        <v>1696</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1697</v>
      </c>
      <c r="B53" s="65" t="e">
        <f t="shared" ref="B53:B60" si="17">ROUND($C$43*C53*D53,0)</f>
        <v>#REF!</v>
      </c>
      <c r="C53" s="1451">
        <f t="shared" si="16"/>
        <v>0</v>
      </c>
      <c r="D53" s="1793">
        <v>0.25</v>
      </c>
      <c r="E53" s="1794"/>
      <c r="F53" s="1791" t="e">
        <f t="shared" si="15"/>
        <v>#REF!</v>
      </c>
      <c r="G53" s="3285"/>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1698</v>
      </c>
      <c r="B54" s="65" t="e">
        <f t="shared" si="17"/>
        <v>#REF!</v>
      </c>
      <c r="C54" s="1451">
        <f t="shared" si="16"/>
        <v>0</v>
      </c>
      <c r="D54" s="1793">
        <v>0.25</v>
      </c>
      <c r="E54" s="1794"/>
      <c r="F54" s="1791" t="e">
        <f t="shared" si="15"/>
        <v>#REF!</v>
      </c>
      <c r="G54" s="3285"/>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1699</v>
      </c>
      <c r="B55" s="65" t="e">
        <f t="shared" si="17"/>
        <v>#REF!</v>
      </c>
      <c r="C55" s="1451">
        <f t="shared" si="16"/>
        <v>0</v>
      </c>
      <c r="D55" s="1793">
        <v>0.25</v>
      </c>
      <c r="E55" s="1794"/>
      <c r="F55" s="1791" t="e">
        <f t="shared" si="15"/>
        <v>#REF!</v>
      </c>
      <c r="G55" s="3285"/>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1700</v>
      </c>
      <c r="B56" s="65" t="e">
        <f t="shared" si="17"/>
        <v>#REF!</v>
      </c>
      <c r="C56" s="1451">
        <f t="shared" si="16"/>
        <v>0.3</v>
      </c>
      <c r="D56" s="1793">
        <v>0.25</v>
      </c>
      <c r="E56" s="64">
        <f>'数据-汇总表'!E11</f>
        <v>9319.9500000000007</v>
      </c>
      <c r="F56" s="1791" t="e">
        <f t="shared" si="15"/>
        <v>#REF!</v>
      </c>
      <c r="G56" s="1795" t="s">
        <v>1701</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1702</v>
      </c>
      <c r="B57" s="65" t="e">
        <f t="shared" si="17"/>
        <v>#REF!</v>
      </c>
      <c r="C57" s="1451">
        <f t="shared" si="16"/>
        <v>0.3</v>
      </c>
      <c r="D57" s="1793">
        <v>0.25</v>
      </c>
      <c r="E57" s="64">
        <f>'数据-汇总表'!E12</f>
        <v>0</v>
      </c>
      <c r="F57" s="1791" t="e">
        <f t="shared" si="15"/>
        <v>#REF!</v>
      </c>
      <c r="G57" s="1797" t="s">
        <v>1703</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1704</v>
      </c>
      <c r="B58" s="65" t="e">
        <f t="shared" si="17"/>
        <v>#REF!</v>
      </c>
      <c r="C58" s="1451">
        <f t="shared" si="16"/>
        <v>0</v>
      </c>
      <c r="D58" s="1793">
        <v>0.25</v>
      </c>
      <c r="E58" s="64">
        <f>'数据-汇总表'!E13</f>
        <v>2208.2499999999995</v>
      </c>
      <c r="F58" s="1791" t="e">
        <f t="shared" si="15"/>
        <v>#REF!</v>
      </c>
      <c r="G58" s="1797" t="s">
        <v>1705</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1706</v>
      </c>
      <c r="B59" s="65" t="e">
        <f t="shared" si="17"/>
        <v>#REF!</v>
      </c>
      <c r="C59" s="1451">
        <f t="shared" si="16"/>
        <v>0</v>
      </c>
      <c r="D59" s="1793">
        <v>0.25</v>
      </c>
      <c r="E59" s="64">
        <f>'数据-汇总表'!E14</f>
        <v>0</v>
      </c>
      <c r="F59" s="1791" t="e">
        <f t="shared" si="15"/>
        <v>#REF!</v>
      </c>
      <c r="G59" s="1795" t="s">
        <v>1696</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1707</v>
      </c>
      <c r="B60" s="65" t="e">
        <f t="shared" si="17"/>
        <v>#REF!</v>
      </c>
      <c r="C60" s="1451">
        <f t="shared" si="16"/>
        <v>0.25</v>
      </c>
      <c r="D60" s="1793">
        <v>0.25</v>
      </c>
      <c r="E60" s="64">
        <f>'数据-汇总表'!E15</f>
        <v>0</v>
      </c>
      <c r="F60" s="1791" t="e">
        <f t="shared" si="15"/>
        <v>#REF!</v>
      </c>
      <c r="G60" s="1798" t="s">
        <v>1701</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1708</v>
      </c>
      <c r="B61" s="1801" t="s">
        <v>1285</v>
      </c>
      <c r="C61" s="1801" t="s">
        <v>1285</v>
      </c>
      <c r="D61" s="1801" t="s">
        <v>1285</v>
      </c>
      <c r="E61" s="1801">
        <f>IF(B41="楼面地价",SUM(E51:E60),'数据-汇总表'!D3)</f>
        <v>50141.899999999994</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2022-12-1</v>
      </c>
      <c r="D63" s="1806">
        <f>EDATE(C63,-3)</f>
        <v>44805</v>
      </c>
      <c r="E63" s="1806">
        <f>EDATE(D63,-3)</f>
        <v>44713</v>
      </c>
      <c r="F63" s="1806">
        <f t="shared" ref="F63:O63" si="18">EDATE(E63,-3)</f>
        <v>44621</v>
      </c>
      <c r="G63" s="1806">
        <f t="shared" si="18"/>
        <v>44531</v>
      </c>
      <c r="H63" s="1806">
        <f t="shared" si="18"/>
        <v>44440</v>
      </c>
      <c r="I63" s="1806">
        <f t="shared" si="18"/>
        <v>44348</v>
      </c>
      <c r="J63" s="1806">
        <f t="shared" si="18"/>
        <v>44256</v>
      </c>
      <c r="K63" s="1806">
        <f t="shared" si="18"/>
        <v>44166</v>
      </c>
      <c r="L63" s="1806">
        <f t="shared" si="18"/>
        <v>44075</v>
      </c>
      <c r="M63" s="1806">
        <f t="shared" si="18"/>
        <v>43983</v>
      </c>
      <c r="N63" s="1806">
        <f t="shared" si="18"/>
        <v>43891</v>
      </c>
      <c r="O63" s="1806">
        <f t="shared" si="18"/>
        <v>43800</v>
      </c>
      <c r="P63" s="536"/>
      <c r="Q63" s="536"/>
      <c r="R63" s="536"/>
      <c r="S63" s="536"/>
      <c r="T63" s="536"/>
      <c r="U63" s="536"/>
      <c r="V63" s="536"/>
      <c r="W63" s="536"/>
      <c r="X63" s="536"/>
      <c r="Y63" s="536"/>
      <c r="Z63" s="536"/>
      <c r="AA63" s="536"/>
      <c r="AB63" s="536"/>
      <c r="AC63" s="536"/>
      <c r="AD63" s="536"/>
      <c r="AE63" s="536"/>
    </row>
    <row r="64" spans="1:31" ht="21.6">
      <c r="A64" s="1807" t="s">
        <v>1274</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ht="14.4">
      <c r="A65" s="733" t="s">
        <v>1709</v>
      </c>
      <c r="B65" s="1830"/>
      <c r="C65" s="1831" t="str">
        <f>YEAR(C63)&amp;"-"&amp;ROUNDUP(MONTH(C63)/3,0)</f>
        <v>2022-4</v>
      </c>
      <c r="D65" s="1831" t="str">
        <f t="shared" ref="D65:O65" si="19">YEAR(D63)&amp;"-"&amp;ROUNDUP(MONTH(D63)/3,0)</f>
        <v>2022-3</v>
      </c>
      <c r="E65" s="1831" t="str">
        <f t="shared" si="19"/>
        <v>2022-2</v>
      </c>
      <c r="F65" s="1831" t="str">
        <f t="shared" si="19"/>
        <v>2022-1</v>
      </c>
      <c r="G65" s="1831" t="str">
        <f t="shared" si="19"/>
        <v>2021-4</v>
      </c>
      <c r="H65" s="1831" t="str">
        <f t="shared" si="19"/>
        <v>2021-3</v>
      </c>
      <c r="I65" s="1831" t="str">
        <f t="shared" si="19"/>
        <v>2021-2</v>
      </c>
      <c r="J65" s="1831" t="str">
        <f t="shared" si="19"/>
        <v>2021-1</v>
      </c>
      <c r="K65" s="1831" t="str">
        <f t="shared" si="19"/>
        <v>2020-4</v>
      </c>
      <c r="L65" s="1831" t="str">
        <f t="shared" si="19"/>
        <v>2020-3</v>
      </c>
      <c r="M65" s="1831" t="str">
        <f t="shared" si="19"/>
        <v>2020-2</v>
      </c>
      <c r="N65" s="1831" t="str">
        <f t="shared" si="19"/>
        <v>2020-1</v>
      </c>
      <c r="O65" s="1831" t="str">
        <f t="shared" si="19"/>
        <v>2019-4</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1722</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ht="14.4">
      <c r="A67" s="557" t="s">
        <v>1275</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ht="14.4">
      <c r="A68" s="561" t="s">
        <v>1222</v>
      </c>
      <c r="B68" s="554"/>
      <c r="C68" s="562" t="s">
        <v>1223</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ht="14.4">
      <c r="A70" s="565" t="s">
        <v>1276</v>
      </c>
      <c r="B70" s="566" t="s">
        <v>1226</v>
      </c>
      <c r="C70" s="1834" t="s">
        <v>1716</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8.8">
      <c r="A72" s="569"/>
      <c r="B72" s="572" t="s">
        <v>1229</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ht="14.4">
      <c r="A74" s="569"/>
      <c r="B74" s="681" t="s">
        <v>1232</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ht="14.4">
      <c r="A83" s="565" t="s">
        <v>1233</v>
      </c>
      <c r="B83" s="566" t="s">
        <v>1662</v>
      </c>
      <c r="C83" s="583" t="s">
        <v>1286</v>
      </c>
      <c r="D83" s="583" t="s">
        <v>1287</v>
      </c>
      <c r="E83" s="583" t="s">
        <v>1288</v>
      </c>
      <c r="F83" s="583" t="s">
        <v>1289</v>
      </c>
      <c r="G83" s="583" t="s">
        <v>1290</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ht="14.4">
      <c r="A85" s="569"/>
      <c r="B85" s="572" t="s">
        <v>1238</v>
      </c>
      <c r="C85" s="680" t="s">
        <v>1286</v>
      </c>
      <c r="D85" s="680" t="s">
        <v>1287</v>
      </c>
      <c r="E85" s="680" t="s">
        <v>1288</v>
      </c>
      <c r="F85" s="680" t="s">
        <v>1289</v>
      </c>
      <c r="G85" s="680" t="s">
        <v>1290</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28.8">
      <c r="A87" s="683"/>
      <c r="B87" s="572" t="s">
        <v>1674</v>
      </c>
      <c r="C87" s="583" t="s">
        <v>1286</v>
      </c>
      <c r="D87" s="583" t="s">
        <v>1287</v>
      </c>
      <c r="E87" s="583" t="s">
        <v>1288</v>
      </c>
      <c r="F87" s="583" t="s">
        <v>1289</v>
      </c>
      <c r="G87" s="583" t="s">
        <v>1290</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8.8">
      <c r="A89" s="683"/>
      <c r="B89" s="572" t="s">
        <v>1675</v>
      </c>
      <c r="C89" s="583" t="s">
        <v>1286</v>
      </c>
      <c r="D89" s="583" t="s">
        <v>1287</v>
      </c>
      <c r="E89" s="583" t="s">
        <v>1288</v>
      </c>
      <c r="F89" s="583" t="s">
        <v>1289</v>
      </c>
      <c r="G89" s="583" t="s">
        <v>1290</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ht="14.4">
      <c r="A91" s="579"/>
      <c r="B91" s="572" t="s">
        <v>1239</v>
      </c>
      <c r="C91" s="583" t="s">
        <v>1286</v>
      </c>
      <c r="D91" s="583" t="s">
        <v>1287</v>
      </c>
      <c r="E91" s="583" t="s">
        <v>1288</v>
      </c>
      <c r="F91" s="583" t="s">
        <v>1289</v>
      </c>
      <c r="G91" s="583" t="s">
        <v>1290</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ht="14.4">
      <c r="A93" s="579"/>
      <c r="B93" s="681" t="s">
        <v>1240</v>
      </c>
      <c r="C93" s="576" t="s">
        <v>1291</v>
      </c>
      <c r="D93" s="576" t="s">
        <v>1292</v>
      </c>
      <c r="E93" s="576" t="s">
        <v>1293</v>
      </c>
      <c r="F93" s="576" t="s">
        <v>1294</v>
      </c>
      <c r="G93" s="576" t="s">
        <v>1295</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ht="14.4">
      <c r="A95" s="569"/>
      <c r="B95" s="572" t="str">
        <f>B27</f>
        <v>临街状况</v>
      </c>
      <c r="C95" s="573" t="s">
        <v>1711</v>
      </c>
      <c r="D95" s="573" t="s">
        <v>1712</v>
      </c>
      <c r="E95" s="573" t="s">
        <v>1713</v>
      </c>
      <c r="F95" s="573" t="s">
        <v>1714</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8.8">
      <c r="A97" s="569"/>
      <c r="B97" s="572" t="s">
        <v>1242</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ht="14.4">
      <c r="A99" s="569"/>
      <c r="B99" s="572" t="s">
        <v>1676</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7.6">
      <c r="A107" s="565" t="s">
        <v>1245</v>
      </c>
      <c r="B107" s="566" t="s">
        <v>1677</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ht="14.4">
      <c r="A110" s="685"/>
      <c r="B110" s="572" t="s">
        <v>1678</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ht="14.4">
      <c r="A112" s="687"/>
      <c r="B112" s="572" t="s">
        <v>1680</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ht="14.4">
      <c r="A114" s="685"/>
      <c r="B114" s="572" t="s">
        <v>1681</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K38" sqref="K38"/>
    </sheetView>
  </sheetViews>
  <sheetFormatPr defaultColWidth="12" defaultRowHeight="13.2"/>
  <cols>
    <col min="1" max="1" width="9.77734375" style="1443" customWidth="1"/>
    <col min="2" max="2" width="19.21875" style="1444" customWidth="1"/>
    <col min="3" max="4" width="12" style="1445"/>
    <col min="5" max="5" width="14.6640625" style="1445" customWidth="1"/>
    <col min="6" max="8" width="12" style="1445"/>
    <col min="9" max="9" width="12.21875" style="1445" customWidth="1"/>
    <col min="10" max="10" width="12" style="1445"/>
    <col min="11" max="11" width="8.109375" style="1446" customWidth="1"/>
    <col min="12" max="12" width="12" style="1445"/>
    <col min="13" max="13" width="8.44140625" style="1445" customWidth="1"/>
    <col min="14" max="14" width="9.77734375" style="1445" customWidth="1"/>
    <col min="15" max="25" width="12" style="1445"/>
    <col min="26" max="26" width="9.33203125" style="1443" customWidth="1"/>
    <col min="27" max="32" width="9.33203125" style="1447" customWidth="1"/>
    <col min="33" max="36" width="9.33203125" style="1443" customWidth="1"/>
    <col min="37" max="38" width="9.33203125" style="1445" customWidth="1"/>
    <col min="39" max="16384" width="12" style="1445"/>
  </cols>
  <sheetData>
    <row r="1" spans="1:36" ht="31.2">
      <c r="A1" s="40" t="s">
        <v>1723</v>
      </c>
      <c r="B1" s="1244"/>
      <c r="C1" s="44" t="s">
        <v>1208</v>
      </c>
      <c r="D1" s="409">
        <f>SUM(D29:D30,D33:D39)</f>
        <v>0</v>
      </c>
      <c r="E1" s="1448"/>
      <c r="F1" s="1448"/>
      <c r="G1" s="1448"/>
      <c r="H1" s="1448"/>
      <c r="I1" s="1448"/>
      <c r="J1" s="1448"/>
      <c r="K1" s="1441"/>
      <c r="L1" s="1602" t="s">
        <v>1724</v>
      </c>
      <c r="M1" s="1603">
        <f>SUMPRODUCT((区片价!B5:B9=I2)*(区片价!C3:F3=E2)*(区片价!C5:F9))</f>
        <v>0</v>
      </c>
      <c r="N1" s="1604">
        <f>SUMPRODUCT((因素修正幅度!B5:B9=I2)*(因素修正幅度!C3:F3=E2)*(因素修正幅度!C5:F9))</f>
        <v>0</v>
      </c>
      <c r="O1" s="1442"/>
      <c r="P1" s="1442"/>
      <c r="Q1" s="1441"/>
      <c r="R1" s="1675" t="s">
        <v>1725</v>
      </c>
      <c r="S1" s="1675" t="s">
        <v>1726</v>
      </c>
      <c r="T1" s="1675" t="s">
        <v>1727</v>
      </c>
      <c r="U1" s="1675" t="s">
        <v>1728</v>
      </c>
      <c r="V1" s="1675" t="s">
        <v>1729</v>
      </c>
      <c r="W1" s="1676"/>
      <c r="X1" s="1676"/>
      <c r="Y1" s="1676"/>
      <c r="Z1" s="1676"/>
      <c r="AA1" s="1676"/>
      <c r="AB1" s="1676"/>
      <c r="AC1" s="1684"/>
      <c r="AD1" s="1685"/>
      <c r="AE1" s="1685"/>
      <c r="AF1" s="1685"/>
      <c r="AG1" s="1685"/>
      <c r="AH1" s="1685"/>
      <c r="AI1" s="1685"/>
      <c r="AJ1" s="1694"/>
    </row>
    <row r="2" spans="1:36" ht="15.6">
      <c r="A2" s="44" t="s">
        <v>1055</v>
      </c>
      <c r="B2" s="52" t="e">
        <f>C26</f>
        <v>#DIV/0!</v>
      </c>
      <c r="C2" s="1449" t="s">
        <v>1056</v>
      </c>
      <c r="D2" s="853" t="s">
        <v>1730</v>
      </c>
      <c r="E2" s="1450"/>
      <c r="F2" s="853" t="s">
        <v>1731</v>
      </c>
      <c r="G2" s="1451">
        <f>IF(E2="商业",项目基本情况!B37,IF(E2="办公",项目基本情况!C37,IF(E2="住宅",项目基本情况!D37,项目基本情况!E37)))</f>
        <v>0</v>
      </c>
      <c r="H2" s="853" t="s">
        <v>1732</v>
      </c>
      <c r="I2" s="1451">
        <f>IF(E2="商业",项目基本情况!B38,IF(E2="办公",项目基本情况!C38,IF(E2="住宅",项目基本情况!D38,项目基本情况!E38)))</f>
        <v>0</v>
      </c>
      <c r="J2" s="1448"/>
      <c r="K2" s="1441"/>
      <c r="L2" s="1605" t="s">
        <v>1733</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6">
      <c r="A3" s="51" t="s">
        <v>1057</v>
      </c>
      <c r="B3" s="52" t="e">
        <f>ROUND(B2*10000/D1,0)</f>
        <v>#DIV/0!</v>
      </c>
      <c r="C3" s="1449" t="s">
        <v>1058</v>
      </c>
      <c r="D3" s="853" t="s">
        <v>1734</v>
      </c>
      <c r="E3" s="1452"/>
      <c r="F3" s="1453" t="s">
        <v>1735</v>
      </c>
      <c r="G3" s="1454">
        <f>IF(F3="宗地容积率",'数据-汇总表'!I4,IF(F3="估价对象容积率",'数据-汇总表'!I6,'数据-汇总表'!I7))</f>
        <v>4.72</v>
      </c>
      <c r="H3" s="853" t="s">
        <v>1736</v>
      </c>
      <c r="I3" s="1607"/>
      <c r="J3" s="1448" t="s">
        <v>1737</v>
      </c>
      <c r="K3" s="1441"/>
      <c r="L3" s="1605" t="s">
        <v>1738</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6">
      <c r="A4" s="3293"/>
      <c r="B4" s="3294"/>
      <c r="C4" s="3294"/>
      <c r="D4" s="3295"/>
      <c r="E4" s="3295"/>
      <c r="F4" s="3295"/>
      <c r="G4" s="3295"/>
      <c r="H4" s="3295"/>
      <c r="I4" s="3295"/>
      <c r="J4" s="3296"/>
      <c r="K4" s="1441"/>
      <c r="L4" s="1605" t="s">
        <v>1739</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
      <c r="A5" s="1455" t="s">
        <v>960</v>
      </c>
      <c r="B5" s="1456" t="s">
        <v>1740</v>
      </c>
      <c r="C5" s="1457" t="e">
        <f>ROUND(IF(E2="商业",C6*C7+C16,(IF(E2="住宅",C6*C12+C16,C6+C16))),0)</f>
        <v>#DIV/0!</v>
      </c>
      <c r="D5" s="1458" t="e">
        <f>ROUND(C6+C16,0)</f>
        <v>#DIV/0!</v>
      </c>
      <c r="E5" s="1458"/>
      <c r="F5" s="1459"/>
      <c r="G5" s="1460"/>
      <c r="H5" s="1460"/>
      <c r="I5" s="1460"/>
      <c r="J5" s="1608"/>
      <c r="K5" s="1609"/>
      <c r="L5" s="1605" t="s">
        <v>1741</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
      <c r="A6" s="1461" t="s">
        <v>1060</v>
      </c>
      <c r="B6" s="1462" t="s">
        <v>1742</v>
      </c>
      <c r="C6" s="1463">
        <f>SUMIF(L1:L12,G2,M1:M12)</f>
        <v>0</v>
      </c>
      <c r="D6" s="1464" t="s">
        <v>1743</v>
      </c>
      <c r="E6" s="1465"/>
      <c r="F6" s="1465"/>
      <c r="G6" s="1466"/>
      <c r="H6" s="1466"/>
      <c r="I6" s="1466"/>
      <c r="J6" s="1610"/>
      <c r="K6" s="131"/>
      <c r="L6" s="1605" t="s">
        <v>1744</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4">
      <c r="A7" s="3304" t="str">
        <f>IF(E2="商业",IF(C8="不临58条商业街","",2),"")</f>
        <v/>
      </c>
      <c r="B7" s="846" t="s">
        <v>1745</v>
      </c>
      <c r="C7" s="1467" t="e">
        <f>IF(C8="不临58条商业街",1,ROUND(1+(1.6*E8+1.2*E9+0.8*E10+0.4*E11)*C9,4))</f>
        <v>#DIV/0!</v>
      </c>
      <c r="D7" s="1468" t="s">
        <v>1746</v>
      </c>
      <c r="E7" s="1469"/>
      <c r="F7" s="1470"/>
      <c r="G7" s="1471"/>
      <c r="H7" s="1471"/>
      <c r="I7" s="1471"/>
      <c r="J7" s="1611"/>
      <c r="K7" s="131"/>
      <c r="L7" s="1605" t="s">
        <v>1747</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1748</v>
      </c>
      <c r="X7" s="1679">
        <f>G2</f>
        <v>0</v>
      </c>
      <c r="Y7" s="1679" t="s">
        <v>1749</v>
      </c>
      <c r="Z7" s="1688">
        <f>G3</f>
        <v>4.72</v>
      </c>
      <c r="AA7" s="1676"/>
      <c r="AB7" s="1676"/>
      <c r="AC7" s="1684"/>
      <c r="AD7" s="1685"/>
      <c r="AE7" s="1685"/>
      <c r="AF7" s="1685"/>
      <c r="AG7" s="1685"/>
      <c r="AH7" s="1685"/>
      <c r="AI7" s="1685"/>
      <c r="AJ7" s="1694"/>
    </row>
    <row r="8" spans="1:36" ht="15">
      <c r="A8" s="3305"/>
      <c r="B8" s="853" t="s">
        <v>1750</v>
      </c>
      <c r="C8" s="1450"/>
      <c r="D8" s="1472" t="s">
        <v>1751</v>
      </c>
      <c r="E8" s="1473" t="e">
        <f>ROUND(C11/E7,4)</f>
        <v>#DIV/0!</v>
      </c>
      <c r="F8" s="1474" t="s">
        <v>1752</v>
      </c>
      <c r="G8" s="1475"/>
      <c r="H8" s="1475"/>
      <c r="I8" s="1475"/>
      <c r="J8" s="1612"/>
      <c r="K8" s="1441"/>
      <c r="L8" s="1605" t="s">
        <v>1753</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297" t="s">
        <v>1754</v>
      </c>
      <c r="X8" s="3298"/>
      <c r="Y8" s="1689" t="s">
        <v>1755</v>
      </c>
      <c r="Z8" s="1689" t="s">
        <v>1756</v>
      </c>
      <c r="AA8" s="1689" t="s">
        <v>1757</v>
      </c>
      <c r="AB8" s="1689" t="s">
        <v>1758</v>
      </c>
      <c r="AC8" s="1689" t="s">
        <v>1759</v>
      </c>
      <c r="AD8" s="1689" t="s">
        <v>1760</v>
      </c>
      <c r="AE8" s="1689" t="s">
        <v>1761</v>
      </c>
      <c r="AF8" s="1689" t="s">
        <v>1762</v>
      </c>
      <c r="AG8" s="1689" t="s">
        <v>1763</v>
      </c>
      <c r="AH8" s="1689" t="s">
        <v>1764</v>
      </c>
      <c r="AI8" s="1689" t="s">
        <v>1765</v>
      </c>
      <c r="AJ8" s="1689" t="s">
        <v>1766</v>
      </c>
    </row>
    <row r="9" spans="1:36" ht="15">
      <c r="A9" s="3305"/>
      <c r="B9" s="853" t="s">
        <v>1767</v>
      </c>
      <c r="C9" s="1476">
        <f>SUMIF(修正!C59:C119,C8,修正!E59:E119)</f>
        <v>0</v>
      </c>
      <c r="D9" s="1451" t="s">
        <v>1768</v>
      </c>
      <c r="E9" s="1451" t="e">
        <f>ROUND(C11/E7,4)</f>
        <v>#DIV/0!</v>
      </c>
      <c r="F9" s="1474" t="s">
        <v>1769</v>
      </c>
      <c r="G9" s="1475"/>
      <c r="H9" s="1475"/>
      <c r="I9" s="1475"/>
      <c r="J9" s="1612"/>
      <c r="K9" s="1441"/>
      <c r="L9" s="1605" t="s">
        <v>1770</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02" t="s">
        <v>1771</v>
      </c>
      <c r="X9" s="1680" t="s">
        <v>1772</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
      <c r="A10" s="3305"/>
      <c r="B10" s="853" t="s">
        <v>1773</v>
      </c>
      <c r="C10" s="1451">
        <f>SUMIF(修正!C59:C119,C8,修正!F59:F119)</f>
        <v>0</v>
      </c>
      <c r="D10" s="1451" t="s">
        <v>1774</v>
      </c>
      <c r="E10" s="1451" t="e">
        <f>ROUND(C11/E7,4)</f>
        <v>#DIV/0!</v>
      </c>
      <c r="F10" s="1474" t="s">
        <v>1775</v>
      </c>
      <c r="G10" s="1475"/>
      <c r="H10" s="1475"/>
      <c r="I10" s="1475"/>
      <c r="J10" s="1612"/>
      <c r="K10" s="1441"/>
      <c r="L10" s="1605" t="s">
        <v>1776</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02"/>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
      <c r="A11" s="3305"/>
      <c r="B11" s="1477" t="s">
        <v>1777</v>
      </c>
      <c r="C11" s="1037">
        <f>C10/4</f>
        <v>0</v>
      </c>
      <c r="D11" s="1037" t="s">
        <v>1778</v>
      </c>
      <c r="E11" s="1037" t="e">
        <f>ROUND(C11/E7,4)</f>
        <v>#DIV/0!</v>
      </c>
      <c r="F11" s="1478" t="s">
        <v>1779</v>
      </c>
      <c r="G11" s="1479"/>
      <c r="H11" s="1479"/>
      <c r="I11" s="1479"/>
      <c r="J11" s="1613"/>
      <c r="K11" s="1441"/>
      <c r="L11" s="1605" t="s">
        <v>1780</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02" t="s">
        <v>1781</v>
      </c>
      <c r="X11" s="1681" t="s">
        <v>1749</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5.2">
      <c r="A12" s="3304" t="s">
        <v>1551</v>
      </c>
      <c r="B12" s="1480" t="s">
        <v>1782</v>
      </c>
      <c r="C12" s="1467">
        <f>ROUND(C15*D15*E15*F15*G15*H15*I15*J15,4)</f>
        <v>1</v>
      </c>
      <c r="D12" s="1481" t="s">
        <v>1783</v>
      </c>
      <c r="E12" s="1482"/>
      <c r="F12" s="1482"/>
      <c r="G12" s="1483"/>
      <c r="H12" s="1483"/>
      <c r="I12" s="1483"/>
      <c r="J12" s="1614"/>
      <c r="K12" s="1441"/>
      <c r="L12" s="1615" t="s">
        <v>1784</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02"/>
      <c r="X12" s="1682" t="s">
        <v>1785</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4">
      <c r="A13" s="3306"/>
      <c r="B13" s="873" t="s">
        <v>1786</v>
      </c>
      <c r="C13" s="1484" t="s">
        <v>1787</v>
      </c>
      <c r="D13" s="1485" t="s">
        <v>1788</v>
      </c>
      <c r="E13" s="1485" t="s">
        <v>1789</v>
      </c>
      <c r="F13" s="1486" t="s">
        <v>1790</v>
      </c>
      <c r="G13" s="1487" t="s">
        <v>1791</v>
      </c>
      <c r="H13" s="1487" t="s">
        <v>1791</v>
      </c>
      <c r="I13" s="1487" t="s">
        <v>1791</v>
      </c>
      <c r="J13" s="1617" t="s">
        <v>1791</v>
      </c>
      <c r="K13" s="1441"/>
      <c r="L13" s="1441"/>
      <c r="M13" s="1441"/>
      <c r="N13" s="1441"/>
      <c r="O13" s="1441"/>
      <c r="P13" s="1441"/>
      <c r="Q13" s="1441"/>
      <c r="R13" s="1675">
        <v>12</v>
      </c>
      <c r="S13" s="1677"/>
      <c r="T13" s="1675" t="e">
        <f t="shared" si="0"/>
        <v>#DIV/0!</v>
      </c>
      <c r="U13" s="1677"/>
      <c r="V13" s="1675" t="e">
        <f t="shared" si="1"/>
        <v>#DIV/0!</v>
      </c>
      <c r="W13" s="3302"/>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
      <c r="A14" s="3306"/>
      <c r="B14" s="888"/>
      <c r="C14" s="1488"/>
      <c r="D14" s="1489"/>
      <c r="E14" s="1489"/>
      <c r="F14" s="1490"/>
      <c r="G14" s="1491" t="s">
        <v>1792</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
      <c r="A15" s="3307"/>
      <c r="B15" s="1492" t="s">
        <v>1793</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 customHeight="1">
      <c r="A16" s="3304" t="s">
        <v>1555</v>
      </c>
      <c r="B16" s="846" t="s">
        <v>1794</v>
      </c>
      <c r="C16" s="1495" t="e">
        <f>ROUND(IF(F17="与级别开发程度一致",0,(G17-E17)/C17),0)</f>
        <v>#DIV/0!</v>
      </c>
      <c r="D16" s="3299" t="s">
        <v>1795</v>
      </c>
      <c r="E16" s="3300"/>
      <c r="F16" s="3299" t="s">
        <v>1796</v>
      </c>
      <c r="G16" s="3300"/>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c r="A17" s="3308"/>
      <c r="B17" s="1498" t="s">
        <v>1797</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4.4">
      <c r="A18" s="1503" t="s">
        <v>971</v>
      </c>
      <c r="B18" s="1504" t="s">
        <v>1798</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8.8">
      <c r="A19" s="1508" t="s">
        <v>976</v>
      </c>
      <c r="B19" s="1509" t="s">
        <v>1799</v>
      </c>
      <c r="C19" s="1510" t="e">
        <f>ROUND(IF(H19="按公示增长率计算",SUMPRODUCT((地价!A3:A37=YEAR(G19)&amp;"-"&amp;ROUNDUP(MONTH(G19)/3,0))*(地价!X2:AB2=E2)*(地价!X3:AB37)),IF(H19="地价指数",M20/M19,(1+I19)^O19)),4)</f>
        <v>#VALUE!</v>
      </c>
      <c r="D19" s="1511" t="s">
        <v>1800</v>
      </c>
      <c r="E19" s="1512">
        <v>41640</v>
      </c>
      <c r="F19" s="1511" t="s">
        <v>1801</v>
      </c>
      <c r="G19" s="1513">
        <f>'数据-取费表'!B2</f>
        <v>44904</v>
      </c>
      <c r="H19" s="1514"/>
      <c r="I19" s="1629" t="str">
        <f>IF(H19="季度增幅（自定义）",SUMIF(N21:N24,E2,O21:O24),"")</f>
        <v/>
      </c>
      <c r="J19" s="1630"/>
      <c r="K19" s="1626"/>
      <c r="L19" s="1631" t="s">
        <v>1802</v>
      </c>
      <c r="M19" s="1632">
        <f>ROUND(SUMIF(地价!B2:F2,E2,地价!B37:F37),0)</f>
        <v>0</v>
      </c>
      <c r="N19" s="1633" t="s">
        <v>1803</v>
      </c>
      <c r="O19" s="1634">
        <f>ROUNDDOWN(DATEDIF(E19,G19,"M")/3,0)</f>
        <v>35</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8.8">
      <c r="A20" s="1515" t="s">
        <v>979</v>
      </c>
      <c r="B20" s="1516" t="s">
        <v>1804</v>
      </c>
      <c r="C20" s="1517" t="e">
        <f>ROUND(POWER(1+G20,J20-I20)*(POWER(1+G20,I20)-1)/(POWER(1+G20,J20)-1),4)</f>
        <v>#DIV/0!</v>
      </c>
      <c r="D20" s="1518" t="s">
        <v>1805</v>
      </c>
      <c r="E20" s="1519">
        <f>存贷款利率!E20/100</f>
        <v>4.3499999999999997E-2</v>
      </c>
      <c r="F20" s="1518" t="s">
        <v>1806</v>
      </c>
      <c r="G20" s="1520">
        <f>SUMIF(M26:P26,E2,M28:P28)</f>
        <v>0</v>
      </c>
      <c r="H20" s="1518" t="s">
        <v>1807</v>
      </c>
      <c r="I20" s="1496" t="e">
        <f>SUMIF('数据-取费表'!C6:C15,E2,'数据-取费表'!F6:F15)/COUNTIF('数据-取费表'!C6:C15,E2)</f>
        <v>#DIV/0!</v>
      </c>
      <c r="J20" s="1635">
        <f>IF(E2="住宅",70,IF(E2="商业",40,50))</f>
        <v>50</v>
      </c>
      <c r="K20" s="1626"/>
      <c r="L20" s="1636" t="s">
        <v>1808</v>
      </c>
      <c r="M20" s="1637">
        <f>ROUND(SUMPRODUCT((地价!A4:A37=YEAR(G19)&amp;"-"&amp;ROUNDUP(MONTH(G19)/3,0))*(地价!B2:F2=E2)*(地价!B4:F37)),0)</f>
        <v>0</v>
      </c>
      <c r="N20" s="1638" t="s">
        <v>1809</v>
      </c>
      <c r="O20" s="1639" t="s">
        <v>1810</v>
      </c>
      <c r="P20" s="1640" t="s">
        <v>1811</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4.4">
      <c r="A21" s="1521" t="s">
        <v>1001</v>
      </c>
      <c r="B21" s="1522" t="s">
        <v>1812</v>
      </c>
      <c r="C21" s="567">
        <f>IF(B21="容积率修正",IF(G3&lt;=10,D22,J22),C23)</f>
        <v>0</v>
      </c>
      <c r="D21" s="1523"/>
      <c r="E21" s="1523"/>
      <c r="F21" s="1523"/>
      <c r="G21" s="1523"/>
      <c r="H21" s="1523"/>
      <c r="I21" s="1523"/>
      <c r="J21" s="1641"/>
      <c r="K21" s="1626"/>
      <c r="L21" s="1627"/>
      <c r="M21" s="1627"/>
      <c r="N21" s="1642" t="s">
        <v>1813</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4">
      <c r="A22" s="1524" t="s">
        <v>1814</v>
      </c>
      <c r="B22" s="1525" t="s">
        <v>1815</v>
      </c>
      <c r="C22" s="598" t="s">
        <v>1816</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1817</v>
      </c>
      <c r="J22" s="477" t="str">
        <f>IF(G3&gt;10,D113,"——")</f>
        <v>——</v>
      </c>
      <c r="K22" s="1626"/>
      <c r="L22" s="1627"/>
      <c r="M22" s="1627"/>
      <c r="N22" s="1642" t="s">
        <v>1818</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8.8">
      <c r="A23" s="1524" t="s">
        <v>1819</v>
      </c>
      <c r="B23" s="1526" t="s">
        <v>1820</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1821</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4.4">
      <c r="A24" s="1515" t="s">
        <v>1822</v>
      </c>
      <c r="B24" s="1509" t="s">
        <v>1823</v>
      </c>
      <c r="C24" s="1510">
        <f>SUMIF(A45:A88,E2,B45:B88)</f>
        <v>0</v>
      </c>
      <c r="D24" s="1531"/>
      <c r="E24" s="1532"/>
      <c r="F24" s="1532"/>
      <c r="G24" s="1532"/>
      <c r="H24" s="1532"/>
      <c r="I24" s="1532"/>
      <c r="J24" s="1647"/>
      <c r="K24" s="1626"/>
      <c r="L24" s="1627"/>
      <c r="M24" s="1627"/>
      <c r="N24" s="1648" t="s">
        <v>1824</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4.4">
      <c r="A25" s="1515" t="s">
        <v>1825</v>
      </c>
      <c r="B25" s="1533" t="s">
        <v>1826</v>
      </c>
      <c r="C25" s="1534"/>
      <c r="D25" s="1471"/>
      <c r="E25" s="1471"/>
      <c r="F25" s="1535"/>
      <c r="G25" s="1471"/>
      <c r="H25" s="1471"/>
      <c r="I25" s="1471"/>
      <c r="J25" s="1611"/>
      <c r="K25" s="1441"/>
      <c r="L25" s="1442"/>
      <c r="M25" s="1442"/>
      <c r="N25" s="1651" t="s">
        <v>1827</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4.4">
      <c r="A26" s="1536"/>
      <c r="B26" s="1525" t="s">
        <v>1828</v>
      </c>
      <c r="C26" s="1537" t="e">
        <f>IF(B21="容积率修正",E29+SUM(E33:E39),SUM(V2:V16)+SUM(E33:E39))</f>
        <v>#DIV/0!</v>
      </c>
      <c r="D26" s="1538"/>
      <c r="E26" s="1448"/>
      <c r="F26" s="1539"/>
      <c r="G26" s="1448"/>
      <c r="H26" s="1448"/>
      <c r="I26" s="1448"/>
      <c r="J26" s="1654"/>
      <c r="K26" s="1441"/>
      <c r="L26" s="1655" t="s">
        <v>1730</v>
      </c>
      <c r="M26" s="1468" t="s">
        <v>1829</v>
      </c>
      <c r="N26" s="1468" t="s">
        <v>1830</v>
      </c>
      <c r="O26" s="1468" t="s">
        <v>1831</v>
      </c>
      <c r="P26" s="1656" t="s">
        <v>1832</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4.4">
      <c r="A27" s="1536"/>
      <c r="B27" s="1540" t="s">
        <v>1833</v>
      </c>
      <c r="C27" s="1541" t="e">
        <f>E30+SUM(I33:I39)</f>
        <v>#DIV/0!</v>
      </c>
      <c r="D27" s="1542"/>
      <c r="E27" s="1543"/>
      <c r="F27" s="1544"/>
      <c r="G27" s="1543"/>
      <c r="H27" s="1543"/>
      <c r="I27" s="1543"/>
      <c r="J27" s="1657"/>
      <c r="K27" s="1441"/>
      <c r="L27" s="1658" t="s">
        <v>1834</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4.4">
      <c r="A28" s="1545"/>
      <c r="B28" s="1546" t="s">
        <v>1835</v>
      </c>
      <c r="C28" s="1547" t="s">
        <v>1836</v>
      </c>
      <c r="D28" s="1547" t="s">
        <v>623</v>
      </c>
      <c r="E28" s="1548" t="s">
        <v>1837</v>
      </c>
      <c r="F28" s="1549"/>
      <c r="G28" s="1483"/>
      <c r="H28" s="1483"/>
      <c r="I28" s="1483"/>
      <c r="J28" s="1614"/>
      <c r="K28" s="1441"/>
      <c r="L28" s="1660" t="s">
        <v>1806</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1838</v>
      </c>
      <c r="C29" s="1552" t="e">
        <f>ROUND(C5*C18*C19*C20*C21*C24,0)</f>
        <v>#DIV/0!</v>
      </c>
      <c r="D29" s="1553"/>
      <c r="E29" s="1554" t="e">
        <f>ROUND(C29*D29/10000,0)</f>
        <v>#DIV/0!</v>
      </c>
      <c r="F29" s="1555" t="s">
        <v>1839</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5.2">
      <c r="A30" s="1557"/>
      <c r="B30" s="1558" t="s">
        <v>1840</v>
      </c>
      <c r="C30" s="1493" t="e">
        <f>ROUND(IF(E2="工业",C29*M39,C29*M38),0)</f>
        <v>#DIV/0!</v>
      </c>
      <c r="D30" s="1559"/>
      <c r="E30" s="1554" t="e">
        <f>ROUND(C30*D30/10000,0)</f>
        <v>#DIV/0!</v>
      </c>
      <c r="F30" s="1560" t="s">
        <v>1841</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3.8">
      <c r="A31" s="1562"/>
      <c r="B31" s="1563" t="s">
        <v>1842</v>
      </c>
      <c r="C31" s="1564" t="s">
        <v>1843</v>
      </c>
      <c r="D31" s="1483"/>
      <c r="E31" s="1564"/>
      <c r="F31" s="1564"/>
      <c r="G31" s="1481" t="s">
        <v>1841</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36">
      <c r="A32" s="1550"/>
      <c r="B32" s="1565"/>
      <c r="C32" s="542" t="s">
        <v>1836</v>
      </c>
      <c r="D32" s="539" t="s">
        <v>623</v>
      </c>
      <c r="E32" s="539" t="s">
        <v>1837</v>
      </c>
      <c r="F32" s="409" t="s">
        <v>1844</v>
      </c>
      <c r="G32" s="1566" t="s">
        <v>1836</v>
      </c>
      <c r="H32" s="1566" t="s">
        <v>623</v>
      </c>
      <c r="I32" s="1566" t="s">
        <v>1837</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309"/>
      <c r="B33" s="1567" t="s">
        <v>1845</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18" t="s">
        <v>1846</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3.8">
      <c r="A34" s="3310"/>
      <c r="B34" s="1484" t="s">
        <v>1847</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10"/>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c r="A35" s="3310"/>
      <c r="B35" s="1484" t="s">
        <v>1848</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10"/>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c r="A36" s="3311"/>
      <c r="B36" s="1484" t="s">
        <v>1849</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11"/>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c r="A37" s="1568"/>
      <c r="B37" s="1484" t="s">
        <v>1850</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1851</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c r="A38" s="1568"/>
      <c r="B38" s="1484" t="s">
        <v>1852</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1853</v>
      </c>
      <c r="M38" s="1668">
        <v>0.25</v>
      </c>
      <c r="N38" s="1441"/>
      <c r="O38" s="1441"/>
      <c r="P38" s="1441"/>
      <c r="Q38" s="1441"/>
      <c r="R38" s="1441"/>
      <c r="S38" s="1441"/>
      <c r="T38" s="1441"/>
      <c r="U38" s="1441"/>
      <c r="V38" s="1441"/>
      <c r="W38" s="1441"/>
      <c r="X38" s="1441"/>
      <c r="Y38" s="1441"/>
      <c r="Z38" s="1571"/>
      <c r="AA38" s="1571"/>
      <c r="AB38" s="1571"/>
      <c r="AC38" s="1571"/>
      <c r="AD38" s="1571"/>
    </row>
    <row r="39" spans="1:37">
      <c r="A39" s="1557"/>
      <c r="B39" s="1569" t="s">
        <v>1854</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1832</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ht="24">
      <c r="A41" s="1571"/>
      <c r="B41" s="1572" t="s">
        <v>1855</v>
      </c>
      <c r="C41" s="409" t="e">
        <f>ROUND(POWER(1+E41,H41-G41)*(POWER(1+E41,G41)-1)/(POWER(1+E41,H41)-1),4)</f>
        <v>#DIV/0!</v>
      </c>
      <c r="D41" s="1451" t="s">
        <v>1806</v>
      </c>
      <c r="E41" s="1573">
        <f>G20</f>
        <v>0</v>
      </c>
      <c r="F41" s="1451" t="s">
        <v>1807</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4.4">
      <c r="A45" s="1576" t="s">
        <v>1856</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4.4">
      <c r="A46" s="1579" t="s">
        <v>1857</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5.2">
      <c r="A47" s="1585" t="s">
        <v>1858</v>
      </c>
      <c r="B47" s="1586" t="s">
        <v>1859</v>
      </c>
      <c r="C47" s="1586" t="s">
        <v>1860</v>
      </c>
      <c r="D47" s="1586" t="s">
        <v>1861</v>
      </c>
      <c r="E47" s="1587" t="s">
        <v>1862</v>
      </c>
      <c r="F47" s="1588" t="s">
        <v>1863</v>
      </c>
      <c r="G47" s="1586" t="s">
        <v>1793</v>
      </c>
      <c r="H47" s="1589" t="s">
        <v>1864</v>
      </c>
      <c r="I47" s="1586" t="s">
        <v>1865</v>
      </c>
      <c r="J47" s="663" t="s">
        <v>1286</v>
      </c>
      <c r="K47" s="663" t="s">
        <v>1287</v>
      </c>
      <c r="L47" s="663" t="s">
        <v>1288</v>
      </c>
      <c r="M47" s="663" t="s">
        <v>1289</v>
      </c>
      <c r="N47" s="663" t="s">
        <v>1290</v>
      </c>
      <c r="AA47" s="1571"/>
      <c r="AB47" s="1571"/>
      <c r="AC47" s="1571"/>
      <c r="AD47" s="1571"/>
      <c r="AE47" s="1571"/>
      <c r="AF47" s="1571"/>
      <c r="AG47" s="1571"/>
      <c r="AH47" s="1571"/>
      <c r="AI47" s="1571"/>
      <c r="AJ47" s="1571"/>
      <c r="AK47" s="1571"/>
    </row>
    <row r="48" spans="1:37" s="1441" customFormat="1" ht="52.8">
      <c r="A48" s="1585" t="s">
        <v>1866</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66">
      <c r="A49" s="1585" t="s">
        <v>1867</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4">
      <c r="A50" s="1585" t="s">
        <v>1868</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50.4">
      <c r="A51" s="1585" t="s">
        <v>1869</v>
      </c>
      <c r="B51" s="1596" t="s">
        <v>1870</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4">
      <c r="A52" s="1585" t="s">
        <v>1871</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36">
      <c r="A53" s="1585" t="s">
        <v>1872</v>
      </c>
      <c r="B53" s="1597" t="s">
        <v>1873</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6.4">
      <c r="A54" s="1598" t="s">
        <v>1874</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6.4">
      <c r="A55" s="1598" t="s">
        <v>1875</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9.6">
      <c r="A56" s="1599" t="s">
        <v>1876</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4.4">
      <c r="A57" s="1579" t="s">
        <v>1877</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5.2">
      <c r="A58" s="1585" t="s">
        <v>1858</v>
      </c>
      <c r="B58" s="1586"/>
      <c r="C58" s="1586" t="s">
        <v>1860</v>
      </c>
      <c r="D58" s="1586" t="s">
        <v>1861</v>
      </c>
      <c r="E58" s="1587" t="s">
        <v>1862</v>
      </c>
      <c r="F58" s="1588" t="s">
        <v>1878</v>
      </c>
      <c r="G58" s="1586" t="s">
        <v>1793</v>
      </c>
      <c r="H58" s="1589" t="s">
        <v>1864</v>
      </c>
      <c r="I58" s="1586" t="s">
        <v>1865</v>
      </c>
      <c r="J58" s="663" t="s">
        <v>1286</v>
      </c>
      <c r="K58" s="663" t="s">
        <v>1287</v>
      </c>
      <c r="L58" s="663" t="s">
        <v>1288</v>
      </c>
      <c r="M58" s="663" t="s">
        <v>1289</v>
      </c>
      <c r="N58" s="663" t="s">
        <v>1290</v>
      </c>
      <c r="AA58" s="1571"/>
      <c r="AB58" s="1571"/>
      <c r="AC58" s="1571"/>
      <c r="AD58" s="1571"/>
      <c r="AE58" s="1571"/>
      <c r="AF58" s="1571"/>
      <c r="AG58" s="1571"/>
      <c r="AH58" s="1571"/>
      <c r="AI58" s="1571"/>
      <c r="AJ58" s="1571"/>
      <c r="AK58" s="1571"/>
    </row>
    <row r="59" spans="1:37" s="1441" customFormat="1" ht="52.8">
      <c r="A59" s="1585" t="s">
        <v>1879</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66">
      <c r="A60" s="1585" t="s">
        <v>1867</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4">
      <c r="A61" s="1585" t="s">
        <v>1868</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50.4">
      <c r="A62" s="1585" t="s">
        <v>1869</v>
      </c>
      <c r="B62" s="1596" t="s">
        <v>1870</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4">
      <c r="A63" s="1585" t="s">
        <v>1871</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36">
      <c r="A64" s="1585" t="s">
        <v>1872</v>
      </c>
      <c r="B64" s="1597" t="s">
        <v>1873</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6.4">
      <c r="A65" s="1585" t="s">
        <v>1874</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6.4">
      <c r="A66" s="1585" t="s">
        <v>1875</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9.6">
      <c r="A67" s="1599" t="s">
        <v>1876</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4.4">
      <c r="A68" s="1579" t="s">
        <v>1880</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5.2">
      <c r="A69" s="1585" t="s">
        <v>1858</v>
      </c>
      <c r="B69" s="1586"/>
      <c r="C69" s="1586" t="s">
        <v>1860</v>
      </c>
      <c r="D69" s="1586" t="s">
        <v>1861</v>
      </c>
      <c r="E69" s="1587" t="s">
        <v>1862</v>
      </c>
      <c r="F69" s="1588" t="s">
        <v>1878</v>
      </c>
      <c r="G69" s="1586" t="s">
        <v>1793</v>
      </c>
      <c r="H69" s="1589" t="s">
        <v>1864</v>
      </c>
      <c r="I69" s="1586" t="s">
        <v>1865</v>
      </c>
      <c r="J69" s="663" t="s">
        <v>1286</v>
      </c>
      <c r="K69" s="663" t="s">
        <v>1287</v>
      </c>
      <c r="L69" s="663" t="s">
        <v>1288</v>
      </c>
      <c r="M69" s="663" t="s">
        <v>1289</v>
      </c>
      <c r="N69" s="663" t="s">
        <v>1290</v>
      </c>
      <c r="AA69" s="1571"/>
      <c r="AB69" s="1571"/>
      <c r="AC69" s="1571"/>
      <c r="AD69" s="1571"/>
      <c r="AE69" s="1571"/>
      <c r="AF69" s="1571"/>
      <c r="AG69" s="1571"/>
      <c r="AH69" s="1571"/>
      <c r="AI69" s="1571"/>
      <c r="AJ69" s="1571"/>
      <c r="AK69" s="1571"/>
    </row>
    <row r="70" spans="1:37" s="1441" customFormat="1" ht="66">
      <c r="A70" s="1585" t="s">
        <v>1881</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66">
      <c r="A71" s="1585" t="s">
        <v>1867</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4">
      <c r="A72" s="1585" t="s">
        <v>1868</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3.8">
      <c r="A73" s="1585" t="s">
        <v>1882</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6.4">
      <c r="A74" s="1585" t="s">
        <v>1874</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6.4">
      <c r="A75" s="1585" t="s">
        <v>1875</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36">
      <c r="A76" s="1585" t="s">
        <v>1872</v>
      </c>
      <c r="B76" s="1597" t="s">
        <v>1873</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9.6">
      <c r="A77" s="1585" t="s">
        <v>1876</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36">
      <c r="A78" s="1599" t="s">
        <v>1883</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4.4">
      <c r="A79" s="1579" t="s">
        <v>1884</v>
      </c>
      <c r="B79" s="1580">
        <f>1+E81</f>
        <v>1</v>
      </c>
      <c r="C79" s="1582"/>
      <c r="D79" s="1582"/>
      <c r="E79" s="1583"/>
      <c r="F79" s="1584"/>
      <c r="G79" s="1578"/>
      <c r="H79" s="1578"/>
      <c r="I79" s="1578"/>
      <c r="J79" s="863"/>
      <c r="K79" s="863"/>
      <c r="L79" s="863"/>
      <c r="M79" s="863"/>
      <c r="N79" s="863"/>
      <c r="Z79" s="1445"/>
      <c r="AA79" s="1443"/>
      <c r="AG79" s="1447"/>
      <c r="AK79" s="1443"/>
    </row>
    <row r="80" spans="1:37" ht="25.2">
      <c r="A80" s="1585" t="s">
        <v>1858</v>
      </c>
      <c r="B80" s="1586"/>
      <c r="C80" s="1586" t="s">
        <v>1860</v>
      </c>
      <c r="D80" s="1586" t="s">
        <v>1861</v>
      </c>
      <c r="E80" s="1587" t="s">
        <v>1862</v>
      </c>
      <c r="F80" s="1588" t="s">
        <v>1878</v>
      </c>
      <c r="G80" s="1586" t="s">
        <v>1793</v>
      </c>
      <c r="H80" s="1589" t="s">
        <v>1864</v>
      </c>
      <c r="I80" s="1586" t="s">
        <v>1865</v>
      </c>
      <c r="J80" s="663" t="s">
        <v>1286</v>
      </c>
      <c r="K80" s="663" t="s">
        <v>1287</v>
      </c>
      <c r="L80" s="663" t="s">
        <v>1288</v>
      </c>
      <c r="M80" s="663" t="s">
        <v>1289</v>
      </c>
      <c r="N80" s="663" t="s">
        <v>1290</v>
      </c>
      <c r="Z80" s="1445"/>
      <c r="AA80" s="1443"/>
      <c r="AG80" s="1447"/>
      <c r="AK80" s="1443"/>
    </row>
    <row r="81" spans="1:37" ht="39.6">
      <c r="A81" s="1585" t="s">
        <v>1885</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79.2">
      <c r="A82" s="1585" t="s">
        <v>1867</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4">
      <c r="A83" s="1585" t="s">
        <v>1868</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3.8">
      <c r="A84" s="1585" t="s">
        <v>1882</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39.6">
      <c r="A85" s="1585" t="s">
        <v>1874</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6.4">
      <c r="A86" s="1585" t="s">
        <v>1875</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36">
      <c r="A87" s="1585" t="s">
        <v>1872</v>
      </c>
      <c r="B87" s="1597" t="s">
        <v>1886</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2.8">
      <c r="A88" s="1599" t="s">
        <v>1887</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c r="A90" s="3301" t="s">
        <v>1888</v>
      </c>
      <c r="B90" s="3301"/>
      <c r="C90" s="3301"/>
      <c r="D90" s="3301"/>
      <c r="E90" s="3301"/>
      <c r="F90" s="3301"/>
      <c r="G90" s="3301"/>
      <c r="H90" s="3301"/>
      <c r="I90" s="3301"/>
      <c r="J90" s="3301"/>
      <c r="K90" s="1706"/>
      <c r="L90" s="1706"/>
      <c r="M90" s="1706"/>
      <c r="N90" s="1706"/>
    </row>
    <row r="91" spans="1:37">
      <c r="A91" s="3312" t="s">
        <v>1889</v>
      </c>
      <c r="B91" s="3312" t="s">
        <v>1890</v>
      </c>
      <c r="C91" s="1555" t="s">
        <v>1891</v>
      </c>
      <c r="D91" s="1556"/>
      <c r="E91" s="1556"/>
      <c r="F91" s="1556"/>
      <c r="G91" s="1556"/>
      <c r="H91" s="1556"/>
      <c r="I91" s="1556"/>
      <c r="J91" s="1724"/>
      <c r="K91" s="1725"/>
      <c r="L91" s="1725"/>
      <c r="M91" s="1725"/>
      <c r="N91" s="1725"/>
    </row>
    <row r="92" spans="1:37">
      <c r="A92" s="3312"/>
      <c r="B92" s="3312"/>
      <c r="C92" s="1554" t="s">
        <v>1755</v>
      </c>
      <c r="D92" s="1554" t="s">
        <v>1756</v>
      </c>
      <c r="E92" s="1554" t="s">
        <v>1757</v>
      </c>
      <c r="F92" s="1554" t="s">
        <v>1758</v>
      </c>
      <c r="G92" s="1554" t="s">
        <v>1759</v>
      </c>
      <c r="H92" s="1554" t="s">
        <v>1760</v>
      </c>
      <c r="I92" s="1554" t="s">
        <v>1761</v>
      </c>
      <c r="J92" s="1554" t="s">
        <v>1762</v>
      </c>
      <c r="K92" s="1554" t="s">
        <v>1763</v>
      </c>
      <c r="L92" s="1554" t="s">
        <v>1764</v>
      </c>
      <c r="M92" s="1554" t="s">
        <v>1765</v>
      </c>
      <c r="N92" s="1554" t="s">
        <v>1766</v>
      </c>
    </row>
    <row r="93" spans="1:37">
      <c r="A93" s="3313" t="s">
        <v>1892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1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1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1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1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1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314"/>
      <c r="B99" s="1707" t="s">
        <v>1772</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15"/>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c r="A101" s="3313" t="s">
        <v>1893</v>
      </c>
      <c r="B101" s="1711" t="s">
        <v>1894</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14"/>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14"/>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14"/>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14"/>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14"/>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14"/>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14"/>
      <c r="B108" s="3316" t="s">
        <v>1785</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15"/>
      <c r="B109" s="3317"/>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c r="A110" s="3303" t="s">
        <v>1895</v>
      </c>
      <c r="B110" s="3303"/>
      <c r="C110" s="3303"/>
      <c r="D110" s="3303"/>
      <c r="E110" s="3303"/>
      <c r="F110" s="3303"/>
      <c r="G110" s="3303"/>
      <c r="H110" s="3303"/>
      <c r="I110" s="3303"/>
      <c r="J110" s="3303"/>
      <c r="K110" s="1713"/>
      <c r="L110" s="1713"/>
      <c r="M110" s="1713"/>
      <c r="N110" s="1713"/>
    </row>
    <row r="113" spans="1:13" ht="25.2">
      <c r="A113" s="1714" t="s">
        <v>1896</v>
      </c>
      <c r="B113" s="1715">
        <f>G3</f>
        <v>4.72</v>
      </c>
      <c r="C113" s="1518" t="s">
        <v>1897</v>
      </c>
      <c r="D113" s="1716">
        <f>SUMPRODUCT((A115:A118=F113)*(B114:M114=H113)*B115:M118)</f>
        <v>0</v>
      </c>
      <c r="E113" s="1451" t="s">
        <v>1730</v>
      </c>
      <c r="F113" s="1717">
        <f>E2</f>
        <v>0</v>
      </c>
      <c r="G113" s="1451" t="s">
        <v>1731</v>
      </c>
      <c r="H113" s="1717">
        <f>G2</f>
        <v>0</v>
      </c>
      <c r="I113" s="1451"/>
      <c r="J113" s="710"/>
      <c r="K113" s="710"/>
      <c r="L113" s="710"/>
      <c r="M113" s="710"/>
    </row>
    <row r="114" spans="1:13">
      <c r="A114" s="1718"/>
      <c r="B114" s="1719" t="s">
        <v>1898</v>
      </c>
      <c r="C114" s="1719" t="s">
        <v>1899</v>
      </c>
      <c r="D114" s="1719" t="s">
        <v>1900</v>
      </c>
      <c r="E114" s="1720" t="s">
        <v>1901</v>
      </c>
      <c r="F114" s="1720" t="s">
        <v>1902</v>
      </c>
      <c r="G114" s="1720" t="s">
        <v>1903</v>
      </c>
      <c r="H114" s="1721" t="s">
        <v>1904</v>
      </c>
      <c r="I114" s="1721" t="s">
        <v>1905</v>
      </c>
      <c r="J114" s="1726" t="s">
        <v>1906</v>
      </c>
      <c r="K114" s="1726" t="s">
        <v>1907</v>
      </c>
      <c r="L114" s="1726" t="s">
        <v>1908</v>
      </c>
      <c r="M114" s="1727" t="s">
        <v>1909</v>
      </c>
    </row>
    <row r="115" spans="1:13">
      <c r="A115" s="1658" t="s">
        <v>1829</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c r="A116" s="1658" t="s">
        <v>1830</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c r="A117" s="1658" t="s">
        <v>1831</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c r="A118" s="1722" t="s">
        <v>1832</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5"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customWidth="1"/>
    <col min="2" max="9" width="8.21875" style="1399" customWidth="1"/>
    <col min="14" max="14" width="10" customWidth="1"/>
    <col min="17" max="17" width="34.109375" customWidth="1"/>
    <col min="18" max="18" width="8.21875" customWidth="1"/>
    <col min="20" max="20" width="11.66406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1910</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1716</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1911</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1912</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1913</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1914</v>
      </c>
      <c r="B16" s="1417"/>
      <c r="C16" s="1418"/>
      <c r="D16" s="1418"/>
      <c r="E16" s="1417"/>
      <c r="F16" s="1418"/>
      <c r="G16" s="1418"/>
    </row>
    <row r="17" spans="1:7" ht="19.5" customHeight="1">
      <c r="A17" s="1413" t="s">
        <v>1915</v>
      </c>
      <c r="B17" s="1419" t="s">
        <v>1916</v>
      </c>
      <c r="C17" s="1419" t="s">
        <v>1917</v>
      </c>
      <c r="D17" s="1420"/>
      <c r="E17" s="1413" t="s">
        <v>1918</v>
      </c>
      <c r="F17" s="1421"/>
      <c r="G17" s="1421"/>
    </row>
    <row r="18" spans="1:7" ht="19.5" customHeight="1">
      <c r="A18" s="3319" t="s">
        <v>1277</v>
      </c>
      <c r="B18" s="1422" t="s">
        <v>1919</v>
      </c>
      <c r="C18" s="1423" t="s">
        <v>1920</v>
      </c>
      <c r="D18" s="1424"/>
      <c r="E18" s="1422">
        <v>1</v>
      </c>
      <c r="F18" s="1425" t="s">
        <v>1921</v>
      </c>
      <c r="G18" s="1426"/>
    </row>
    <row r="19" spans="1:7" ht="19.5" customHeight="1">
      <c r="A19" s="3319"/>
      <c r="B19" s="3319" t="s">
        <v>1922</v>
      </c>
      <c r="C19" s="1423" t="s">
        <v>1923</v>
      </c>
      <c r="D19" s="1424"/>
      <c r="E19" s="1422">
        <v>0.9</v>
      </c>
      <c r="F19" s="1425" t="s">
        <v>1924</v>
      </c>
      <c r="G19" s="1426"/>
    </row>
    <row r="20" spans="1:7" ht="19.5" customHeight="1">
      <c r="A20" s="3319"/>
      <c r="B20" s="3319"/>
      <c r="C20" s="1423" t="s">
        <v>1925</v>
      </c>
      <c r="D20" s="1424"/>
      <c r="E20" s="1422">
        <v>1.1000000000000001</v>
      </c>
      <c r="F20" s="1425" t="s">
        <v>1926</v>
      </c>
      <c r="G20" s="1426"/>
    </row>
    <row r="21" spans="1:7" ht="19.5" customHeight="1">
      <c r="A21" s="3319"/>
      <c r="B21" s="3319"/>
      <c r="C21" s="1423" t="s">
        <v>1927</v>
      </c>
      <c r="D21" s="1424"/>
      <c r="E21" s="1422">
        <v>0.8</v>
      </c>
      <c r="F21" s="1425" t="s">
        <v>1928</v>
      </c>
      <c r="G21" s="1426"/>
    </row>
    <row r="22" spans="1:7" ht="19.5" customHeight="1">
      <c r="A22" s="3319"/>
      <c r="B22" s="3319"/>
      <c r="C22" s="1423" t="s">
        <v>1929</v>
      </c>
      <c r="D22" s="1424"/>
      <c r="E22" s="1422">
        <v>0.5</v>
      </c>
      <c r="F22" s="1425"/>
      <c r="G22" s="1426"/>
    </row>
    <row r="23" spans="1:7" ht="19.5" customHeight="1">
      <c r="A23" s="3319" t="s">
        <v>447</v>
      </c>
      <c r="B23" s="1422" t="s">
        <v>1919</v>
      </c>
      <c r="C23" s="1423" t="s">
        <v>1930</v>
      </c>
      <c r="D23" s="1424"/>
      <c r="E23" s="1422">
        <v>1</v>
      </c>
      <c r="F23" s="1425" t="s">
        <v>1931</v>
      </c>
      <c r="G23" s="1426"/>
    </row>
    <row r="24" spans="1:7" ht="19.5" customHeight="1">
      <c r="A24" s="3319"/>
      <c r="B24" s="3319" t="s">
        <v>1922</v>
      </c>
      <c r="C24" s="1423" t="s">
        <v>1932</v>
      </c>
      <c r="D24" s="1424"/>
      <c r="E24" s="1422">
        <v>0.5</v>
      </c>
      <c r="F24" s="1425"/>
      <c r="G24" s="1426"/>
    </row>
    <row r="25" spans="1:7" ht="19.5" customHeight="1">
      <c r="A25" s="3319"/>
      <c r="B25" s="3319"/>
      <c r="C25" s="1423" t="s">
        <v>1933</v>
      </c>
      <c r="D25" s="1424"/>
      <c r="E25" s="1422">
        <v>1.1000000000000001</v>
      </c>
      <c r="F25" s="1425"/>
      <c r="G25" s="1426"/>
    </row>
    <row r="26" spans="1:7" ht="19.5" customHeight="1">
      <c r="A26" s="3319"/>
      <c r="B26" s="3319"/>
      <c r="C26" s="1423" t="s">
        <v>1934</v>
      </c>
      <c r="D26" s="1424"/>
      <c r="E26" s="1422">
        <v>1.1000000000000001</v>
      </c>
      <c r="F26" s="1425"/>
      <c r="G26" s="1426"/>
    </row>
    <row r="27" spans="1:7" ht="19.5" customHeight="1">
      <c r="A27" s="3319"/>
      <c r="B27" s="3319"/>
      <c r="C27" s="1423" t="s">
        <v>1935</v>
      </c>
      <c r="D27" s="1424"/>
      <c r="E27" s="1422">
        <v>0.9</v>
      </c>
      <c r="F27" s="1425" t="s">
        <v>1936</v>
      </c>
      <c r="G27" s="1426"/>
    </row>
    <row r="28" spans="1:7" ht="19.5" customHeight="1">
      <c r="A28" s="3319"/>
      <c r="B28" s="3319"/>
      <c r="C28" s="1423" t="s">
        <v>1937</v>
      </c>
      <c r="D28" s="1424"/>
      <c r="E28" s="1422">
        <v>0.9</v>
      </c>
      <c r="F28" s="1425" t="s">
        <v>1938</v>
      </c>
      <c r="G28" s="1426"/>
    </row>
    <row r="29" spans="1:7" ht="19.5" customHeight="1">
      <c r="A29" s="3319"/>
      <c r="B29" s="3319"/>
      <c r="C29" s="1423" t="s">
        <v>1939</v>
      </c>
      <c r="D29" s="1424"/>
      <c r="E29" s="1422">
        <v>0.9</v>
      </c>
      <c r="F29" s="1425" t="s">
        <v>1940</v>
      </c>
      <c r="G29" s="1426"/>
    </row>
    <row r="30" spans="1:7" ht="19.5" customHeight="1">
      <c r="A30" s="3319"/>
      <c r="B30" s="3319"/>
      <c r="C30" s="1423" t="s">
        <v>1941</v>
      </c>
      <c r="D30" s="1424"/>
      <c r="E30" s="1422">
        <v>0.9</v>
      </c>
      <c r="F30" s="1425" t="s">
        <v>1942</v>
      </c>
      <c r="G30" s="1426"/>
    </row>
    <row r="31" spans="1:7" ht="19.5" customHeight="1">
      <c r="A31" s="3319"/>
      <c r="B31" s="3319"/>
      <c r="C31" s="1423" t="s">
        <v>1943</v>
      </c>
      <c r="D31" s="1424"/>
      <c r="E31" s="1422">
        <v>0.8</v>
      </c>
      <c r="F31" s="1425" t="s">
        <v>1944</v>
      </c>
      <c r="G31" s="1426"/>
    </row>
    <row r="32" spans="1:7" ht="19.5" customHeight="1">
      <c r="A32" s="3319"/>
      <c r="B32" s="3319"/>
      <c r="C32" s="1423" t="s">
        <v>1945</v>
      </c>
      <c r="D32" s="1424"/>
      <c r="E32" s="1422">
        <v>0.8</v>
      </c>
      <c r="F32" s="1425" t="s">
        <v>1946</v>
      </c>
      <c r="G32" s="1426"/>
    </row>
    <row r="33" spans="1:8" ht="19.5" customHeight="1">
      <c r="A33" s="3319" t="s">
        <v>1947</v>
      </c>
      <c r="B33" s="1422" t="s">
        <v>1919</v>
      </c>
      <c r="C33" s="1423" t="s">
        <v>1948</v>
      </c>
      <c r="D33" s="1424"/>
      <c r="E33" s="1422">
        <v>1</v>
      </c>
      <c r="F33" s="1425" t="s">
        <v>1949</v>
      </c>
      <c r="G33" s="1426"/>
    </row>
    <row r="34" spans="1:8" ht="19.5" customHeight="1">
      <c r="A34" s="3319"/>
      <c r="B34" s="1422" t="s">
        <v>1922</v>
      </c>
      <c r="C34" s="1423" t="s">
        <v>1950</v>
      </c>
      <c r="D34" s="1424"/>
      <c r="E34" s="1422">
        <v>1.5</v>
      </c>
      <c r="F34" s="1425" t="s">
        <v>1951</v>
      </c>
      <c r="G34" s="1426"/>
    </row>
    <row r="35" spans="1:8" ht="19.5" customHeight="1">
      <c r="A35" s="3319" t="s">
        <v>1716</v>
      </c>
      <c r="B35" s="1422" t="s">
        <v>1919</v>
      </c>
      <c r="C35" s="1423" t="s">
        <v>1952</v>
      </c>
      <c r="D35" s="1424"/>
      <c r="E35" s="1422">
        <v>1</v>
      </c>
      <c r="F35" s="1425" t="s">
        <v>1953</v>
      </c>
      <c r="G35" s="1426"/>
    </row>
    <row r="36" spans="1:8" ht="19.5" customHeight="1">
      <c r="A36" s="3319"/>
      <c r="B36" s="3319" t="s">
        <v>1922</v>
      </c>
      <c r="C36" s="1423" t="s">
        <v>1954</v>
      </c>
      <c r="D36" s="1424"/>
      <c r="E36" s="1422">
        <v>1</v>
      </c>
      <c r="F36" s="1425" t="s">
        <v>1955</v>
      </c>
      <c r="G36" s="1426"/>
    </row>
    <row r="37" spans="1:8" ht="19.5" customHeight="1">
      <c r="A37" s="3319"/>
      <c r="B37" s="3319"/>
      <c r="C37" s="1423" t="s">
        <v>1956</v>
      </c>
      <c r="D37" s="1424"/>
      <c r="E37" s="1422">
        <v>1.5</v>
      </c>
      <c r="F37" s="1425" t="s">
        <v>1957</v>
      </c>
      <c r="G37" s="1426"/>
    </row>
    <row r="38" spans="1:8" ht="19.5" customHeight="1">
      <c r="A38" s="3319"/>
      <c r="B38" s="3319"/>
      <c r="C38" s="1423" t="s">
        <v>1958</v>
      </c>
      <c r="D38" s="1424"/>
      <c r="E38" s="1422">
        <v>1</v>
      </c>
      <c r="F38" s="1425" t="s">
        <v>1959</v>
      </c>
      <c r="G38" s="1426"/>
    </row>
    <row r="39" spans="1:8" ht="19.5" customHeight="1">
      <c r="A39" s="3319"/>
      <c r="B39" s="3319"/>
      <c r="C39" s="1423" t="s">
        <v>1960</v>
      </c>
      <c r="D39" s="1424"/>
      <c r="E39" s="1422">
        <v>1</v>
      </c>
      <c r="F39" s="1425" t="s">
        <v>1961</v>
      </c>
      <c r="G39" s="1426"/>
    </row>
    <row r="40" spans="1:8" ht="19.5" customHeight="1">
      <c r="A40" s="1427" t="s">
        <v>1962</v>
      </c>
      <c r="B40" s="1427"/>
      <c r="C40" s="1427"/>
      <c r="D40" s="1427"/>
      <c r="E40" s="1427"/>
      <c r="F40" s="1428"/>
      <c r="G40" s="1428"/>
    </row>
    <row r="42" spans="1:8" ht="19.5" customHeight="1">
      <c r="A42" s="1429"/>
      <c r="B42" s="1413" t="s">
        <v>583</v>
      </c>
      <c r="C42" s="1413" t="s">
        <v>583</v>
      </c>
      <c r="D42" s="1413" t="s">
        <v>583</v>
      </c>
      <c r="E42" s="1415" t="s">
        <v>583</v>
      </c>
      <c r="F42" s="1415" t="s">
        <v>583</v>
      </c>
      <c r="G42" s="1415" t="s">
        <v>1963</v>
      </c>
      <c r="H42" s="1415" t="s">
        <v>583</v>
      </c>
    </row>
    <row r="43" spans="1:8" ht="19.5" customHeight="1">
      <c r="A43" s="1430"/>
      <c r="B43" s="1415" t="s">
        <v>1277</v>
      </c>
      <c r="C43" s="1415" t="s">
        <v>1277</v>
      </c>
      <c r="D43" s="1415" t="s">
        <v>1277</v>
      </c>
      <c r="E43" s="1415" t="s">
        <v>1277</v>
      </c>
      <c r="F43" s="1413" t="s">
        <v>447</v>
      </c>
      <c r="G43" s="1413" t="s">
        <v>1716</v>
      </c>
      <c r="H43" s="1413" t="s">
        <v>589</v>
      </c>
    </row>
    <row r="44" spans="1:8" ht="19.5" customHeight="1">
      <c r="A44" s="1431"/>
      <c r="B44" s="1413">
        <v>1</v>
      </c>
      <c r="C44" s="1413">
        <v>2</v>
      </c>
      <c r="D44" s="1413">
        <v>3</v>
      </c>
      <c r="E44" s="1415">
        <v>4</v>
      </c>
      <c r="F44" s="1420" t="s">
        <v>1964</v>
      </c>
      <c r="G44" s="1420" t="s">
        <v>1964</v>
      </c>
      <c r="H44" s="1420" t="s">
        <v>1964</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1965</v>
      </c>
      <c r="E58" s="1417"/>
      <c r="F58" s="1417"/>
    </row>
    <row r="59" spans="1:8" s="1399" customFormat="1" ht="19.5" customHeight="1">
      <c r="A59" s="1422" t="s">
        <v>437</v>
      </c>
      <c r="B59" s="1422" t="s">
        <v>1966</v>
      </c>
      <c r="C59" s="1422" t="s">
        <v>1967</v>
      </c>
      <c r="D59" s="1422" t="s">
        <v>1968</v>
      </c>
      <c r="E59" s="1422" t="s">
        <v>1969</v>
      </c>
      <c r="F59" s="1422" t="s">
        <v>1970</v>
      </c>
    </row>
    <row r="60" spans="1:8" ht="14.4">
      <c r="A60" s="1422"/>
      <c r="B60" s="1422"/>
      <c r="C60" s="1422" t="s">
        <v>1971</v>
      </c>
      <c r="D60" s="1422"/>
      <c r="E60" s="1433" t="s">
        <v>124</v>
      </c>
      <c r="F60" s="1422" t="s">
        <v>124</v>
      </c>
    </row>
    <row r="61" spans="1:8" s="1399" customFormat="1" ht="36">
      <c r="A61" s="1422">
        <v>1</v>
      </c>
      <c r="B61" s="3319" t="s">
        <v>1972</v>
      </c>
      <c r="C61" s="1413" t="s">
        <v>1973</v>
      </c>
      <c r="D61" s="1413" t="s">
        <v>1974</v>
      </c>
      <c r="E61" s="1433">
        <v>0.5</v>
      </c>
      <c r="F61" s="1422">
        <v>80</v>
      </c>
    </row>
    <row r="62" spans="1:8" s="1399" customFormat="1" ht="36">
      <c r="A62" s="1422">
        <v>2</v>
      </c>
      <c r="B62" s="3319"/>
      <c r="C62" s="1413" t="s">
        <v>1975</v>
      </c>
      <c r="D62" s="1413" t="s">
        <v>1976</v>
      </c>
      <c r="E62" s="1433">
        <v>0.5</v>
      </c>
      <c r="F62" s="1422">
        <v>80</v>
      </c>
    </row>
    <row r="63" spans="1:8" s="1399" customFormat="1" ht="48">
      <c r="A63" s="1422">
        <v>3</v>
      </c>
      <c r="B63" s="3319"/>
      <c r="C63" s="1413" t="s">
        <v>1977</v>
      </c>
      <c r="D63" s="1413" t="s">
        <v>1978</v>
      </c>
      <c r="E63" s="1433">
        <v>0.5</v>
      </c>
      <c r="F63" s="1422">
        <v>80</v>
      </c>
    </row>
    <row r="64" spans="1:8" s="1399" customFormat="1" ht="48">
      <c r="A64" s="1422">
        <v>4</v>
      </c>
      <c r="B64" s="3319"/>
      <c r="C64" s="1413" t="s">
        <v>1979</v>
      </c>
      <c r="D64" s="1413" t="s">
        <v>1980</v>
      </c>
      <c r="E64" s="1433">
        <v>0.4</v>
      </c>
      <c r="F64" s="1422">
        <v>60</v>
      </c>
    </row>
    <row r="65" spans="1:6" s="1399" customFormat="1" ht="48">
      <c r="A65" s="1422">
        <v>5</v>
      </c>
      <c r="B65" s="3319"/>
      <c r="C65" s="1413" t="s">
        <v>1981</v>
      </c>
      <c r="D65" s="1413" t="s">
        <v>1982</v>
      </c>
      <c r="E65" s="1433">
        <v>0.2</v>
      </c>
      <c r="F65" s="1422">
        <v>30</v>
      </c>
    </row>
    <row r="66" spans="1:6" s="1399" customFormat="1" ht="48">
      <c r="A66" s="1422">
        <v>6</v>
      </c>
      <c r="B66" s="3319"/>
      <c r="C66" s="1413" t="s">
        <v>1983</v>
      </c>
      <c r="D66" s="1413" t="s">
        <v>1984</v>
      </c>
      <c r="E66" s="1433">
        <v>0.3</v>
      </c>
      <c r="F66" s="1422">
        <v>50</v>
      </c>
    </row>
    <row r="67" spans="1:6" s="1399" customFormat="1" ht="48">
      <c r="A67" s="1422">
        <v>7</v>
      </c>
      <c r="B67" s="3319"/>
      <c r="C67" s="1413" t="s">
        <v>1985</v>
      </c>
      <c r="D67" s="1413" t="s">
        <v>1986</v>
      </c>
      <c r="E67" s="1433">
        <v>0.2</v>
      </c>
      <c r="F67" s="1422">
        <v>30</v>
      </c>
    </row>
    <row r="68" spans="1:6" s="1399" customFormat="1" ht="48">
      <c r="A68" s="1422">
        <v>8</v>
      </c>
      <c r="B68" s="3319"/>
      <c r="C68" s="1413" t="s">
        <v>1987</v>
      </c>
      <c r="D68" s="1413" t="s">
        <v>1988</v>
      </c>
      <c r="E68" s="1433">
        <v>0.2</v>
      </c>
      <c r="F68" s="1422">
        <v>30</v>
      </c>
    </row>
    <row r="69" spans="1:6" s="1399" customFormat="1" ht="48">
      <c r="A69" s="1422">
        <v>9</v>
      </c>
      <c r="B69" s="3319"/>
      <c r="C69" s="1413" t="s">
        <v>1989</v>
      </c>
      <c r="D69" s="1413" t="s">
        <v>1990</v>
      </c>
      <c r="E69" s="1433">
        <v>0.2</v>
      </c>
      <c r="F69" s="1422">
        <v>30</v>
      </c>
    </row>
    <row r="70" spans="1:6" s="1399" customFormat="1" ht="60">
      <c r="A70" s="1422">
        <v>10</v>
      </c>
      <c r="B70" s="3319"/>
      <c r="C70" s="1413" t="s">
        <v>1991</v>
      </c>
      <c r="D70" s="1413" t="s">
        <v>1992</v>
      </c>
      <c r="E70" s="1433">
        <v>0.2</v>
      </c>
      <c r="F70" s="1422">
        <v>30</v>
      </c>
    </row>
    <row r="71" spans="1:6" s="1399" customFormat="1" ht="60">
      <c r="A71" s="1422">
        <v>11</v>
      </c>
      <c r="B71" s="3319"/>
      <c r="C71" s="1413" t="s">
        <v>1993</v>
      </c>
      <c r="D71" s="1413" t="s">
        <v>1994</v>
      </c>
      <c r="E71" s="1433">
        <v>0.2</v>
      </c>
      <c r="F71" s="1422">
        <v>30</v>
      </c>
    </row>
    <row r="72" spans="1:6" s="1399" customFormat="1" ht="36">
      <c r="A72" s="1422">
        <v>12</v>
      </c>
      <c r="B72" s="3319"/>
      <c r="C72" s="1413" t="s">
        <v>1995</v>
      </c>
      <c r="D72" s="1413" t="s">
        <v>1996</v>
      </c>
      <c r="E72" s="1433">
        <v>0.5</v>
      </c>
      <c r="F72" s="1422">
        <v>80</v>
      </c>
    </row>
    <row r="73" spans="1:6" s="1399" customFormat="1" ht="36">
      <c r="A73" s="1422">
        <v>13</v>
      </c>
      <c r="B73" s="3319"/>
      <c r="C73" s="1413" t="s">
        <v>1997</v>
      </c>
      <c r="D73" s="1413" t="s">
        <v>1998</v>
      </c>
      <c r="E73" s="1433">
        <v>0.4</v>
      </c>
      <c r="F73" s="1422">
        <v>60</v>
      </c>
    </row>
    <row r="74" spans="1:6" s="1399" customFormat="1" ht="36">
      <c r="A74" s="1422">
        <v>14</v>
      </c>
      <c r="B74" s="3319"/>
      <c r="C74" s="1413" t="s">
        <v>1999</v>
      </c>
      <c r="D74" s="1413" t="s">
        <v>2000</v>
      </c>
      <c r="E74" s="1433">
        <v>0.2</v>
      </c>
      <c r="F74" s="1422">
        <v>30</v>
      </c>
    </row>
    <row r="75" spans="1:6" s="1399" customFormat="1" ht="36">
      <c r="A75" s="1422">
        <v>15</v>
      </c>
      <c r="B75" s="3319"/>
      <c r="C75" s="1413" t="s">
        <v>2001</v>
      </c>
      <c r="D75" s="1413" t="s">
        <v>2002</v>
      </c>
      <c r="E75" s="1433">
        <v>0.2</v>
      </c>
      <c r="F75" s="1422">
        <v>30</v>
      </c>
    </row>
    <row r="76" spans="1:6" s="1399" customFormat="1" ht="36">
      <c r="A76" s="1422">
        <v>16</v>
      </c>
      <c r="B76" s="3319" t="s">
        <v>2003</v>
      </c>
      <c r="C76" s="1413" t="s">
        <v>2004</v>
      </c>
      <c r="D76" s="1413" t="s">
        <v>2005</v>
      </c>
      <c r="E76" s="1433">
        <v>0.5</v>
      </c>
      <c r="F76" s="1422">
        <v>80</v>
      </c>
    </row>
    <row r="77" spans="1:6" s="1399" customFormat="1" ht="36">
      <c r="A77" s="1422">
        <v>17</v>
      </c>
      <c r="B77" s="3319"/>
      <c r="C77" s="1413" t="s">
        <v>2006</v>
      </c>
      <c r="D77" s="1413" t="s">
        <v>2007</v>
      </c>
      <c r="E77" s="1433">
        <v>0.5</v>
      </c>
      <c r="F77" s="1422">
        <v>80</v>
      </c>
    </row>
    <row r="78" spans="1:6" s="1399" customFormat="1" ht="36">
      <c r="A78" s="1422">
        <v>18</v>
      </c>
      <c r="B78" s="3319"/>
      <c r="C78" s="1413" t="s">
        <v>2008</v>
      </c>
      <c r="D78" s="1413" t="s">
        <v>2009</v>
      </c>
      <c r="E78" s="1433">
        <v>0.2</v>
      </c>
      <c r="F78" s="1422">
        <v>30</v>
      </c>
    </row>
    <row r="79" spans="1:6" s="1399" customFormat="1" ht="36">
      <c r="A79" s="1422">
        <v>19</v>
      </c>
      <c r="B79" s="3319"/>
      <c r="C79" s="1413" t="s">
        <v>2010</v>
      </c>
      <c r="D79" s="1413" t="s">
        <v>2011</v>
      </c>
      <c r="E79" s="1433">
        <v>0.5</v>
      </c>
      <c r="F79" s="1422">
        <v>80</v>
      </c>
    </row>
    <row r="80" spans="1:6" s="1399" customFormat="1" ht="36">
      <c r="A80" s="1422">
        <v>20</v>
      </c>
      <c r="B80" s="3319"/>
      <c r="C80" s="1413" t="s">
        <v>2012</v>
      </c>
      <c r="D80" s="1413" t="s">
        <v>2013</v>
      </c>
      <c r="E80" s="1433">
        <v>0.2</v>
      </c>
      <c r="F80" s="1422">
        <v>30</v>
      </c>
    </row>
    <row r="81" spans="1:6" s="1399" customFormat="1" ht="36">
      <c r="A81" s="1422">
        <v>21</v>
      </c>
      <c r="B81" s="3319"/>
      <c r="C81" s="1413" t="s">
        <v>2014</v>
      </c>
      <c r="D81" s="1413" t="s">
        <v>2015</v>
      </c>
      <c r="E81" s="1433">
        <v>0.2</v>
      </c>
      <c r="F81" s="1422">
        <v>30</v>
      </c>
    </row>
    <row r="82" spans="1:6" s="1399" customFormat="1" ht="60">
      <c r="A82" s="1422">
        <v>22</v>
      </c>
      <c r="B82" s="3319"/>
      <c r="C82" s="1413" t="s">
        <v>2016</v>
      </c>
      <c r="D82" s="1413" t="s">
        <v>2017</v>
      </c>
      <c r="E82" s="1433">
        <v>0.2</v>
      </c>
      <c r="F82" s="1422">
        <v>30</v>
      </c>
    </row>
    <row r="83" spans="1:6" s="1399" customFormat="1" ht="60">
      <c r="A83" s="1422">
        <v>23</v>
      </c>
      <c r="B83" s="3319"/>
      <c r="C83" s="1413" t="s">
        <v>2018</v>
      </c>
      <c r="D83" s="1413" t="s">
        <v>2019</v>
      </c>
      <c r="E83" s="1433">
        <v>0.2</v>
      </c>
      <c r="F83" s="1422">
        <v>30</v>
      </c>
    </row>
    <row r="84" spans="1:6" s="1399" customFormat="1" ht="48">
      <c r="A84" s="1422">
        <v>24</v>
      </c>
      <c r="B84" s="3319"/>
      <c r="C84" s="1413" t="s">
        <v>2020</v>
      </c>
      <c r="D84" s="1413" t="s">
        <v>2021</v>
      </c>
      <c r="E84" s="1433">
        <v>0.2</v>
      </c>
      <c r="F84" s="1422">
        <v>30</v>
      </c>
    </row>
    <row r="85" spans="1:6" s="1399" customFormat="1" ht="36">
      <c r="A85" s="1422">
        <v>25</v>
      </c>
      <c r="B85" s="3319"/>
      <c r="C85" s="1413" t="s">
        <v>2022</v>
      </c>
      <c r="D85" s="1413" t="s">
        <v>2023</v>
      </c>
      <c r="E85" s="1433">
        <v>0.5</v>
      </c>
      <c r="F85" s="1422">
        <v>80</v>
      </c>
    </row>
    <row r="86" spans="1:6" s="1399" customFormat="1" ht="36">
      <c r="A86" s="1422">
        <v>26</v>
      </c>
      <c r="B86" s="3319"/>
      <c r="C86" s="1413" t="s">
        <v>2024</v>
      </c>
      <c r="D86" s="1413" t="s">
        <v>2025</v>
      </c>
      <c r="E86" s="1433">
        <v>0.2</v>
      </c>
      <c r="F86" s="1422">
        <v>30</v>
      </c>
    </row>
    <row r="87" spans="1:6" s="1399" customFormat="1" ht="36">
      <c r="A87" s="1422">
        <v>27</v>
      </c>
      <c r="B87" s="3319"/>
      <c r="C87" s="1413" t="s">
        <v>2026</v>
      </c>
      <c r="D87" s="1413" t="s">
        <v>2027</v>
      </c>
      <c r="E87" s="1433">
        <v>0.2</v>
      </c>
      <c r="F87" s="1422">
        <v>30</v>
      </c>
    </row>
    <row r="88" spans="1:6" s="1399" customFormat="1" ht="36">
      <c r="A88" s="1422">
        <v>28</v>
      </c>
      <c r="B88" s="3319"/>
      <c r="C88" s="1413" t="s">
        <v>2028</v>
      </c>
      <c r="D88" s="1413" t="s">
        <v>2029</v>
      </c>
      <c r="E88" s="1433">
        <v>0.2</v>
      </c>
      <c r="F88" s="1422">
        <v>30</v>
      </c>
    </row>
    <row r="89" spans="1:6" s="1399" customFormat="1" ht="36">
      <c r="A89" s="1422">
        <v>29</v>
      </c>
      <c r="B89" s="3319"/>
      <c r="C89" s="1413" t="s">
        <v>2030</v>
      </c>
      <c r="D89" s="1413" t="s">
        <v>2031</v>
      </c>
      <c r="E89" s="1433">
        <v>0.2</v>
      </c>
      <c r="F89" s="1422">
        <v>30</v>
      </c>
    </row>
    <row r="90" spans="1:6" s="1399" customFormat="1" ht="36">
      <c r="A90" s="1422">
        <v>30</v>
      </c>
      <c r="B90" s="3319"/>
      <c r="C90" s="1413" t="s">
        <v>2032</v>
      </c>
      <c r="D90" s="1413" t="s">
        <v>2033</v>
      </c>
      <c r="E90" s="1433">
        <v>0.2</v>
      </c>
      <c r="F90" s="1422">
        <v>30</v>
      </c>
    </row>
    <row r="91" spans="1:6" s="1399" customFormat="1" ht="48">
      <c r="A91" s="1422">
        <v>31</v>
      </c>
      <c r="B91" s="3319"/>
      <c r="C91" s="1413" t="s">
        <v>2034</v>
      </c>
      <c r="D91" s="1413" t="s">
        <v>2035</v>
      </c>
      <c r="E91" s="1433">
        <v>0.2</v>
      </c>
      <c r="F91" s="1422">
        <v>30</v>
      </c>
    </row>
    <row r="92" spans="1:6" s="1399" customFormat="1" ht="36">
      <c r="A92" s="1422">
        <v>32</v>
      </c>
      <c r="B92" s="3319" t="s">
        <v>2036</v>
      </c>
      <c r="C92" s="1422" t="s">
        <v>2037</v>
      </c>
      <c r="D92" s="1413" t="s">
        <v>2038</v>
      </c>
      <c r="E92" s="1433">
        <v>0.2</v>
      </c>
      <c r="F92" s="1422">
        <v>30</v>
      </c>
    </row>
    <row r="93" spans="1:6" s="1399" customFormat="1" ht="36">
      <c r="A93" s="1422">
        <v>33</v>
      </c>
      <c r="B93" s="3319"/>
      <c r="C93" s="1422" t="s">
        <v>2039</v>
      </c>
      <c r="D93" s="1413" t="s">
        <v>2040</v>
      </c>
      <c r="E93" s="1433">
        <v>0.2</v>
      </c>
      <c r="F93" s="1422">
        <v>30</v>
      </c>
    </row>
    <row r="94" spans="1:6" s="1399" customFormat="1" ht="60">
      <c r="A94" s="1422">
        <v>34</v>
      </c>
      <c r="B94" s="3319"/>
      <c r="C94" s="1422" t="s">
        <v>2041</v>
      </c>
      <c r="D94" s="1413" t="s">
        <v>2042</v>
      </c>
      <c r="E94" s="1433">
        <v>0.2</v>
      </c>
      <c r="F94" s="1422">
        <v>30</v>
      </c>
    </row>
    <row r="95" spans="1:6" s="1399" customFormat="1" ht="48">
      <c r="A95" s="1422">
        <v>35</v>
      </c>
      <c r="B95" s="3319"/>
      <c r="C95" s="1422" t="s">
        <v>2043</v>
      </c>
      <c r="D95" s="1413" t="s">
        <v>2044</v>
      </c>
      <c r="E95" s="1433">
        <v>0.2</v>
      </c>
      <c r="F95" s="1422">
        <v>30</v>
      </c>
    </row>
    <row r="96" spans="1:6" s="1399" customFormat="1" ht="72">
      <c r="A96" s="1422">
        <v>36</v>
      </c>
      <c r="B96" s="3319"/>
      <c r="C96" s="1413" t="s">
        <v>2045</v>
      </c>
      <c r="D96" s="1413" t="s">
        <v>2046</v>
      </c>
      <c r="E96" s="1433">
        <v>0.2</v>
      </c>
      <c r="F96" s="1422">
        <v>30</v>
      </c>
    </row>
    <row r="97" spans="1:6" s="1399" customFormat="1" ht="36">
      <c r="A97" s="1422">
        <v>37</v>
      </c>
      <c r="B97" s="3319"/>
      <c r="C97" s="1422" t="s">
        <v>2047</v>
      </c>
      <c r="D97" s="1413" t="s">
        <v>2048</v>
      </c>
      <c r="E97" s="1433">
        <v>0.2</v>
      </c>
      <c r="F97" s="1422">
        <v>30</v>
      </c>
    </row>
    <row r="98" spans="1:6" s="1399" customFormat="1" ht="36">
      <c r="A98" s="1422">
        <v>38</v>
      </c>
      <c r="B98" s="3319"/>
      <c r="C98" s="1422" t="s">
        <v>2049</v>
      </c>
      <c r="D98" s="1413" t="s">
        <v>2050</v>
      </c>
      <c r="E98" s="1433">
        <v>0.2</v>
      </c>
      <c r="F98" s="1422">
        <v>30</v>
      </c>
    </row>
    <row r="99" spans="1:6" s="1399" customFormat="1" ht="36">
      <c r="A99" s="1422">
        <v>39</v>
      </c>
      <c r="B99" s="3319" t="s">
        <v>2051</v>
      </c>
      <c r="C99" s="1422" t="s">
        <v>2052</v>
      </c>
      <c r="D99" s="1413" t="s">
        <v>2053</v>
      </c>
      <c r="E99" s="1433">
        <v>0.3</v>
      </c>
      <c r="F99" s="1422">
        <v>50</v>
      </c>
    </row>
    <row r="100" spans="1:6" s="1399" customFormat="1" ht="36">
      <c r="A100" s="1422">
        <v>40</v>
      </c>
      <c r="B100" s="3319"/>
      <c r="C100" s="1422" t="s">
        <v>2054</v>
      </c>
      <c r="D100" s="1413" t="s">
        <v>2055</v>
      </c>
      <c r="E100" s="1433">
        <v>0.2</v>
      </c>
      <c r="F100" s="1422">
        <v>30</v>
      </c>
    </row>
    <row r="101" spans="1:6" s="1399" customFormat="1" ht="36">
      <c r="A101" s="1422">
        <v>41</v>
      </c>
      <c r="B101" s="3319"/>
      <c r="C101" s="1422" t="s">
        <v>2056</v>
      </c>
      <c r="D101" s="1413" t="s">
        <v>2053</v>
      </c>
      <c r="E101" s="1433">
        <v>0.2</v>
      </c>
      <c r="F101" s="1422">
        <v>30</v>
      </c>
    </row>
    <row r="102" spans="1:6" s="1399" customFormat="1" ht="72">
      <c r="A102" s="1422">
        <v>42</v>
      </c>
      <c r="B102" s="1422" t="s">
        <v>2057</v>
      </c>
      <c r="C102" s="1413" t="s">
        <v>2058</v>
      </c>
      <c r="D102" s="1413" t="s">
        <v>2059</v>
      </c>
      <c r="E102" s="1433">
        <v>0.2</v>
      </c>
      <c r="F102" s="1422">
        <v>30</v>
      </c>
    </row>
    <row r="103" spans="1:6" s="1399" customFormat="1" ht="36">
      <c r="A103" s="1422">
        <v>43</v>
      </c>
      <c r="B103" s="1422" t="s">
        <v>2060</v>
      </c>
      <c r="C103" s="1422" t="s">
        <v>2061</v>
      </c>
      <c r="D103" s="1413" t="s">
        <v>2062</v>
      </c>
      <c r="E103" s="1433">
        <v>0.2</v>
      </c>
      <c r="F103" s="1422">
        <v>30</v>
      </c>
    </row>
    <row r="104" spans="1:6" s="1399" customFormat="1" ht="36">
      <c r="A104" s="1422">
        <v>44</v>
      </c>
      <c r="B104" s="1422" t="s">
        <v>2063</v>
      </c>
      <c r="C104" s="1422" t="s">
        <v>2064</v>
      </c>
      <c r="D104" s="1413" t="s">
        <v>2065</v>
      </c>
      <c r="E104" s="1433">
        <v>0.2</v>
      </c>
      <c r="F104" s="1422">
        <v>30</v>
      </c>
    </row>
    <row r="105" spans="1:6" s="1399" customFormat="1" ht="48">
      <c r="A105" s="1422">
        <v>45</v>
      </c>
      <c r="B105" s="3319" t="s">
        <v>2066</v>
      </c>
      <c r="C105" s="1422" t="s">
        <v>2067</v>
      </c>
      <c r="D105" s="1413" t="s">
        <v>2068</v>
      </c>
      <c r="E105" s="1433">
        <v>0.2</v>
      </c>
      <c r="F105" s="1422">
        <v>30</v>
      </c>
    </row>
    <row r="106" spans="1:6" s="1399" customFormat="1" ht="48">
      <c r="A106" s="1422">
        <v>46</v>
      </c>
      <c r="B106" s="3319"/>
      <c r="C106" s="1422" t="s">
        <v>2069</v>
      </c>
      <c r="D106" s="1413" t="s">
        <v>2070</v>
      </c>
      <c r="E106" s="1433">
        <v>0.2</v>
      </c>
      <c r="F106" s="1422">
        <v>30</v>
      </c>
    </row>
    <row r="107" spans="1:6" s="1399" customFormat="1" ht="36">
      <c r="A107" s="1422">
        <v>47</v>
      </c>
      <c r="B107" s="3319" t="s">
        <v>2071</v>
      </c>
      <c r="C107" s="1422" t="s">
        <v>2072</v>
      </c>
      <c r="D107" s="1413" t="s">
        <v>2073</v>
      </c>
      <c r="E107" s="1433">
        <v>0.3</v>
      </c>
      <c r="F107" s="1422">
        <v>50</v>
      </c>
    </row>
    <row r="108" spans="1:6" s="1399" customFormat="1" ht="48">
      <c r="A108" s="1422">
        <v>48</v>
      </c>
      <c r="B108" s="3319"/>
      <c r="C108" s="1422" t="s">
        <v>2074</v>
      </c>
      <c r="D108" s="1413" t="s">
        <v>2075</v>
      </c>
      <c r="E108" s="1433">
        <v>0.2</v>
      </c>
      <c r="F108" s="1422">
        <v>30</v>
      </c>
    </row>
    <row r="109" spans="1:6" s="1399" customFormat="1" ht="36">
      <c r="A109" s="1422">
        <v>49</v>
      </c>
      <c r="B109" s="1422" t="s">
        <v>2076</v>
      </c>
      <c r="C109" s="1422" t="s">
        <v>2077</v>
      </c>
      <c r="D109" s="1413" t="s">
        <v>2078</v>
      </c>
      <c r="E109" s="1433">
        <v>0.2</v>
      </c>
      <c r="F109" s="1422">
        <v>30</v>
      </c>
    </row>
    <row r="110" spans="1:6" s="1399" customFormat="1" ht="48">
      <c r="A110" s="1422">
        <v>50</v>
      </c>
      <c r="B110" s="1422" t="s">
        <v>2079</v>
      </c>
      <c r="C110" s="1422" t="s">
        <v>2080</v>
      </c>
      <c r="D110" s="1413" t="s">
        <v>2081</v>
      </c>
      <c r="E110" s="1433">
        <v>0.2</v>
      </c>
      <c r="F110" s="1422">
        <v>30</v>
      </c>
    </row>
    <row r="111" spans="1:6" s="1399" customFormat="1" ht="48">
      <c r="A111" s="1422">
        <v>51</v>
      </c>
      <c r="B111" s="3319" t="s">
        <v>2082</v>
      </c>
      <c r="C111" s="1422" t="s">
        <v>2083</v>
      </c>
      <c r="D111" s="1413" t="s">
        <v>2084</v>
      </c>
      <c r="E111" s="1433">
        <v>0.2</v>
      </c>
      <c r="F111" s="1422">
        <v>30</v>
      </c>
    </row>
    <row r="112" spans="1:6" s="1399" customFormat="1" ht="36">
      <c r="A112" s="1422">
        <v>52</v>
      </c>
      <c r="B112" s="3319"/>
      <c r="C112" s="1422" t="s">
        <v>2085</v>
      </c>
      <c r="D112" s="1413" t="s">
        <v>2086</v>
      </c>
      <c r="E112" s="1433">
        <v>0.2</v>
      </c>
      <c r="F112" s="1422">
        <v>30</v>
      </c>
    </row>
    <row r="113" spans="1:6" s="1399" customFormat="1" ht="36">
      <c r="A113" s="1422">
        <v>53</v>
      </c>
      <c r="B113" s="3319"/>
      <c r="C113" s="1422" t="s">
        <v>2087</v>
      </c>
      <c r="D113" s="1413" t="s">
        <v>2088</v>
      </c>
      <c r="E113" s="1433">
        <v>0.2</v>
      </c>
      <c r="F113" s="1422">
        <v>30</v>
      </c>
    </row>
    <row r="114" spans="1:6" ht="48">
      <c r="A114" s="1422">
        <v>54</v>
      </c>
      <c r="B114" s="1422" t="s">
        <v>2089</v>
      </c>
      <c r="C114" s="1422" t="s">
        <v>2090</v>
      </c>
      <c r="D114" s="1413" t="s">
        <v>2091</v>
      </c>
      <c r="E114" s="1433">
        <v>0.2</v>
      </c>
      <c r="F114" s="1422">
        <v>30</v>
      </c>
    </row>
    <row r="115" spans="1:6" ht="36">
      <c r="A115" s="1422">
        <v>55</v>
      </c>
      <c r="B115" s="1422" t="s">
        <v>2092</v>
      </c>
      <c r="C115" s="1422" t="s">
        <v>2093</v>
      </c>
      <c r="D115" s="1413" t="s">
        <v>2094</v>
      </c>
      <c r="E115" s="1433">
        <v>0.2</v>
      </c>
      <c r="F115" s="1422">
        <v>30</v>
      </c>
    </row>
    <row r="116" spans="1:6" ht="36">
      <c r="A116" s="1422">
        <v>56</v>
      </c>
      <c r="B116" s="3319" t="s">
        <v>2095</v>
      </c>
      <c r="C116" s="1422" t="s">
        <v>2096</v>
      </c>
      <c r="D116" s="1413" t="s">
        <v>2097</v>
      </c>
      <c r="E116" s="1433">
        <v>0.2</v>
      </c>
      <c r="F116" s="1422">
        <v>30</v>
      </c>
    </row>
    <row r="117" spans="1:6" ht="36">
      <c r="A117" s="1422">
        <v>57</v>
      </c>
      <c r="B117" s="3319"/>
      <c r="C117" s="1422" t="s">
        <v>2098</v>
      </c>
      <c r="D117" s="1413" t="s">
        <v>2099</v>
      </c>
      <c r="E117" s="1433">
        <v>0.2</v>
      </c>
      <c r="F117" s="1422">
        <v>30</v>
      </c>
    </row>
    <row r="118" spans="1:6" ht="36">
      <c r="A118" s="1422">
        <v>58</v>
      </c>
      <c r="B118" s="1422" t="s">
        <v>2100</v>
      </c>
      <c r="C118" s="1422" t="s">
        <v>2101</v>
      </c>
      <c r="D118" s="1413" t="s">
        <v>2102</v>
      </c>
      <c r="E118" s="1433">
        <v>0.2</v>
      </c>
      <c r="F118" s="1422">
        <v>30</v>
      </c>
    </row>
    <row r="119" spans="1:6" ht="14.4">
      <c r="A119" s="1422"/>
      <c r="B119" s="1422"/>
      <c r="C119" s="1422" t="s">
        <v>1971</v>
      </c>
      <c r="D119" s="1422"/>
      <c r="E119" s="1433" t="s">
        <v>124</v>
      </c>
      <c r="F119" s="14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4.4"/>
  <cols>
    <col min="1" max="1" width="9" style="1382"/>
    <col min="9" max="9" width="9" style="1383"/>
  </cols>
  <sheetData>
    <row r="1" spans="1:14" ht="15.6">
      <c r="A1" s="1384" t="s">
        <v>2103</v>
      </c>
      <c r="B1" s="1385"/>
      <c r="C1" s="1385"/>
      <c r="D1" s="1385"/>
      <c r="E1" s="1385"/>
      <c r="F1" s="1385"/>
      <c r="G1" s="1385"/>
      <c r="H1" s="1385"/>
      <c r="I1" s="1391"/>
      <c r="J1" s="1385"/>
      <c r="K1" s="1385"/>
      <c r="L1" s="1385"/>
      <c r="M1" s="1385"/>
      <c r="N1" s="1385"/>
    </row>
    <row r="2" spans="1:14">
      <c r="A2" s="1386" t="s">
        <v>2104</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5.6">
      <c r="A103" s="1384" t="s">
        <v>2105</v>
      </c>
      <c r="B103" s="1385"/>
      <c r="C103" s="1385"/>
      <c r="D103" s="1385"/>
      <c r="E103" s="1385"/>
      <c r="F103" s="1385"/>
      <c r="G103" s="1385"/>
      <c r="H103" s="1385"/>
      <c r="I103" s="1391"/>
      <c r="J103" s="1385"/>
      <c r="K103" s="1385"/>
      <c r="L103" s="1385"/>
      <c r="M103" s="1385"/>
      <c r="N103" s="1385"/>
    </row>
    <row r="104" spans="1:14" ht="15.6">
      <c r="A104" s="1386" t="s">
        <v>2104</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5.6">
      <c r="A205" s="1384" t="s">
        <v>2106</v>
      </c>
      <c r="B205" s="1385"/>
      <c r="C205" s="1385"/>
      <c r="D205" s="1385"/>
      <c r="E205" s="1385"/>
      <c r="F205" s="1385"/>
      <c r="G205" s="1385"/>
      <c r="H205" s="1385"/>
      <c r="I205" s="1391"/>
      <c r="J205" s="1385"/>
      <c r="K205" s="1385"/>
      <c r="L205" s="1385"/>
      <c r="M205" s="1385"/>
    </row>
    <row r="206" spans="1:13">
      <c r="A206" s="1386" t="s">
        <v>2104</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5.6">
      <c r="A307" s="1384" t="s">
        <v>2107</v>
      </c>
      <c r="B307" s="1385"/>
      <c r="C307" s="1385"/>
      <c r="D307" s="1385"/>
      <c r="E307" s="1385"/>
      <c r="F307" s="1385"/>
      <c r="G307" s="1385"/>
      <c r="H307" s="1385"/>
      <c r="I307" s="1391"/>
      <c r="J307" s="1385"/>
      <c r="K307" s="1385"/>
      <c r="L307" s="1385"/>
      <c r="M307" s="1385"/>
      <c r="P307" s="1397" t="s">
        <v>2108</v>
      </c>
    </row>
    <row r="308" spans="1:16">
      <c r="A308" s="1386" t="s">
        <v>2104</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K38" sqref="K38"/>
    </sheetView>
  </sheetViews>
  <sheetFormatPr defaultColWidth="9" defaultRowHeight="13.8"/>
  <cols>
    <col min="1" max="1" width="23.33203125" style="710" customWidth="1"/>
    <col min="2" max="2" width="12.44140625" style="710" customWidth="1"/>
    <col min="3" max="3" width="12.109375" style="710" customWidth="1"/>
    <col min="4" max="4" width="14.109375" style="710" customWidth="1"/>
    <col min="5" max="5" width="12.44140625" style="710" customWidth="1"/>
    <col min="6" max="16384" width="9" style="710"/>
  </cols>
  <sheetData>
    <row r="1" spans="1:16" ht="21.6">
      <c r="A1" s="1370" t="s">
        <v>2109</v>
      </c>
      <c r="B1" s="863"/>
      <c r="C1" s="863"/>
      <c r="D1" s="863"/>
      <c r="E1" s="863"/>
      <c r="F1" s="1371"/>
      <c r="G1" s="1371"/>
      <c r="H1" s="1371"/>
      <c r="I1" s="1371"/>
      <c r="J1" s="1371"/>
      <c r="K1" s="1371"/>
      <c r="L1" s="1371"/>
      <c r="M1" s="1371"/>
      <c r="N1" s="1371"/>
      <c r="O1" s="1371"/>
      <c r="P1" s="1371"/>
    </row>
    <row r="2" spans="1:16" ht="15.6">
      <c r="A2" s="1372" t="s">
        <v>97</v>
      </c>
      <c r="B2" s="1373" t="e">
        <f ca="1">SUMIF(B6:B13,"&lt;&gt;#ref!",B6:B13)</f>
        <v>#DIV/0!</v>
      </c>
      <c r="C2" s="1372" t="s">
        <v>2110</v>
      </c>
      <c r="D2" s="1372" t="s">
        <v>2111</v>
      </c>
      <c r="E2" s="1374">
        <f ca="1">SUMIF(E6:E13,"&lt;&gt;#ref!",E6:E13)</f>
        <v>0</v>
      </c>
      <c r="F2" s="1371"/>
      <c r="G2" s="1371"/>
      <c r="H2" s="1371"/>
      <c r="I2" s="1371"/>
      <c r="J2" s="1371"/>
      <c r="K2" s="1371"/>
      <c r="L2" s="1371"/>
      <c r="M2" s="1371"/>
      <c r="N2" s="1371"/>
      <c r="O2" s="1371"/>
      <c r="P2" s="1371"/>
    </row>
    <row r="3" spans="1:16" ht="15.6">
      <c r="A3" s="1372" t="s">
        <v>2112</v>
      </c>
      <c r="B3" s="1373" t="e">
        <f ca="1">ROUND(B2*10000/E2,0)</f>
        <v>#DIV/0!</v>
      </c>
      <c r="C3" s="1372" t="s">
        <v>2113</v>
      </c>
      <c r="D3" s="1371"/>
      <c r="E3" s="1371"/>
      <c r="F3" s="1371"/>
      <c r="G3" s="1371"/>
      <c r="H3" s="1371"/>
      <c r="I3" s="1371"/>
      <c r="J3" s="1371"/>
      <c r="K3" s="1371"/>
      <c r="L3" s="1371"/>
      <c r="M3" s="1371"/>
      <c r="N3" s="1371"/>
      <c r="O3" s="1371"/>
      <c r="P3" s="1371"/>
    </row>
    <row r="4" spans="1:16" ht="15.6">
      <c r="A4" s="1375"/>
      <c r="B4" s="1371"/>
      <c r="C4" s="1371"/>
      <c r="D4" s="1371"/>
      <c r="E4" s="1371"/>
      <c r="F4" s="1371"/>
      <c r="G4" s="1371"/>
      <c r="H4" s="1371"/>
      <c r="I4" s="1371"/>
      <c r="J4" s="1371"/>
      <c r="K4" s="1371"/>
      <c r="L4" s="1371"/>
      <c r="M4" s="1371"/>
      <c r="N4" s="1371"/>
      <c r="O4" s="1371"/>
      <c r="P4" s="1371"/>
    </row>
    <row r="5" spans="1:16" ht="31.2">
      <c r="A5" s="1376" t="s">
        <v>2114</v>
      </c>
      <c r="B5" s="1377" t="s">
        <v>2115</v>
      </c>
      <c r="C5" s="1378"/>
      <c r="D5" s="1371"/>
      <c r="E5" s="1379" t="s">
        <v>2116</v>
      </c>
      <c r="F5" s="1371"/>
      <c r="G5" s="1371"/>
      <c r="H5" s="1371"/>
      <c r="I5" s="1371"/>
      <c r="J5" s="1371"/>
      <c r="K5" s="1371"/>
      <c r="L5" s="1371"/>
      <c r="M5" s="1371"/>
      <c r="N5" s="1371"/>
      <c r="O5" s="1371"/>
      <c r="P5" s="1371"/>
    </row>
    <row r="6" spans="1:16" ht="15.6">
      <c r="A6" s="1380" t="s">
        <v>2117</v>
      </c>
      <c r="B6" s="1373" t="e">
        <f ca="1">SUMIF(INDIRECT("'"&amp;A6&amp;"'"&amp;"!A:A"),"总价",INDIRECT("'"&amp;A6&amp;"'"&amp;"!B:B"))</f>
        <v>#DIV/0!</v>
      </c>
      <c r="C6" s="1372" t="s">
        <v>2110</v>
      </c>
      <c r="D6" s="1371"/>
      <c r="E6" s="1374">
        <f ca="1">SUMIF(INDIRECT("'"&amp;A6&amp;"'"&amp;"!C:C"),"建筑面积",INDIRECT("'"&amp;A6&amp;"'"&amp;"!D:D"))</f>
        <v>0</v>
      </c>
      <c r="F6" s="1371"/>
      <c r="G6" s="1371"/>
      <c r="H6" s="1371"/>
      <c r="I6" s="1371"/>
      <c r="J6" s="1371"/>
      <c r="K6" s="1371"/>
      <c r="L6" s="1371"/>
      <c r="M6" s="1371"/>
      <c r="N6" s="1371"/>
      <c r="O6" s="1371"/>
      <c r="P6" s="1371"/>
    </row>
    <row r="7" spans="1:16" ht="15.6">
      <c r="A7" s="1380"/>
      <c r="B7" s="1373" t="e">
        <f ca="1">SUMIF(INDIRECT("'"&amp;A7&amp;"'"&amp;"!A:A"),"总价",INDIRECT("'"&amp;A7&amp;"'"&amp;"!B:B"))</f>
        <v>#REF!</v>
      </c>
      <c r="C7" s="1372" t="s">
        <v>2110</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6">
      <c r="A8" s="1380"/>
      <c r="B8" s="1373" t="e">
        <f t="shared" ref="B8:B13" ca="1" si="1">SUMIF(INDIRECT("'"&amp;A8&amp;"'"&amp;"!A:A"),"总价",INDIRECT("'"&amp;A8&amp;"'"&amp;"!B:B"))</f>
        <v>#REF!</v>
      </c>
      <c r="C8" s="1372" t="s">
        <v>2110</v>
      </c>
      <c r="D8" s="1371"/>
      <c r="E8" s="1374" t="e">
        <f t="shared" ca="1" si="0"/>
        <v>#REF!</v>
      </c>
      <c r="F8" s="1371"/>
      <c r="G8" s="1371"/>
      <c r="H8" s="1371"/>
      <c r="I8" s="1371"/>
      <c r="J8" s="1371"/>
      <c r="K8" s="1371"/>
      <c r="L8" s="1371"/>
      <c r="M8" s="1371"/>
      <c r="N8" s="1371"/>
      <c r="O8" s="1371"/>
      <c r="P8" s="1371"/>
    </row>
    <row r="9" spans="1:16" ht="15.6">
      <c r="A9" s="1380"/>
      <c r="B9" s="1373" t="e">
        <f t="shared" ca="1" si="1"/>
        <v>#REF!</v>
      </c>
      <c r="C9" s="1372" t="s">
        <v>2110</v>
      </c>
      <c r="D9" s="1371"/>
      <c r="E9" s="1374" t="e">
        <f t="shared" ca="1" si="0"/>
        <v>#REF!</v>
      </c>
      <c r="F9" s="1371"/>
      <c r="G9" s="1371"/>
      <c r="H9" s="1371"/>
      <c r="I9" s="1371"/>
      <c r="J9" s="1371"/>
      <c r="K9" s="1371"/>
      <c r="L9" s="1371"/>
      <c r="M9" s="1371"/>
      <c r="N9" s="1371"/>
      <c r="O9" s="1371"/>
      <c r="P9" s="1371"/>
    </row>
    <row r="10" spans="1:16" ht="15.6">
      <c r="A10" s="1380"/>
      <c r="B10" s="1373" t="e">
        <f t="shared" ca="1" si="1"/>
        <v>#REF!</v>
      </c>
      <c r="C10" s="1372" t="s">
        <v>2110</v>
      </c>
      <c r="D10" s="1371"/>
      <c r="E10" s="1374" t="e">
        <f t="shared" ca="1" si="0"/>
        <v>#REF!</v>
      </c>
      <c r="F10" s="1371"/>
      <c r="G10" s="1371"/>
      <c r="H10" s="1371"/>
      <c r="I10" s="1371"/>
      <c r="J10" s="1371"/>
      <c r="K10" s="1371"/>
      <c r="L10" s="1371"/>
      <c r="M10" s="1371"/>
      <c r="N10" s="1371"/>
      <c r="O10" s="1371"/>
      <c r="P10" s="1371"/>
    </row>
    <row r="11" spans="1:16" ht="15.6">
      <c r="A11" s="1380"/>
      <c r="B11" s="1373" t="e">
        <f t="shared" ca="1" si="1"/>
        <v>#REF!</v>
      </c>
      <c r="C11" s="1372" t="s">
        <v>2110</v>
      </c>
      <c r="D11" s="1371"/>
      <c r="E11" s="1374" t="e">
        <f t="shared" ca="1" si="0"/>
        <v>#REF!</v>
      </c>
      <c r="F11" s="1371"/>
      <c r="G11" s="1371"/>
      <c r="H11" s="1371"/>
      <c r="I11" s="1371"/>
      <c r="J11" s="1371"/>
      <c r="K11" s="1371"/>
      <c r="L11" s="1371"/>
      <c r="M11" s="1371"/>
      <c r="N11" s="1371"/>
      <c r="O11" s="1371"/>
      <c r="P11" s="1371"/>
    </row>
    <row r="12" spans="1:16" ht="15.6">
      <c r="A12" s="1380"/>
      <c r="B12" s="1373" t="e">
        <f t="shared" ca="1" si="1"/>
        <v>#REF!</v>
      </c>
      <c r="C12" s="1372" t="s">
        <v>2110</v>
      </c>
      <c r="D12" s="1371"/>
      <c r="E12" s="1374" t="e">
        <f t="shared" ca="1" si="0"/>
        <v>#REF!</v>
      </c>
      <c r="F12" s="1371"/>
      <c r="G12" s="1371"/>
      <c r="H12" s="1371"/>
      <c r="I12" s="1371"/>
      <c r="J12" s="1371"/>
      <c r="K12" s="1371"/>
      <c r="L12" s="1371"/>
      <c r="M12" s="1371"/>
      <c r="N12" s="1371"/>
      <c r="O12" s="1371"/>
      <c r="P12" s="1371"/>
    </row>
    <row r="13" spans="1:16" ht="15.6">
      <c r="A13" s="1380"/>
      <c r="B13" s="1373" t="e">
        <f t="shared" ca="1" si="1"/>
        <v>#REF!</v>
      </c>
      <c r="C13" s="1372" t="s">
        <v>2110</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3.2"/>
  <cols>
    <col min="1" max="1" width="9" style="1258"/>
    <col min="2" max="6" width="9" style="1258" customWidth="1"/>
    <col min="7" max="7" width="9" style="1259"/>
    <col min="8" max="8" width="9" style="1258"/>
    <col min="9" max="12" width="9" style="1258" customWidth="1"/>
    <col min="13" max="13" width="2.21875" style="1258" customWidth="1"/>
    <col min="14" max="14" width="9" style="1259" customWidth="1"/>
    <col min="15" max="17" width="9" style="1258" customWidth="1"/>
    <col min="18" max="18" width="2.33203125" style="1258" customWidth="1"/>
    <col min="19" max="19" width="7.109375" style="1259" customWidth="1"/>
    <col min="20" max="22" width="7.109375" style="1258" customWidth="1"/>
    <col min="23" max="23" width="24.21875" style="1258" customWidth="1"/>
    <col min="24" max="25" width="9" style="1258"/>
    <col min="26" max="27" width="11.6640625" style="1258" customWidth="1"/>
    <col min="28" max="28" width="9" style="1258"/>
    <col min="29" max="29" width="2" style="1258" customWidth="1"/>
    <col min="30" max="16384" width="9" style="1258"/>
  </cols>
  <sheetData>
    <row r="1" spans="1:34" s="1250" customFormat="1">
      <c r="B1" s="3320" t="s">
        <v>2118</v>
      </c>
      <c r="C1" s="3320"/>
      <c r="D1" s="3320"/>
      <c r="E1" s="3320"/>
      <c r="F1" s="3320"/>
      <c r="G1" s="3321" t="s">
        <v>2119</v>
      </c>
      <c r="H1" s="3321"/>
      <c r="I1" s="3321"/>
      <c r="J1" s="3321"/>
      <c r="K1" s="3321"/>
      <c r="L1" s="3321"/>
      <c r="N1" s="3321" t="s">
        <v>2120</v>
      </c>
      <c r="O1" s="3321"/>
      <c r="P1" s="3321"/>
      <c r="Q1" s="3321"/>
      <c r="S1" s="3321" t="s">
        <v>2121</v>
      </c>
      <c r="T1" s="3321"/>
      <c r="U1" s="3321"/>
      <c r="V1" s="3321"/>
      <c r="X1" s="3322" t="s">
        <v>2122</v>
      </c>
      <c r="Y1" s="3321"/>
      <c r="Z1" s="3321"/>
      <c r="AA1" s="3321"/>
      <c r="AB1" s="3321"/>
      <c r="AD1" s="3322" t="s">
        <v>2123</v>
      </c>
      <c r="AE1" s="3321"/>
      <c r="AF1" s="3321"/>
      <c r="AG1" s="3321"/>
      <c r="AH1" s="3321"/>
    </row>
    <row r="2" spans="1:34" s="1251" customFormat="1" ht="14.4">
      <c r="B2" s="1260" t="s">
        <v>2124</v>
      </c>
      <c r="C2" s="1260" t="s">
        <v>2125</v>
      </c>
      <c r="D2" s="1261" t="s">
        <v>447</v>
      </c>
      <c r="E2" s="1261" t="s">
        <v>1910</v>
      </c>
      <c r="F2" s="1260" t="s">
        <v>2126</v>
      </c>
      <c r="G2" s="1262"/>
      <c r="I2" s="1260" t="s">
        <v>2124</v>
      </c>
      <c r="J2" s="1261" t="s">
        <v>2127</v>
      </c>
      <c r="K2" s="1261" t="s">
        <v>1910</v>
      </c>
      <c r="L2" s="1260" t="s">
        <v>2126</v>
      </c>
      <c r="N2" s="1260" t="s">
        <v>2124</v>
      </c>
      <c r="O2" s="1261" t="s">
        <v>2127</v>
      </c>
      <c r="P2" s="1261" t="s">
        <v>1910</v>
      </c>
      <c r="Q2" s="1260" t="s">
        <v>2126</v>
      </c>
      <c r="S2" s="1260" t="s">
        <v>2124</v>
      </c>
      <c r="T2" s="1261" t="s">
        <v>2127</v>
      </c>
      <c r="U2" s="1261" t="s">
        <v>1910</v>
      </c>
      <c r="V2" s="1260" t="s">
        <v>2126</v>
      </c>
      <c r="X2" s="1260" t="s">
        <v>2124</v>
      </c>
      <c r="Y2" s="1260" t="s">
        <v>2125</v>
      </c>
      <c r="Z2" s="1261" t="s">
        <v>447</v>
      </c>
      <c r="AA2" s="1261" t="s">
        <v>1910</v>
      </c>
      <c r="AB2" s="1260" t="s">
        <v>2126</v>
      </c>
      <c r="AD2" s="1260" t="s">
        <v>2124</v>
      </c>
      <c r="AE2" s="1260" t="s">
        <v>2125</v>
      </c>
      <c r="AF2" s="1261" t="s">
        <v>447</v>
      </c>
      <c r="AG2" s="1261" t="s">
        <v>1910</v>
      </c>
      <c r="AH2" s="1260" t="s">
        <v>2126</v>
      </c>
    </row>
    <row r="3" spans="1:34" s="1252" customFormat="1" ht="14.4">
      <c r="A3" s="1263" t="s">
        <v>2128</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4">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c r="A5" s="1270" t="s">
        <v>2129</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2130</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c r="A6" s="1274" t="s">
        <v>2131</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c r="A7" s="1274" t="s">
        <v>2132</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c r="A8" s="1274" t="s">
        <v>2133</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c r="A9" s="1274" t="s">
        <v>2134</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c r="A10" s="1274" t="s">
        <v>2135</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c r="A11" s="1274" t="s">
        <v>2136</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c r="A12" s="1274" t="s">
        <v>2137</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c r="A13" s="1274" t="s">
        <v>2138</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c r="A14" s="1274" t="s">
        <v>2139</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c r="A15" s="1274" t="s">
        <v>2140</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c r="A16" s="1274" t="s">
        <v>2141</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c r="A17" s="1274" t="s">
        <v>2142</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c r="A18" s="1274" t="s">
        <v>2143</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23">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55" customHeight="1">
      <c r="A19" s="1274" t="s">
        <v>2144</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23"/>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55" customHeight="1">
      <c r="A20" s="1274" t="s">
        <v>2145</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23"/>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2146</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24"/>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c r="A22" s="1274" t="s">
        <v>2147</v>
      </c>
      <c r="B22" s="1278">
        <v>439</v>
      </c>
      <c r="C22" s="1278">
        <v>327</v>
      </c>
      <c r="D22" s="1278">
        <f t="shared" si="184"/>
        <v>327</v>
      </c>
      <c r="E22" s="1278">
        <v>627</v>
      </c>
      <c r="F22" s="1279">
        <v>283</v>
      </c>
      <c r="G22" s="3325">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55" customHeight="1">
      <c r="A23" s="1274" t="s">
        <v>2148</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23"/>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55" customHeight="1">
      <c r="A24" s="1274" t="s">
        <v>2149</v>
      </c>
      <c r="B24" s="1275">
        <f t="shared" si="199"/>
        <v>419.31181600000002</v>
      </c>
      <c r="C24" s="1275">
        <f t="shared" si="200"/>
        <v>313.95436800000004</v>
      </c>
      <c r="D24" s="1275">
        <f t="shared" si="201"/>
        <v>313.95436800000004</v>
      </c>
      <c r="E24" s="1275">
        <f t="shared" si="202"/>
        <v>596.63028431999999</v>
      </c>
      <c r="F24" s="1275">
        <f t="shared" si="203"/>
        <v>274.74220703999998</v>
      </c>
      <c r="G24" s="3323"/>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2150</v>
      </c>
      <c r="B25" s="1275">
        <f t="shared" si="199"/>
        <v>405.524</v>
      </c>
      <c r="C25" s="1275">
        <f t="shared" si="200"/>
        <v>307.79840000000002</v>
      </c>
      <c r="D25" s="1275">
        <f t="shared" si="201"/>
        <v>307.79840000000002</v>
      </c>
      <c r="E25" s="1275">
        <f t="shared" si="202"/>
        <v>574.67759999999998</v>
      </c>
      <c r="F25" s="1275">
        <f t="shared" si="203"/>
        <v>270.20280000000002</v>
      </c>
      <c r="G25" s="3324"/>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c r="A26" s="1274" t="s">
        <v>2151</v>
      </c>
      <c r="B26" s="1278">
        <v>392</v>
      </c>
      <c r="C26" s="1278">
        <v>302</v>
      </c>
      <c r="D26" s="1278">
        <f t="shared" si="201"/>
        <v>302</v>
      </c>
      <c r="E26" s="1278">
        <v>553</v>
      </c>
      <c r="F26" s="1279">
        <v>266</v>
      </c>
      <c r="G26" s="3325">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2152</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23"/>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2153</v>
      </c>
      <c r="B28" s="1275">
        <f t="shared" si="212"/>
        <v>360.06949782209392</v>
      </c>
      <c r="C28" s="1275">
        <f t="shared" si="212"/>
        <v>289.84672674747821</v>
      </c>
      <c r="D28" s="1275">
        <f t="shared" si="213"/>
        <v>289.84672674747821</v>
      </c>
      <c r="E28" s="1275">
        <f t="shared" si="214"/>
        <v>501.06543001181495</v>
      </c>
      <c r="F28" s="1275">
        <f t="shared" si="214"/>
        <v>256.82882500744967</v>
      </c>
      <c r="G28" s="3323"/>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2154</v>
      </c>
      <c r="B29" s="1275">
        <f t="shared" si="212"/>
        <v>346.720748986128</v>
      </c>
      <c r="C29" s="1275">
        <f t="shared" si="212"/>
        <v>284.30282172386285</v>
      </c>
      <c r="D29" s="1275">
        <f t="shared" si="213"/>
        <v>284.30282172386285</v>
      </c>
      <c r="E29" s="1275">
        <f t="shared" si="214"/>
        <v>479.58023546306947</v>
      </c>
      <c r="F29" s="1275">
        <f t="shared" si="214"/>
        <v>253.25788877571213</v>
      </c>
      <c r="G29" s="3326"/>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c r="A30" s="1274" t="s">
        <v>2155</v>
      </c>
      <c r="B30" s="1278">
        <v>333</v>
      </c>
      <c r="C30" s="1278">
        <v>277</v>
      </c>
      <c r="D30" s="1278">
        <f t="shared" si="213"/>
        <v>277</v>
      </c>
      <c r="E30" s="1278">
        <v>459</v>
      </c>
      <c r="F30" s="1279">
        <v>249</v>
      </c>
      <c r="G30" s="3327">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2156</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23"/>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2157</v>
      </c>
      <c r="B32" s="1275">
        <f t="shared" si="216"/>
        <v>322.34053690220776</v>
      </c>
      <c r="C32" s="1275">
        <f t="shared" si="216"/>
        <v>271.46160770422546</v>
      </c>
      <c r="D32" s="1275">
        <f t="shared" si="213"/>
        <v>271.46160770422546</v>
      </c>
      <c r="E32" s="1275">
        <f t="shared" si="217"/>
        <v>442.69434542172456</v>
      </c>
      <c r="F32" s="1275">
        <f t="shared" si="217"/>
        <v>241.34030753190925</v>
      </c>
      <c r="G32" s="3323"/>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2158</v>
      </c>
      <c r="B33" s="1275">
        <f t="shared" si="216"/>
        <v>319.87748030386797</v>
      </c>
      <c r="C33" s="1275">
        <f t="shared" si="216"/>
        <v>269.60135833173649</v>
      </c>
      <c r="D33" s="1275">
        <f t="shared" si="213"/>
        <v>269.60135833173649</v>
      </c>
      <c r="E33" s="1275">
        <f t="shared" si="217"/>
        <v>439.18089823583784</v>
      </c>
      <c r="F33" s="1275">
        <f t="shared" si="217"/>
        <v>239.23503918706311</v>
      </c>
      <c r="G33" s="3326"/>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c r="A34" s="1274" t="s">
        <v>2159</v>
      </c>
      <c r="B34" s="1283">
        <v>318</v>
      </c>
      <c r="C34" s="1283">
        <v>268</v>
      </c>
      <c r="D34" s="1283">
        <f t="shared" si="213"/>
        <v>268</v>
      </c>
      <c r="E34" s="1283">
        <v>437</v>
      </c>
      <c r="F34" s="1284">
        <v>237</v>
      </c>
      <c r="G34" s="3327">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2160</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23"/>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2161</v>
      </c>
      <c r="B36" s="1275">
        <f t="shared" si="218"/>
        <v>314.72141172386546</v>
      </c>
      <c r="C36" s="1275">
        <f t="shared" si="218"/>
        <v>263.03901319069001</v>
      </c>
      <c r="D36" s="1275">
        <f t="shared" si="213"/>
        <v>263.03901319069001</v>
      </c>
      <c r="E36" s="1275">
        <f t="shared" si="219"/>
        <v>433.65745506782821</v>
      </c>
      <c r="F36" s="1275">
        <f t="shared" si="219"/>
        <v>233.23005080045735</v>
      </c>
      <c r="G36" s="3323"/>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c r="A37" s="1286" t="s">
        <v>2162</v>
      </c>
      <c r="B37" s="1287">
        <f t="shared" si="218"/>
        <v>307.34512863658733</v>
      </c>
      <c r="C37" s="1287">
        <f t="shared" si="218"/>
        <v>257.80556031626975</v>
      </c>
      <c r="D37" s="1287">
        <f t="shared" si="213"/>
        <v>257.80556031626975</v>
      </c>
      <c r="E37" s="1287">
        <f t="shared" si="219"/>
        <v>422.70928459677179</v>
      </c>
      <c r="F37" s="1287">
        <f t="shared" si="219"/>
        <v>229.73803270336617</v>
      </c>
      <c r="G37" s="3326"/>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2163</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c r="A38" s="1274" t="s">
        <v>2164</v>
      </c>
      <c r="B38" s="1278">
        <v>299</v>
      </c>
      <c r="C38" s="1278">
        <v>252</v>
      </c>
      <c r="D38" s="1278">
        <f t="shared" si="213"/>
        <v>252</v>
      </c>
      <c r="E38" s="1278">
        <v>409</v>
      </c>
      <c r="F38" s="1279">
        <v>227</v>
      </c>
      <c r="G38" s="3328">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2165</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29"/>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c r="A40" s="1274" t="s">
        <v>2166</v>
      </c>
      <c r="B40" s="1275">
        <f t="shared" si="222"/>
        <v>288.2649053828776</v>
      </c>
      <c r="C40" s="1275">
        <f t="shared" si="222"/>
        <v>243.64564425013293</v>
      </c>
      <c r="D40" s="1275">
        <f t="shared" si="213"/>
        <v>243.64564425013293</v>
      </c>
      <c r="E40" s="1275">
        <f t="shared" si="223"/>
        <v>393.31080825986544</v>
      </c>
      <c r="F40" s="1275">
        <f t="shared" si="223"/>
        <v>223.07903790551154</v>
      </c>
      <c r="G40" s="3329"/>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2167</v>
      </c>
      <c r="B41" s="1275">
        <f t="shared" si="222"/>
        <v>282.50186729015837</v>
      </c>
      <c r="C41" s="1275">
        <f t="shared" si="222"/>
        <v>238.09796174155468</v>
      </c>
      <c r="D41" s="1275">
        <f t="shared" si="213"/>
        <v>238.09796174155468</v>
      </c>
      <c r="E41" s="1275">
        <f t="shared" si="223"/>
        <v>385.33438646014054</v>
      </c>
      <c r="F41" s="1275">
        <f t="shared" si="223"/>
        <v>221.55034055567739</v>
      </c>
      <c r="G41" s="3330"/>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c r="A42" s="1274" t="s">
        <v>2168</v>
      </c>
      <c r="B42" s="1290">
        <v>278</v>
      </c>
      <c r="C42" s="1290">
        <v>234</v>
      </c>
      <c r="D42" s="1290">
        <f t="shared" si="213"/>
        <v>234</v>
      </c>
      <c r="E42" s="1290">
        <v>379</v>
      </c>
      <c r="F42" s="1291">
        <v>220</v>
      </c>
      <c r="G42" s="3327">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2169</v>
      </c>
      <c r="B43" s="1275">
        <f>B42/(1+N42)</f>
        <v>275.49301357645425</v>
      </c>
      <c r="C43" s="1275">
        <f>C42/(1+O42)</f>
        <v>232.41954707985698</v>
      </c>
      <c r="D43" s="1275">
        <f t="shared" si="213"/>
        <v>232.41954707985698</v>
      </c>
      <c r="E43" s="1275">
        <f t="shared" ref="E43:F45" si="224">E42/(1+P42)</f>
        <v>375.32184591008121</v>
      </c>
      <c r="F43" s="1275">
        <f t="shared" si="224"/>
        <v>218.03766105054513</v>
      </c>
      <c r="G43" s="3323"/>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2170</v>
      </c>
      <c r="B44" s="1275">
        <f>B43/(1+N43)</f>
        <v>275.24529281292263</v>
      </c>
      <c r="C44" s="1275">
        <f>C43/(1+O43)</f>
        <v>231.74747938962707</v>
      </c>
      <c r="D44" s="1275">
        <f t="shared" si="213"/>
        <v>231.74747938962707</v>
      </c>
      <c r="E44" s="1275">
        <f t="shared" si="224"/>
        <v>375.35938184826603</v>
      </c>
      <c r="F44" s="1275">
        <f t="shared" si="224"/>
        <v>216.78033510692495</v>
      </c>
      <c r="G44" s="3323"/>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2171</v>
      </c>
      <c r="B45" s="1275">
        <f>B44/(1+N44)</f>
        <v>275.19025476197027</v>
      </c>
      <c r="C45" s="1292">
        <v>232</v>
      </c>
      <c r="D45" s="1292">
        <f t="shared" si="213"/>
        <v>232</v>
      </c>
      <c r="E45" s="1275">
        <f t="shared" si="224"/>
        <v>375.65990977608692</v>
      </c>
      <c r="F45" s="1275">
        <f t="shared" si="224"/>
        <v>214.12518283971252</v>
      </c>
      <c r="G45" s="3326"/>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c r="A46" s="1274" t="s">
        <v>2172</v>
      </c>
      <c r="B46" s="1278">
        <v>275</v>
      </c>
      <c r="C46" s="1278">
        <v>232</v>
      </c>
      <c r="D46" s="1278">
        <f t="shared" si="213"/>
        <v>232</v>
      </c>
      <c r="E46" s="1278">
        <v>376</v>
      </c>
      <c r="F46" s="1279">
        <v>213</v>
      </c>
      <c r="G46" s="3327">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2173</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23">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2174</v>
      </c>
      <c r="B48" s="1275">
        <f t="shared" si="225"/>
        <v>275.19335084830601</v>
      </c>
      <c r="C48" s="1275">
        <f t="shared" si="225"/>
        <v>230.18088050139744</v>
      </c>
      <c r="D48" s="1275">
        <f t="shared" si="213"/>
        <v>230.18088050139744</v>
      </c>
      <c r="E48" s="1275">
        <f t="shared" si="226"/>
        <v>377.58482925212331</v>
      </c>
      <c r="F48" s="1275">
        <f t="shared" si="226"/>
        <v>210.90687997847917</v>
      </c>
      <c r="G48" s="3323">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2175</v>
      </c>
      <c r="B49" s="1275">
        <f t="shared" si="225"/>
        <v>276.29854502841971</v>
      </c>
      <c r="C49" s="1275">
        <f t="shared" si="225"/>
        <v>229.79023709833027</v>
      </c>
      <c r="D49" s="1275">
        <f t="shared" si="213"/>
        <v>229.79023709833027</v>
      </c>
      <c r="E49" s="1275">
        <f t="shared" si="226"/>
        <v>379.78759731655936</v>
      </c>
      <c r="F49" s="1275">
        <f t="shared" si="226"/>
        <v>211.32953905659235</v>
      </c>
      <c r="G49" s="3326">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c r="A50" s="1274" t="s">
        <v>2176</v>
      </c>
      <c r="B50" s="1278">
        <v>269</v>
      </c>
      <c r="C50" s="1278">
        <v>221</v>
      </c>
      <c r="D50" s="1278">
        <f t="shared" si="213"/>
        <v>221</v>
      </c>
      <c r="E50" s="1278">
        <v>373</v>
      </c>
      <c r="F50" s="1279">
        <v>196</v>
      </c>
      <c r="G50" s="3327">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2177</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23">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2178</v>
      </c>
      <c r="B52" s="1275">
        <f t="shared" si="227"/>
        <v>242.95398227588385</v>
      </c>
      <c r="C52" s="1275">
        <f t="shared" si="227"/>
        <v>199.59137053614126</v>
      </c>
      <c r="D52" s="1275">
        <f t="shared" si="213"/>
        <v>199.59137053614126</v>
      </c>
      <c r="E52" s="1275">
        <f t="shared" si="228"/>
        <v>335.92189522342125</v>
      </c>
      <c r="F52" s="1275">
        <f t="shared" si="228"/>
        <v>183.10139991109489</v>
      </c>
      <c r="G52" s="3323">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2179</v>
      </c>
      <c r="B53" s="1275">
        <f t="shared" si="227"/>
        <v>232.06990378821649</v>
      </c>
      <c r="C53" s="1275">
        <f t="shared" si="227"/>
        <v>192.74878854286936</v>
      </c>
      <c r="D53" s="1275">
        <f t="shared" si="213"/>
        <v>192.74878854286936</v>
      </c>
      <c r="E53" s="1275">
        <f t="shared" si="228"/>
        <v>319.71247284992984</v>
      </c>
      <c r="F53" s="1275">
        <f t="shared" si="228"/>
        <v>175.67053622862409</v>
      </c>
      <c r="G53" s="3326">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c r="A54" s="1274" t="s">
        <v>2180</v>
      </c>
      <c r="B54" s="1278">
        <v>220</v>
      </c>
      <c r="C54" s="1278">
        <v>187</v>
      </c>
      <c r="D54" s="1278">
        <f t="shared" si="213"/>
        <v>187</v>
      </c>
      <c r="E54" s="1278">
        <v>301</v>
      </c>
      <c r="F54" s="1279">
        <v>168</v>
      </c>
      <c r="G54" s="3327">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2181</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23">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2182</v>
      </c>
      <c r="B56" s="1275">
        <f t="shared" si="229"/>
        <v>210.630522469011</v>
      </c>
      <c r="C56" s="1275">
        <f t="shared" si="229"/>
        <v>181.69567812247232</v>
      </c>
      <c r="D56" s="1275">
        <f t="shared" si="213"/>
        <v>181.69567812247232</v>
      </c>
      <c r="E56" s="1275">
        <f t="shared" si="230"/>
        <v>286.13517466736738</v>
      </c>
      <c r="F56" s="1275">
        <f t="shared" si="230"/>
        <v>165.47535084591149</v>
      </c>
      <c r="G56" s="3323">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2183</v>
      </c>
      <c r="B57" s="1275">
        <f t="shared" si="229"/>
        <v>208.83454537875372</v>
      </c>
      <c r="C57" s="1275">
        <f t="shared" si="229"/>
        <v>183.77230517090351</v>
      </c>
      <c r="D57" s="1275">
        <f t="shared" si="213"/>
        <v>183.77230517090351</v>
      </c>
      <c r="E57" s="1275">
        <f t="shared" si="230"/>
        <v>281.10342338870947</v>
      </c>
      <c r="F57" s="1275">
        <f t="shared" si="230"/>
        <v>168.97309388942256</v>
      </c>
      <c r="G57" s="3326">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c r="A58" s="1274" t="s">
        <v>2184</v>
      </c>
      <c r="B58" s="1290">
        <v>214</v>
      </c>
      <c r="C58" s="1290">
        <v>188</v>
      </c>
      <c r="D58" s="1290">
        <f t="shared" si="213"/>
        <v>188</v>
      </c>
      <c r="E58" s="1290">
        <v>289</v>
      </c>
      <c r="F58" s="1291">
        <v>166</v>
      </c>
      <c r="G58" s="3327">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2185</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23">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2186</v>
      </c>
      <c r="B60" s="1275">
        <f t="shared" si="231"/>
        <v>206.31694671589116</v>
      </c>
      <c r="C60" s="1275">
        <f t="shared" si="231"/>
        <v>183.61041121036101</v>
      </c>
      <c r="D60" s="1275">
        <f t="shared" si="213"/>
        <v>183.61041121036101</v>
      </c>
      <c r="E60" s="1275">
        <f t="shared" si="232"/>
        <v>276.66850301795557</v>
      </c>
      <c r="F60" s="1275">
        <f t="shared" si="232"/>
        <v>165.1360938278614</v>
      </c>
      <c r="G60" s="3323">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2187</v>
      </c>
      <c r="B61" s="1293">
        <f t="shared" si="231"/>
        <v>196.62341248059772</v>
      </c>
      <c r="C61" s="1293">
        <f t="shared" si="231"/>
        <v>170.99125648199012</v>
      </c>
      <c r="D61" s="1293">
        <f t="shared" si="213"/>
        <v>170.99125648199012</v>
      </c>
      <c r="E61" s="1293">
        <f t="shared" si="232"/>
        <v>266.07857570490052</v>
      </c>
      <c r="F61" s="1293">
        <f t="shared" si="232"/>
        <v>154.53499328828505</v>
      </c>
      <c r="G61" s="3326">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c r="A62" s="1274" t="s">
        <v>2188</v>
      </c>
      <c r="B62" s="1278">
        <v>188</v>
      </c>
      <c r="C62" s="1278">
        <v>165</v>
      </c>
      <c r="D62" s="1278">
        <f t="shared" si="213"/>
        <v>165</v>
      </c>
      <c r="E62" s="1278">
        <v>254</v>
      </c>
      <c r="F62" s="1279">
        <v>148</v>
      </c>
      <c r="G62" s="3327">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2189</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23">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2190</v>
      </c>
      <c r="B64" s="1275">
        <f t="shared" si="235"/>
        <v>168.82017748715555</v>
      </c>
      <c r="C64" s="1275">
        <f t="shared" si="235"/>
        <v>148.06267029972753</v>
      </c>
      <c r="D64" s="1275">
        <f t="shared" si="213"/>
        <v>148.06267029972753</v>
      </c>
      <c r="E64" s="1275">
        <f t="shared" si="236"/>
        <v>216.46288379323747</v>
      </c>
      <c r="F64" s="1275">
        <f t="shared" si="236"/>
        <v>134.23529411764704</v>
      </c>
      <c r="G64" s="3323">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2191</v>
      </c>
      <c r="B65" s="1275">
        <f t="shared" si="235"/>
        <v>163.84913591779542</v>
      </c>
      <c r="C65" s="1275">
        <f t="shared" si="235"/>
        <v>145.0283378746594</v>
      </c>
      <c r="D65" s="1275">
        <f t="shared" si="213"/>
        <v>145.0283378746594</v>
      </c>
      <c r="E65" s="1275">
        <f t="shared" si="236"/>
        <v>204.95180722891567</v>
      </c>
      <c r="F65" s="1275">
        <f t="shared" si="236"/>
        <v>125.95920303605313</v>
      </c>
      <c r="G65" s="3326">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c r="A66" s="1274" t="s">
        <v>2192</v>
      </c>
      <c r="B66" s="1283">
        <v>159</v>
      </c>
      <c r="C66" s="1283">
        <v>141</v>
      </c>
      <c r="D66" s="1283">
        <f t="shared" si="213"/>
        <v>141</v>
      </c>
      <c r="E66" s="1283">
        <v>195</v>
      </c>
      <c r="F66" s="1284">
        <v>122</v>
      </c>
      <c r="G66" s="3327">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2193</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23">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2194</v>
      </c>
      <c r="B68" s="1275">
        <f t="shared" si="239"/>
        <v>146.57412060301507</v>
      </c>
      <c r="C68" s="1275">
        <f t="shared" si="239"/>
        <v>136.46831955922866</v>
      </c>
      <c r="D68" s="1275">
        <f t="shared" si="213"/>
        <v>136.46831955922866</v>
      </c>
      <c r="E68" s="1275">
        <f t="shared" si="240"/>
        <v>166.73864894795128</v>
      </c>
      <c r="F68" s="1275">
        <f t="shared" si="240"/>
        <v>115.05882352941177</v>
      </c>
      <c r="G68" s="3323">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2195</v>
      </c>
      <c r="B69" s="1275">
        <f t="shared" si="239"/>
        <v>144.04145728643215</v>
      </c>
      <c r="C69" s="1275">
        <f t="shared" si="239"/>
        <v>136.12396694214877</v>
      </c>
      <c r="D69" s="1275">
        <f t="shared" si="213"/>
        <v>136.12396694214877</v>
      </c>
      <c r="E69" s="1275">
        <f t="shared" si="240"/>
        <v>158.32225913621264</v>
      </c>
      <c r="F69" s="1275">
        <f t="shared" si="240"/>
        <v>114.04278074866311</v>
      </c>
      <c r="G69" s="3326">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c r="A70" s="1274" t="s">
        <v>2196</v>
      </c>
      <c r="B70" s="1283">
        <v>138</v>
      </c>
      <c r="C70" s="1283">
        <v>131</v>
      </c>
      <c r="D70" s="1283">
        <f t="shared" si="213"/>
        <v>131</v>
      </c>
      <c r="E70" s="1283">
        <v>155</v>
      </c>
      <c r="F70" s="1284">
        <v>114</v>
      </c>
      <c r="G70" s="3327">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2197</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23">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2198</v>
      </c>
      <c r="B72" s="1275">
        <f t="shared" si="243"/>
        <v>124.29032258064517</v>
      </c>
      <c r="C72" s="1275">
        <f t="shared" si="243"/>
        <v>123.8968609865471</v>
      </c>
      <c r="D72" s="1275">
        <f t="shared" si="213"/>
        <v>123.8968609865471</v>
      </c>
      <c r="E72" s="1275">
        <f t="shared" si="244"/>
        <v>138.00507614213197</v>
      </c>
      <c r="F72" s="1275">
        <f t="shared" si="244"/>
        <v>107.96106557377048</v>
      </c>
      <c r="G72" s="3323">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2199</v>
      </c>
      <c r="B73" s="1275">
        <f t="shared" si="243"/>
        <v>122.57204301075269</v>
      </c>
      <c r="C73" s="1275">
        <f t="shared" si="243"/>
        <v>123.4932735426009</v>
      </c>
      <c r="D73" s="1275">
        <f t="shared" si="213"/>
        <v>123.4932735426009</v>
      </c>
      <c r="E73" s="1275">
        <f t="shared" si="244"/>
        <v>129.82233502538071</v>
      </c>
      <c r="F73" s="1275">
        <f t="shared" si="244"/>
        <v>107.39446721311475</v>
      </c>
      <c r="G73" s="3326">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c r="A74" s="1274" t="s">
        <v>2200</v>
      </c>
      <c r="B74" s="1290">
        <v>121</v>
      </c>
      <c r="C74" s="1290">
        <v>122</v>
      </c>
      <c r="D74" s="1290">
        <f t="shared" si="213"/>
        <v>122</v>
      </c>
      <c r="E74" s="1290">
        <v>124</v>
      </c>
      <c r="F74" s="1291">
        <v>107</v>
      </c>
      <c r="G74" s="3327">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2201</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23">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2202</v>
      </c>
      <c r="B76" s="1275">
        <f t="shared" si="247"/>
        <v>116.99099099099099</v>
      </c>
      <c r="C76" s="1275">
        <f t="shared" si="247"/>
        <v>118.84848484848486</v>
      </c>
      <c r="D76" s="1275">
        <f t="shared" si="213"/>
        <v>118.84848484848486</v>
      </c>
      <c r="E76" s="1275">
        <f t="shared" si="248"/>
        <v>117.60960960960961</v>
      </c>
      <c r="F76" s="1275">
        <f t="shared" si="248"/>
        <v>104</v>
      </c>
      <c r="G76" s="3323">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2203</v>
      </c>
      <c r="B77" s="1293">
        <f t="shared" si="247"/>
        <v>112.48648648648648</v>
      </c>
      <c r="C77" s="1293">
        <f t="shared" si="247"/>
        <v>115.21212121212122</v>
      </c>
      <c r="D77" s="1293">
        <f t="shared" si="213"/>
        <v>115.21212121212122</v>
      </c>
      <c r="E77" s="1293">
        <f t="shared" si="248"/>
        <v>110.4024024024024</v>
      </c>
      <c r="F77" s="1293">
        <f t="shared" si="248"/>
        <v>104</v>
      </c>
      <c r="G77" s="3326">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c r="A78" s="1274" t="s">
        <v>2204</v>
      </c>
      <c r="B78" s="1342">
        <v>111</v>
      </c>
      <c r="C78" s="1342">
        <v>114</v>
      </c>
      <c r="D78" s="1342">
        <f t="shared" si="213"/>
        <v>114</v>
      </c>
      <c r="E78" s="1342">
        <v>108</v>
      </c>
      <c r="F78" s="1343">
        <v>104</v>
      </c>
      <c r="G78" s="3327">
        <v>2003</v>
      </c>
      <c r="H78" s="1295">
        <v>4</v>
      </c>
      <c r="I78" s="1358"/>
      <c r="J78" s="1358"/>
      <c r="K78" s="1358"/>
      <c r="L78" s="1358"/>
      <c r="N78" s="1359"/>
      <c r="O78" s="1358"/>
      <c r="P78" s="1358"/>
      <c r="Q78" s="1358"/>
      <c r="S78" s="1359"/>
      <c r="T78" s="1358"/>
      <c r="U78" s="1358"/>
      <c r="V78" s="1358"/>
      <c r="X78" s="1338"/>
      <c r="Y78" s="1338"/>
      <c r="Z78" s="1338"/>
    </row>
    <row r="79" spans="1:26">
      <c r="A79" s="1274" t="s">
        <v>2205</v>
      </c>
      <c r="B79" s="1344">
        <f t="shared" ref="B79:C81" si="249">B80+(B$78-B$82)/4</f>
        <v>109.75</v>
      </c>
      <c r="C79" s="1344">
        <f t="shared" si="249"/>
        <v>112.25</v>
      </c>
      <c r="D79" s="1344">
        <f t="shared" si="213"/>
        <v>112.25</v>
      </c>
      <c r="E79" s="1344">
        <f t="shared" ref="E79:F81" si="250">E80+(E$78-E$82)/4</f>
        <v>107.25</v>
      </c>
      <c r="F79" s="1344">
        <f t="shared" si="250"/>
        <v>103.5</v>
      </c>
      <c r="G79" s="3323">
        <v>2003</v>
      </c>
      <c r="H79" s="1282">
        <v>3</v>
      </c>
      <c r="I79" s="1358"/>
      <c r="J79" s="1358"/>
      <c r="K79" s="1358"/>
      <c r="L79" s="1358"/>
      <c r="X79" s="1338"/>
      <c r="Y79" s="1338"/>
      <c r="Z79" s="1338"/>
    </row>
    <row r="80" spans="1:26">
      <c r="A80" s="1274" t="s">
        <v>2206</v>
      </c>
      <c r="B80" s="1344">
        <f t="shared" si="249"/>
        <v>108.5</v>
      </c>
      <c r="C80" s="1344">
        <f t="shared" si="249"/>
        <v>110.5</v>
      </c>
      <c r="D80" s="1344">
        <f t="shared" si="213"/>
        <v>110.5</v>
      </c>
      <c r="E80" s="1344">
        <f t="shared" si="250"/>
        <v>106.5</v>
      </c>
      <c r="F80" s="1344">
        <f t="shared" si="250"/>
        <v>103</v>
      </c>
      <c r="G80" s="3323">
        <v>2003</v>
      </c>
      <c r="H80" s="1280">
        <v>2</v>
      </c>
      <c r="I80" s="1358"/>
      <c r="J80" s="1358"/>
      <c r="K80" s="1358"/>
      <c r="L80" s="1358"/>
      <c r="X80" s="1338"/>
      <c r="Y80" s="1338"/>
      <c r="Z80" s="1338"/>
    </row>
    <row r="81" spans="1:26">
      <c r="A81" s="1274" t="s">
        <v>2207</v>
      </c>
      <c r="B81" s="1344">
        <f t="shared" si="249"/>
        <v>107.25</v>
      </c>
      <c r="C81" s="1344">
        <f t="shared" si="249"/>
        <v>108.75</v>
      </c>
      <c r="D81" s="1344">
        <f t="shared" si="213"/>
        <v>108.75</v>
      </c>
      <c r="E81" s="1344">
        <f t="shared" si="250"/>
        <v>105.75</v>
      </c>
      <c r="F81" s="1344">
        <f t="shared" si="250"/>
        <v>102.5</v>
      </c>
      <c r="G81" s="3326">
        <v>2003</v>
      </c>
      <c r="H81" s="1345">
        <v>1</v>
      </c>
      <c r="I81" s="1358"/>
      <c r="J81" s="1358"/>
      <c r="K81" s="1358"/>
      <c r="L81" s="1358"/>
      <c r="S81" s="1302"/>
      <c r="T81" s="1303"/>
      <c r="U81" s="1303"/>
      <c r="X81" s="1338"/>
      <c r="Y81" s="1338"/>
      <c r="Z81" s="1338"/>
    </row>
    <row r="82" spans="1:26">
      <c r="A82" s="1274" t="s">
        <v>2208</v>
      </c>
      <c r="B82" s="1346">
        <v>106</v>
      </c>
      <c r="C82" s="1346">
        <v>107</v>
      </c>
      <c r="D82" s="1346">
        <f t="shared" si="213"/>
        <v>107</v>
      </c>
      <c r="E82" s="1346">
        <v>105</v>
      </c>
      <c r="F82" s="1347">
        <v>102</v>
      </c>
      <c r="G82" s="3327">
        <v>2002</v>
      </c>
      <c r="H82" s="1281">
        <v>4</v>
      </c>
      <c r="I82" s="1358"/>
      <c r="J82" s="1358"/>
      <c r="K82" s="1358"/>
      <c r="L82" s="1358"/>
      <c r="N82" s="1359"/>
      <c r="O82" s="1358"/>
      <c r="P82" s="1358"/>
      <c r="Q82" s="1358"/>
      <c r="S82" s="1359"/>
      <c r="T82" s="1358"/>
      <c r="U82" s="1358"/>
      <c r="V82" s="1358"/>
      <c r="X82" s="1338"/>
      <c r="Y82" s="1338"/>
      <c r="Z82" s="1338"/>
    </row>
    <row r="83" spans="1:26">
      <c r="A83" s="1274" t="s">
        <v>2209</v>
      </c>
      <c r="B83" s="1344">
        <f t="shared" ref="B83:C85" si="251">B84+(B$82-B$86)/4</f>
        <v>105</v>
      </c>
      <c r="C83" s="1344">
        <f t="shared" si="251"/>
        <v>106</v>
      </c>
      <c r="D83" s="1344">
        <f t="shared" si="213"/>
        <v>106</v>
      </c>
      <c r="E83" s="1344">
        <f t="shared" ref="E83:F85" si="252">E84+(E$82-E$86)/4</f>
        <v>104.5</v>
      </c>
      <c r="F83" s="1344">
        <f t="shared" si="252"/>
        <v>101.5</v>
      </c>
      <c r="G83" s="3323">
        <v>2002</v>
      </c>
      <c r="H83" s="1282">
        <v>3</v>
      </c>
      <c r="I83" s="1358"/>
      <c r="J83" s="1358"/>
      <c r="K83" s="1358"/>
      <c r="L83" s="1358"/>
      <c r="X83" s="1338"/>
      <c r="Y83" s="1338"/>
      <c r="Z83" s="1338"/>
    </row>
    <row r="84" spans="1:26">
      <c r="A84" s="1274" t="s">
        <v>2210</v>
      </c>
      <c r="B84" s="1344">
        <f t="shared" si="251"/>
        <v>104</v>
      </c>
      <c r="C84" s="1344">
        <f t="shared" si="251"/>
        <v>105</v>
      </c>
      <c r="D84" s="1344">
        <f t="shared" si="213"/>
        <v>105</v>
      </c>
      <c r="E84" s="1344">
        <f t="shared" si="252"/>
        <v>104</v>
      </c>
      <c r="F84" s="1344">
        <f t="shared" si="252"/>
        <v>101</v>
      </c>
      <c r="G84" s="3323">
        <v>2002</v>
      </c>
      <c r="H84" s="1280">
        <v>2</v>
      </c>
      <c r="I84" s="1358"/>
      <c r="J84" s="1358"/>
      <c r="K84" s="1358"/>
      <c r="L84" s="1358"/>
      <c r="X84" s="1338"/>
      <c r="Y84" s="1338"/>
      <c r="Z84" s="1338"/>
    </row>
    <row r="85" spans="1:26" s="1255" customFormat="1">
      <c r="A85" s="1286" t="s">
        <v>2211</v>
      </c>
      <c r="B85" s="1332">
        <f t="shared" si="251"/>
        <v>103</v>
      </c>
      <c r="C85" s="1332">
        <f t="shared" si="251"/>
        <v>104</v>
      </c>
      <c r="D85" s="1332">
        <f t="shared" si="213"/>
        <v>104</v>
      </c>
      <c r="E85" s="1332">
        <f t="shared" si="252"/>
        <v>103.5</v>
      </c>
      <c r="F85" s="1332">
        <f t="shared" si="252"/>
        <v>100.5</v>
      </c>
      <c r="G85" s="3326">
        <v>2002</v>
      </c>
      <c r="H85" s="1348">
        <v>1</v>
      </c>
      <c r="I85" s="1360"/>
      <c r="J85" s="1360"/>
      <c r="K85" s="1360"/>
      <c r="L85" s="1360"/>
      <c r="N85" s="1361"/>
      <c r="S85" s="1361"/>
      <c r="X85" s="1365"/>
      <c r="Y85" s="1365"/>
      <c r="Z85" s="1365"/>
    </row>
    <row r="86" spans="1:26">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c r="A88" s="1352" t="s">
        <v>2212</v>
      </c>
      <c r="G88" s="1353"/>
      <c r="N88" s="1353"/>
      <c r="S88" s="1353"/>
    </row>
    <row r="89" spans="1:26" s="1257" customFormat="1">
      <c r="A89" s="1257" t="s">
        <v>2213</v>
      </c>
      <c r="G89" s="1353"/>
      <c r="N89" s="1353"/>
      <c r="S89" s="1353"/>
    </row>
    <row r="90" spans="1:26" s="1257" customFormat="1">
      <c r="A90" s="1257" t="s">
        <v>2214</v>
      </c>
      <c r="G90" s="1353"/>
      <c r="I90" s="1362"/>
      <c r="J90" s="1362"/>
      <c r="K90" s="1362"/>
      <c r="L90" s="1362"/>
      <c r="N90" s="1363"/>
      <c r="O90" s="1362"/>
      <c r="P90" s="1362"/>
      <c r="Q90" s="1362"/>
      <c r="S90" s="1363"/>
      <c r="T90" s="1362"/>
      <c r="U90" s="1362"/>
      <c r="V90" s="1362"/>
    </row>
    <row r="91" spans="1:26" s="1257" customFormat="1">
      <c r="A91" s="1257" t="s">
        <v>2215</v>
      </c>
      <c r="G91" s="1353"/>
      <c r="N91" s="1353"/>
      <c r="S91" s="1353"/>
    </row>
    <row r="99" spans="7:22">
      <c r="G99" s="1258"/>
      <c r="S99" s="1366" t="s">
        <v>2216</v>
      </c>
      <c r="T99" s="1282" t="s">
        <v>2217</v>
      </c>
      <c r="U99" s="1282" t="s">
        <v>2218</v>
      </c>
      <c r="V99" s="1282" t="s">
        <v>2219</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 customWidth="1"/>
    <col min="2" max="2" width="29.21875" style="38" customWidth="1"/>
    <col min="3" max="3" width="12.109375" style="38" customWidth="1"/>
    <col min="4" max="5" width="11.21875" style="39" customWidth="1"/>
    <col min="6" max="6" width="9.44140625" style="38" customWidth="1"/>
    <col min="7" max="7" width="31.88671875" style="38" customWidth="1"/>
    <col min="8" max="254" width="9" style="38" customWidth="1"/>
    <col min="255" max="16384" width="8.33203125" style="38"/>
  </cols>
  <sheetData>
    <row r="1" spans="1:7" s="32" customFormat="1" ht="21">
      <c r="A1" s="40" t="s">
        <v>2220</v>
      </c>
      <c r="B1" s="1244"/>
      <c r="C1" s="42"/>
      <c r="D1" s="42"/>
      <c r="E1" s="42"/>
      <c r="F1" s="42"/>
      <c r="G1" s="46"/>
    </row>
    <row r="2" spans="1:7" s="32" customFormat="1" ht="18" customHeight="1">
      <c r="A2" s="44" t="s">
        <v>2221</v>
      </c>
      <c r="B2" s="45">
        <f>C52</f>
        <v>61272</v>
      </c>
      <c r="C2" s="1245" t="s">
        <v>2222</v>
      </c>
      <c r="D2" s="46"/>
      <c r="E2" s="46"/>
      <c r="F2" s="46"/>
      <c r="G2" s="46"/>
    </row>
    <row r="3" spans="1:7" s="32" customFormat="1" ht="18" customHeight="1">
      <c r="A3" s="51" t="s">
        <v>2223</v>
      </c>
      <c r="B3" s="52">
        <f>ROUND(B2*10000/'数据-汇总表'!E3,0)</f>
        <v>11991</v>
      </c>
      <c r="C3" s="1245" t="s">
        <v>2224</v>
      </c>
      <c r="D3" s="46"/>
      <c r="E3" s="46"/>
      <c r="F3" s="46"/>
      <c r="G3" s="46"/>
    </row>
    <row r="4" spans="1:7" s="33" customFormat="1" ht="16.2">
      <c r="A4" s="53" t="s">
        <v>2225</v>
      </c>
      <c r="B4" s="54"/>
      <c r="C4" s="54"/>
      <c r="D4" s="54"/>
      <c r="E4" s="54"/>
      <c r="F4" s="54"/>
      <c r="G4" s="55"/>
    </row>
    <row r="5" spans="1:7" s="34" customFormat="1" ht="13.5" customHeight="1">
      <c r="A5" s="56" t="s">
        <v>1060</v>
      </c>
      <c r="B5" s="57" t="s">
        <v>2226</v>
      </c>
      <c r="C5" s="58">
        <f>C6+C7+C8</f>
        <v>20610</v>
      </c>
      <c r="D5" s="58" t="s">
        <v>2227</v>
      </c>
      <c r="E5" s="59" t="s">
        <v>2228</v>
      </c>
      <c r="F5" s="59" t="s">
        <v>2229</v>
      </c>
      <c r="G5" s="60"/>
    </row>
    <row r="6" spans="1:7" s="34" customFormat="1" ht="13.5" customHeight="1">
      <c r="A6" s="61" t="s">
        <v>1064</v>
      </c>
      <c r="B6" s="62" t="s">
        <v>2230</v>
      </c>
      <c r="C6" s="63">
        <v>20000</v>
      </c>
      <c r="D6" s="64"/>
      <c r="E6" s="65"/>
      <c r="F6" s="65"/>
      <c r="G6" s="66"/>
    </row>
    <row r="7" spans="1:7" s="34" customFormat="1" ht="13.5" customHeight="1">
      <c r="A7" s="61" t="s">
        <v>1066</v>
      </c>
      <c r="B7" s="62" t="s">
        <v>2231</v>
      </c>
      <c r="C7" s="67">
        <f>ROUND(C6*F7,0)</f>
        <v>610</v>
      </c>
      <c r="D7" s="67"/>
      <c r="E7" s="65"/>
      <c r="F7" s="68">
        <f>'数据-取费表'!B48+'数据-取费表'!B49</f>
        <v>3.0499999999999999E-2</v>
      </c>
      <c r="G7" s="66"/>
    </row>
    <row r="8" spans="1:7" s="35" customFormat="1">
      <c r="A8" s="61" t="s">
        <v>1068</v>
      </c>
      <c r="B8" s="62" t="s">
        <v>2232</v>
      </c>
      <c r="C8" s="67" t="str">
        <f>IF(G8="已包含在土地购买价格中","0",'数据-取费表'!B29)</f>
        <v>0</v>
      </c>
      <c r="D8" s="69"/>
      <c r="E8" s="67"/>
      <c r="F8" s="68"/>
      <c r="G8" s="1246" t="s">
        <v>2233</v>
      </c>
    </row>
    <row r="9" spans="1:7" s="34" customFormat="1" ht="13.5" customHeight="1">
      <c r="A9" s="71" t="s">
        <v>1070</v>
      </c>
      <c r="B9" s="72" t="s">
        <v>2234</v>
      </c>
      <c r="C9" s="73">
        <f>ROUND(D9*E9/10000,0)</f>
        <v>0</v>
      </c>
      <c r="D9" s="74">
        <f>'数据-汇总表'!E5</f>
        <v>0</v>
      </c>
      <c r="E9" s="73">
        <f>'数据-取费表'!B27</f>
        <v>160</v>
      </c>
      <c r="F9" s="68"/>
      <c r="G9" s="77"/>
    </row>
    <row r="10" spans="1:7" s="34" customFormat="1" ht="13.5" customHeight="1">
      <c r="A10" s="71" t="s">
        <v>1072</v>
      </c>
      <c r="B10" s="72" t="s">
        <v>2235</v>
      </c>
      <c r="C10" s="73">
        <f>ROUND(D10*E10/10000,0)</f>
        <v>1022</v>
      </c>
      <c r="D10" s="74">
        <f>'数据-汇总表'!E6</f>
        <v>51096.2</v>
      </c>
      <c r="E10" s="73">
        <f>'数据-取费表'!B28</f>
        <v>200</v>
      </c>
      <c r="F10" s="68"/>
      <c r="G10" s="77"/>
    </row>
    <row r="11" spans="1:7" s="34" customFormat="1" ht="13.5" hidden="1" customHeight="1">
      <c r="A11" s="78" t="s">
        <v>1074</v>
      </c>
      <c r="B11" s="62" t="s">
        <v>2236</v>
      </c>
      <c r="C11" s="58"/>
      <c r="D11" s="65"/>
      <c r="E11" s="65"/>
      <c r="F11" s="65"/>
      <c r="G11" s="66"/>
    </row>
    <row r="12" spans="1:7" s="34" customFormat="1" ht="13.5" hidden="1" customHeight="1">
      <c r="A12" s="78" t="s">
        <v>1076</v>
      </c>
      <c r="B12" s="62" t="s">
        <v>2237</v>
      </c>
      <c r="C12" s="58">
        <v>0</v>
      </c>
      <c r="D12" s="65"/>
      <c r="E12" s="79"/>
      <c r="F12" s="68">
        <v>3.0499999999999999E-2</v>
      </c>
      <c r="G12" s="66"/>
    </row>
    <row r="13" spans="1:7" s="34" customFormat="1" ht="13.5" hidden="1" customHeight="1">
      <c r="A13" s="78" t="s">
        <v>1077</v>
      </c>
      <c r="B13" s="62" t="s">
        <v>2238</v>
      </c>
      <c r="C13" s="58"/>
      <c r="D13" s="65"/>
      <c r="E13" s="65"/>
      <c r="F13" s="65"/>
      <c r="G13" s="66"/>
    </row>
    <row r="14" spans="1:7" s="34" customFormat="1" ht="13.5" hidden="1" customHeight="1">
      <c r="A14" s="78" t="s">
        <v>1079</v>
      </c>
      <c r="B14" s="62" t="s">
        <v>2232</v>
      </c>
      <c r="C14" s="58"/>
      <c r="D14" s="65"/>
      <c r="E14" s="65"/>
      <c r="F14" s="65"/>
      <c r="G14" s="66" t="s">
        <v>2239</v>
      </c>
    </row>
    <row r="15" spans="1:7" s="34" customFormat="1" ht="13.5" hidden="1" customHeight="1">
      <c r="A15" s="78" t="s">
        <v>1081</v>
      </c>
      <c r="B15" s="62" t="s">
        <v>2240</v>
      </c>
      <c r="C15" s="67"/>
      <c r="D15" s="65"/>
      <c r="E15" s="65"/>
      <c r="F15" s="65"/>
      <c r="G15" s="66" t="s">
        <v>2241</v>
      </c>
    </row>
    <row r="16" spans="1:7" s="34" customFormat="1" ht="13.5" hidden="1" customHeight="1">
      <c r="A16" s="78" t="s">
        <v>1084</v>
      </c>
      <c r="B16" s="62" t="s">
        <v>2232</v>
      </c>
      <c r="C16" s="67"/>
      <c r="D16" s="65"/>
      <c r="E16" s="65"/>
      <c r="F16" s="65"/>
      <c r="G16" s="66"/>
    </row>
    <row r="17" spans="1:7" s="34" customFormat="1" ht="13.5" hidden="1" customHeight="1">
      <c r="A17" s="78" t="s">
        <v>1085</v>
      </c>
      <c r="B17" s="62" t="s">
        <v>2242</v>
      </c>
      <c r="C17" s="80"/>
      <c r="D17" s="80"/>
      <c r="E17" s="80"/>
      <c r="F17" s="80"/>
      <c r="G17" s="66" t="s">
        <v>2241</v>
      </c>
    </row>
    <row r="18" spans="1:7" s="34" customFormat="1" ht="13.5" hidden="1" customHeight="1">
      <c r="A18" s="78" t="s">
        <v>1087</v>
      </c>
      <c r="B18" s="62" t="s">
        <v>2243</v>
      </c>
      <c r="C18" s="67">
        <v>0</v>
      </c>
      <c r="D18" s="65"/>
      <c r="E18" s="65"/>
      <c r="F18" s="68">
        <v>3.0499999999999999E-2</v>
      </c>
      <c r="G18" s="66" t="s">
        <v>2244</v>
      </c>
    </row>
    <row r="19" spans="1:7" s="35" customFormat="1" ht="13.5" customHeight="1">
      <c r="A19" s="1247" t="s">
        <v>2245</v>
      </c>
      <c r="B19" s="57" t="s">
        <v>2246</v>
      </c>
      <c r="C19" s="58">
        <f>IF(G19="已包含在土地取得成本中","0",ROUND(D19*E19/10000,0))</f>
        <v>1022</v>
      </c>
      <c r="D19" s="59">
        <f>'数据-汇总表'!E3</f>
        <v>51096.2</v>
      </c>
      <c r="E19" s="58">
        <f>'数据-取费表'!B31</f>
        <v>200</v>
      </c>
      <c r="F19" s="81"/>
      <c r="G19" s="1246" t="s">
        <v>2247</v>
      </c>
    </row>
    <row r="20" spans="1:7" s="34" customFormat="1" ht="13.5" customHeight="1">
      <c r="A20" s="1247" t="s">
        <v>2248</v>
      </c>
      <c r="B20" s="57" t="s">
        <v>2249</v>
      </c>
      <c r="C20" s="82">
        <f>ROUND((C5+C19)*F20,0)</f>
        <v>324</v>
      </c>
      <c r="D20" s="82"/>
      <c r="E20" s="82"/>
      <c r="F20" s="83">
        <f>'数据-取费表'!B37</f>
        <v>1.4999999999999999E-2</v>
      </c>
      <c r="G20" s="1248" t="s">
        <v>2250</v>
      </c>
    </row>
    <row r="21" spans="1:7" s="34" customFormat="1" ht="13.5" customHeight="1">
      <c r="A21" s="1247" t="s">
        <v>2251</v>
      </c>
      <c r="B21" s="57" t="s">
        <v>2252</v>
      </c>
      <c r="C21" s="85">
        <f>F21</f>
        <v>1.4999999999999999E-2</v>
      </c>
      <c r="D21" s="86" t="s">
        <v>2253</v>
      </c>
      <c r="E21" s="82"/>
      <c r="F21" s="83">
        <f>'数据-取费表'!B38</f>
        <v>1.4999999999999999E-2</v>
      </c>
      <c r="G21" s="84" t="s">
        <v>2254</v>
      </c>
    </row>
    <row r="22" spans="1:7" s="34" customFormat="1" ht="13.5" customHeight="1">
      <c r="A22" s="1247" t="s">
        <v>2255</v>
      </c>
      <c r="B22" s="57" t="s">
        <v>2256</v>
      </c>
      <c r="C22" s="87">
        <f>ROUND(SUM(C23:C25),0)</f>
        <v>2827</v>
      </c>
      <c r="D22" s="85">
        <f>C26</f>
        <v>8.9999999999999998E-4</v>
      </c>
      <c r="E22" s="86" t="s">
        <v>2253</v>
      </c>
      <c r="F22" s="88">
        <f>'数据-取费表'!B40</f>
        <v>4.1500000000000002E-2</v>
      </c>
      <c r="G22" s="1248" t="str">
        <f>IF('数据-取费表'!B22&lt;=1,"单利计息","复利计息")</f>
        <v>复利计息</v>
      </c>
    </row>
    <row r="23" spans="1:7" s="34" customFormat="1" ht="13.5" customHeight="1">
      <c r="A23" s="89" t="s">
        <v>1064</v>
      </c>
      <c r="B23" s="62" t="s">
        <v>2257</v>
      </c>
      <c r="C23" s="90">
        <f>ROUND(IF('数据-取费表'!B22&lt;=1,C5*F22*'数据-取费表'!B23,C5*(POWER((1+F22),'数据-取费表'!B23)-1)),0)</f>
        <v>2674</v>
      </c>
      <c r="D23" s="91"/>
      <c r="E23" s="91"/>
      <c r="F23" s="92"/>
      <c r="G23" s="93" t="s">
        <v>2258</v>
      </c>
    </row>
    <row r="24" spans="1:7" s="34" customFormat="1" ht="13.5" customHeight="1">
      <c r="A24" s="89" t="s">
        <v>1066</v>
      </c>
      <c r="B24" s="62" t="s">
        <v>2259</v>
      </c>
      <c r="C24" s="90">
        <f>ROUND(IF('数据-取费表'!B22&lt;=1,C19*F22*('数据-取费表'!B19/2+'数据-取费表'!B21),C19*(POWER((1+F22),('数据-取费表'!B19/2+'数据-取费表'!B21))-1)),0)</f>
        <v>133</v>
      </c>
      <c r="D24" s="91"/>
      <c r="E24" s="91"/>
      <c r="F24" s="92"/>
      <c r="G24" s="93" t="s">
        <v>2260</v>
      </c>
    </row>
    <row r="25" spans="1:7" s="34" customFormat="1" ht="24">
      <c r="A25" s="89" t="s">
        <v>1068</v>
      </c>
      <c r="B25" s="62" t="s">
        <v>2261</v>
      </c>
      <c r="C25" s="90">
        <f>ROUND(IF('数据-取费表'!B22&lt;=1,C20*F22*'数据-取费表'!B23/2,C20*(POWER((1+F22),'数据-取费表'!B23/2)-1)),0)</f>
        <v>20</v>
      </c>
      <c r="D25" s="91"/>
      <c r="E25" s="94"/>
      <c r="F25" s="92"/>
      <c r="G25" s="95" t="s">
        <v>2262</v>
      </c>
    </row>
    <row r="26" spans="1:7" s="34" customFormat="1">
      <c r="A26" s="89" t="s">
        <v>1107</v>
      </c>
      <c r="B26" s="62" t="s">
        <v>2263</v>
      </c>
      <c r="C26" s="91">
        <f>ROUND(IF('数据-取费表'!B22&lt;=1,F21*F22*'数据-取费表'!B23/2,F21*(POWER((1+F22),'数据-取费表'!B23/2)-1)),4)</f>
        <v>8.9999999999999998E-4</v>
      </c>
      <c r="D26" s="91"/>
      <c r="E26" s="94"/>
      <c r="F26" s="92"/>
      <c r="G26" s="96"/>
    </row>
    <row r="27" spans="1:7" s="34" customFormat="1" ht="26.4">
      <c r="A27" s="1247" t="s">
        <v>2264</v>
      </c>
      <c r="B27" s="97" t="s">
        <v>2265</v>
      </c>
      <c r="C27" s="98">
        <f>C28</f>
        <v>4391</v>
      </c>
      <c r="D27" s="85">
        <f>C29</f>
        <v>3.0000000000000001E-3</v>
      </c>
      <c r="E27" s="86" t="s">
        <v>2253</v>
      </c>
      <c r="F27" s="99">
        <f>'数据-取费表'!Q16</f>
        <v>0.2</v>
      </c>
      <c r="G27" s="100" t="s">
        <v>2266</v>
      </c>
    </row>
    <row r="28" spans="1:7" s="34" customFormat="1" ht="13.5" customHeight="1">
      <c r="A28" s="89" t="s">
        <v>1064</v>
      </c>
      <c r="B28" s="101" t="s">
        <v>2267</v>
      </c>
      <c r="C28" s="102">
        <f>ROUND((C5+C19+C20)*F27*'数据-取费表'!B21/'数据-取费表'!B20,0)</f>
        <v>4391</v>
      </c>
      <c r="D28" s="85"/>
      <c r="E28" s="86"/>
      <c r="F28" s="99"/>
      <c r="G28" s="100"/>
    </row>
    <row r="29" spans="1:7" s="34" customFormat="1" ht="13.5" customHeight="1">
      <c r="A29" s="89" t="s">
        <v>1066</v>
      </c>
      <c r="B29" s="101" t="s">
        <v>2268</v>
      </c>
      <c r="C29" s="91">
        <f>ROUND(C21*F27*'数据-取费表'!B21/'数据-取费表'!B20,4)</f>
        <v>3.0000000000000001E-3</v>
      </c>
      <c r="D29" s="85"/>
      <c r="E29" s="86"/>
      <c r="F29" s="99"/>
      <c r="G29" s="100"/>
    </row>
    <row r="30" spans="1:7" s="34" customFormat="1" ht="13.5" customHeight="1">
      <c r="A30" s="1247" t="s">
        <v>2269</v>
      </c>
      <c r="B30" s="57" t="s">
        <v>2270</v>
      </c>
      <c r="C30" s="85">
        <f>F30</f>
        <v>5.6000000000000001E-2</v>
      </c>
      <c r="D30" s="86" t="s">
        <v>2271</v>
      </c>
      <c r="E30" s="94"/>
      <c r="F30" s="88">
        <f>'数据-取费表'!B41</f>
        <v>5.6000000000000001E-2</v>
      </c>
      <c r="G30" s="84" t="s">
        <v>2272</v>
      </c>
    </row>
    <row r="31" spans="1:7" ht="16.5" customHeight="1">
      <c r="A31" s="103">
        <v>1</v>
      </c>
      <c r="B31" s="57" t="s">
        <v>2273</v>
      </c>
      <c r="C31" s="58">
        <f>ROUND((C5+C19+C20+C22+C27)/(1-C21-D22-D27-C30/(1+'数据-取费表'!B42)),0)</f>
        <v>31445</v>
      </c>
      <c r="D31" s="104"/>
      <c r="E31" s="58"/>
      <c r="F31" s="105"/>
      <c r="G31" s="84" t="s">
        <v>2274</v>
      </c>
    </row>
    <row r="32" spans="1:7" s="33" customFormat="1" ht="16.2">
      <c r="A32" s="106" t="s">
        <v>2275</v>
      </c>
      <c r="B32" s="107"/>
      <c r="C32" s="107"/>
      <c r="D32" s="107"/>
      <c r="E32" s="107"/>
      <c r="F32" s="107"/>
      <c r="G32" s="108"/>
    </row>
    <row r="33" spans="1:7" s="34" customFormat="1" ht="13.5" customHeight="1">
      <c r="A33" s="56" t="s">
        <v>1060</v>
      </c>
      <c r="B33" s="57" t="s">
        <v>2276</v>
      </c>
      <c r="C33" s="109">
        <f>SUM(C34:C38)</f>
        <v>26652</v>
      </c>
      <c r="D33" s="82"/>
      <c r="E33" s="59"/>
      <c r="F33" s="94"/>
      <c r="G33" s="84"/>
    </row>
    <row r="34" spans="1:7" s="36" customFormat="1" ht="13.5" customHeight="1">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spans="1:7" ht="13.5" customHeight="1">
      <c r="A35" s="89" t="s">
        <v>1066</v>
      </c>
      <c r="B35" s="62" t="s">
        <v>2279</v>
      </c>
      <c r="C35" s="67">
        <f>ROUND(C34*F35,0)</f>
        <v>736</v>
      </c>
      <c r="D35" s="67"/>
      <c r="E35" s="67"/>
      <c r="F35" s="111">
        <f>'数据-取费表'!B33</f>
        <v>0.03</v>
      </c>
      <c r="G35" s="66" t="s">
        <v>2280</v>
      </c>
    </row>
    <row r="36" spans="1:7" ht="24">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pans="1:7" s="36" customFormat="1" ht="13.5" customHeight="1">
      <c r="A37" s="89" t="s">
        <v>1107</v>
      </c>
      <c r="B37" s="62" t="s">
        <v>2283</v>
      </c>
      <c r="C37" s="102">
        <f>ROUND(E37*D37*F34/10000,0)</f>
        <v>1022</v>
      </c>
      <c r="D37" s="64">
        <f>'数据-汇总表'!E3</f>
        <v>51096.2</v>
      </c>
      <c r="E37" s="102">
        <f>'数据-取费表'!B35</f>
        <v>200</v>
      </c>
      <c r="F37" s="111"/>
      <c r="G37" s="113" t="s">
        <v>2284</v>
      </c>
    </row>
    <row r="38" spans="1:7" ht="13.5" customHeight="1">
      <c r="A38" s="89" t="s">
        <v>1127</v>
      </c>
      <c r="B38" s="62" t="s">
        <v>2237</v>
      </c>
      <c r="C38" s="67">
        <f>ROUND(C34*F38,0)</f>
        <v>368</v>
      </c>
      <c r="D38" s="67"/>
      <c r="E38" s="67"/>
      <c r="F38" s="111">
        <f>'数据-取费表'!B36</f>
        <v>1.4999999999999999E-2</v>
      </c>
      <c r="G38" s="66" t="s">
        <v>2280</v>
      </c>
    </row>
    <row r="39" spans="1:7" s="34" customFormat="1" ht="13.5" customHeight="1">
      <c r="A39" s="1247" t="s">
        <v>2245</v>
      </c>
      <c r="B39" s="57" t="s">
        <v>2249</v>
      </c>
      <c r="C39" s="82">
        <f>ROUND(C33*F20,0)</f>
        <v>400</v>
      </c>
      <c r="D39" s="82"/>
      <c r="E39" s="82"/>
      <c r="F39" s="83"/>
      <c r="G39" s="1248" t="s">
        <v>2285</v>
      </c>
    </row>
    <row r="40" spans="1:7" s="34" customFormat="1" ht="13.5" customHeight="1">
      <c r="A40" s="1247" t="s">
        <v>2248</v>
      </c>
      <c r="B40" s="57" t="s">
        <v>2252</v>
      </c>
      <c r="C40" s="1249">
        <f>F21</f>
        <v>1.4999999999999999E-2</v>
      </c>
      <c r="D40" s="86" t="s">
        <v>2286</v>
      </c>
      <c r="E40" s="82"/>
      <c r="F40" s="83"/>
      <c r="G40" s="84" t="s">
        <v>2287</v>
      </c>
    </row>
    <row r="41" spans="1:7" s="34" customFormat="1" ht="13.5" customHeight="1">
      <c r="A41" s="1247" t="s">
        <v>2251</v>
      </c>
      <c r="B41" s="57" t="s">
        <v>2256</v>
      </c>
      <c r="C41" s="82">
        <f>ROUND(SUM(C42:C43),0)</f>
        <v>1701</v>
      </c>
      <c r="D41" s="85">
        <f>C44</f>
        <v>8.9999999999999998E-4</v>
      </c>
      <c r="E41" s="86" t="s">
        <v>2286</v>
      </c>
      <c r="F41" s="88"/>
      <c r="G41" s="1248" t="str">
        <f>IF('数据-取费表'!B22&lt;=1,"单利计息","复利计息")</f>
        <v>复利计息</v>
      </c>
    </row>
    <row r="42" spans="1:7" ht="13.5" customHeight="1">
      <c r="A42" s="89" t="s">
        <v>1064</v>
      </c>
      <c r="B42" s="62" t="s">
        <v>2257</v>
      </c>
      <c r="C42" s="91">
        <f>ROUND(IF('数据-取费表'!B22&lt;=1,C33*F22*'数据-取费表'!B21/2,C33*(POWER((1+F22),'数据-取费表'!B21/2)-1)),0)</f>
        <v>1676</v>
      </c>
      <c r="D42" s="91"/>
      <c r="E42" s="91"/>
      <c r="F42" s="92"/>
      <c r="G42" s="3192" t="s">
        <v>2288</v>
      </c>
    </row>
    <row r="43" spans="1:7" ht="13.5" customHeight="1">
      <c r="A43" s="89" t="s">
        <v>1066</v>
      </c>
      <c r="B43" s="62" t="s">
        <v>2259</v>
      </c>
      <c r="C43" s="91">
        <f>ROUND(IF('数据-取费表'!B22&lt;=1,C39*F22*'数据-取费表'!B21/2,C39*(POWER((1+F22),'数据-取费表'!B21/2)-1)),0)</f>
        <v>25</v>
      </c>
      <c r="D43" s="91"/>
      <c r="E43" s="91"/>
      <c r="F43" s="92"/>
      <c r="G43" s="3193"/>
    </row>
    <row r="44" spans="1:7" ht="13.5" customHeight="1">
      <c r="A44" s="89" t="s">
        <v>1068</v>
      </c>
      <c r="B44" s="62" t="s">
        <v>2261</v>
      </c>
      <c r="C44" s="91">
        <f>ROUND(IF('数据-取费表'!B22&lt;=1,C40*F22*'数据-取费表'!B21/2,C40*(POWER((1+F22),'数据-取费表'!B21/2)-1)),4)</f>
        <v>8.9999999999999998E-4</v>
      </c>
      <c r="D44" s="91"/>
      <c r="E44" s="91"/>
      <c r="F44" s="92"/>
      <c r="G44" s="3194"/>
    </row>
    <row r="45" spans="1:7" s="34" customFormat="1" ht="13.5" customHeight="1">
      <c r="A45" s="1247" t="s">
        <v>2255</v>
      </c>
      <c r="B45" s="97" t="s">
        <v>2265</v>
      </c>
      <c r="C45" s="98">
        <f>C46</f>
        <v>5410</v>
      </c>
      <c r="D45" s="85">
        <f>C47</f>
        <v>3.0000000000000001E-3</v>
      </c>
      <c r="E45" s="86" t="s">
        <v>2286</v>
      </c>
      <c r="F45" s="99"/>
      <c r="G45" s="100" t="s">
        <v>2289</v>
      </c>
    </row>
    <row r="46" spans="1:7" s="34" customFormat="1" ht="13.5" customHeight="1">
      <c r="A46" s="89" t="s">
        <v>1064</v>
      </c>
      <c r="B46" s="101" t="s">
        <v>2290</v>
      </c>
      <c r="C46" s="102">
        <f>ROUND((C33+C39)*F27,0)</f>
        <v>5410</v>
      </c>
      <c r="D46" s="117"/>
      <c r="E46" s="86"/>
      <c r="F46" s="99"/>
      <c r="G46" s="100"/>
    </row>
    <row r="47" spans="1:7" s="34" customFormat="1" ht="13.5" customHeight="1">
      <c r="A47" s="89" t="s">
        <v>1066</v>
      </c>
      <c r="B47" s="101" t="s">
        <v>2291</v>
      </c>
      <c r="C47" s="91">
        <f>ROUND(C40*F27,4)</f>
        <v>3.0000000000000001E-3</v>
      </c>
      <c r="D47" s="117"/>
      <c r="E47" s="86"/>
      <c r="F47" s="99"/>
      <c r="G47" s="100"/>
    </row>
    <row r="48" spans="1:7" s="34" customFormat="1" ht="13.5" customHeight="1">
      <c r="A48" s="1247" t="s">
        <v>2264</v>
      </c>
      <c r="B48" s="57" t="s">
        <v>2270</v>
      </c>
      <c r="C48" s="1249">
        <f>F30</f>
        <v>5.6000000000000001E-2</v>
      </c>
      <c r="D48" s="86" t="s">
        <v>2292</v>
      </c>
      <c r="E48" s="82"/>
      <c r="F48" s="88"/>
      <c r="G48" s="84" t="s">
        <v>2293</v>
      </c>
    </row>
    <row r="49" spans="1:7" ht="16.5" customHeight="1">
      <c r="A49" s="1247" t="s">
        <v>2269</v>
      </c>
      <c r="B49" s="57" t="s">
        <v>2294</v>
      </c>
      <c r="C49" s="82">
        <f>ROUND((C33+C39+C41+C45)/(1-C40-D41-D45-C48/(1+'数据-取费表'!B42)),0)</f>
        <v>36823</v>
      </c>
      <c r="D49" s="82"/>
      <c r="E49" s="82"/>
      <c r="F49" s="118"/>
      <c r="G49" s="84" t="s">
        <v>2295</v>
      </c>
    </row>
    <row r="50" spans="1:7" s="36" customFormat="1" ht="24">
      <c r="A50" s="1247" t="s">
        <v>2296</v>
      </c>
      <c r="B50" s="57" t="s">
        <v>2297</v>
      </c>
      <c r="C50" s="82"/>
      <c r="D50" s="82"/>
      <c r="E50" s="82"/>
      <c r="F50" s="118">
        <f>IF('数据-取费表'!B24=0,'数据-取费表'!N16,1)</f>
        <v>0.81</v>
      </c>
      <c r="G50" s="100" t="s">
        <v>2298</v>
      </c>
    </row>
    <row r="51" spans="1:7" ht="16.5" customHeight="1">
      <c r="A51" s="1247" t="s">
        <v>2299</v>
      </c>
      <c r="B51" s="57" t="s">
        <v>2300</v>
      </c>
      <c r="C51" s="82">
        <f>ROUND(C49*F50,0)</f>
        <v>29827</v>
      </c>
      <c r="D51" s="82"/>
      <c r="E51" s="82"/>
      <c r="F51" s="118"/>
      <c r="G51" s="84" t="s">
        <v>2301</v>
      </c>
    </row>
    <row r="52" spans="1:7" s="33" customFormat="1" ht="16.2">
      <c r="A52" s="119" t="s">
        <v>2302</v>
      </c>
      <c r="B52" s="120"/>
      <c r="C52" s="121">
        <f>C31+C51</f>
        <v>61272</v>
      </c>
      <c r="D52" s="120"/>
      <c r="E52" s="120"/>
      <c r="F52" s="120"/>
      <c r="G52" s="122"/>
    </row>
    <row r="55" spans="1:7" ht="15">
      <c r="B55" s="123" t="s">
        <v>2303</v>
      </c>
      <c r="C55" s="124"/>
    </row>
    <row r="56" spans="1:7">
      <c r="B56" s="125" t="s">
        <v>2304</v>
      </c>
      <c r="C56" s="127">
        <f>ROUND(C51/C52,3)</f>
        <v>0.48699999999999999</v>
      </c>
    </row>
    <row r="57" spans="1:7">
      <c r="B57" s="125" t="s">
        <v>2305</v>
      </c>
      <c r="C57" s="126">
        <f>1-C56</f>
        <v>0.51300000000000001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2953" customWidth="1"/>
    <col min="2" max="2" width="37.21875" style="2953" customWidth="1"/>
    <col min="3" max="3" width="11.33203125" style="2953" customWidth="1"/>
    <col min="4" max="4" width="31.77734375" style="2953" customWidth="1"/>
    <col min="5" max="5" width="0.44140625" style="2953" customWidth="1"/>
    <col min="6" max="7" width="13" style="2953" customWidth="1"/>
    <col min="8" max="16384" width="9" style="2953"/>
  </cols>
  <sheetData>
    <row r="1" spans="1:5" ht="17.399999999999999">
      <c r="A1" s="2954" t="s">
        <v>94</v>
      </c>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7.399999999999999">
      <c r="A4" s="2955"/>
      <c r="B4" s="3014" t="s">
        <v>95</v>
      </c>
      <c r="C4" s="3014"/>
      <c r="D4" s="3014"/>
      <c r="E4" s="2955"/>
    </row>
    <row r="5" spans="1:5" ht="15.6">
      <c r="B5" s="3006" t="s">
        <v>96</v>
      </c>
      <c r="C5" s="2956" t="s">
        <v>97</v>
      </c>
      <c r="D5" s="2957">
        <f ca="1">结果表!H101</f>
        <v>293239</v>
      </c>
    </row>
    <row r="6" spans="1:5" ht="31.2">
      <c r="B6" s="3006"/>
      <c r="C6" s="2956" t="s">
        <v>98</v>
      </c>
      <c r="D6" s="2957" t="str">
        <f ca="1">NUMBERSTRING(INT(D5*10000),2)&amp;"元整"</f>
        <v>贰拾玖亿叁仟贰佰叁拾玖万元整</v>
      </c>
    </row>
    <row r="7" spans="1:5" ht="15.6">
      <c r="B7" s="3007"/>
      <c r="C7" s="2958" t="s">
        <v>99</v>
      </c>
      <c r="D7" s="2959">
        <f ca="1">结果表!H102</f>
        <v>58482</v>
      </c>
    </row>
    <row r="8" spans="1:5" ht="15.6">
      <c r="B8" s="3008" t="str">
        <f>结果表!E103</f>
        <v>2.估价师知悉的法定优先受偿款</v>
      </c>
      <c r="C8" s="2960" t="s">
        <v>100</v>
      </c>
      <c r="D8" s="2959">
        <f>结果表!H103</f>
        <v>0</v>
      </c>
    </row>
    <row r="9" spans="1:5" ht="15.6">
      <c r="B9" s="3010"/>
      <c r="C9" s="2956" t="s">
        <v>98</v>
      </c>
      <c r="D9" s="2957" t="str">
        <f>NUMBERSTRING(INT(D8*10000),2)&amp;"元整"</f>
        <v>零元整</v>
      </c>
    </row>
    <row r="10" spans="1:5" ht="15.6">
      <c r="B10" s="2961" t="s">
        <v>101</v>
      </c>
      <c r="C10" s="2962" t="s">
        <v>102</v>
      </c>
      <c r="D10" s="2963">
        <f>结果表!H104</f>
        <v>0</v>
      </c>
    </row>
    <row r="11" spans="1:5" ht="15.6">
      <c r="B11" s="2961" t="s">
        <v>103</v>
      </c>
      <c r="C11" s="2962" t="s">
        <v>102</v>
      </c>
      <c r="D11" s="2963">
        <f>结果表!H105</f>
        <v>0</v>
      </c>
    </row>
    <row r="12" spans="1:5" ht="15.6">
      <c r="B12" s="2961" t="s">
        <v>104</v>
      </c>
      <c r="C12" s="2962" t="s">
        <v>102</v>
      </c>
      <c r="D12" s="2963">
        <f>结果表!H106</f>
        <v>0</v>
      </c>
    </row>
    <row r="13" spans="1:5" ht="15.6">
      <c r="B13" s="3005" t="str">
        <f>结果表!E107</f>
        <v>3.房地产抵押价值</v>
      </c>
      <c r="C13" s="2964" t="s">
        <v>97</v>
      </c>
      <c r="D13" s="2965">
        <f ca="1">结果表!H107</f>
        <v>293239</v>
      </c>
    </row>
    <row r="14" spans="1:5" ht="31.2">
      <c r="B14" s="3006"/>
      <c r="C14" s="2956" t="s">
        <v>98</v>
      </c>
      <c r="D14" s="2957" t="str">
        <f ca="1">NUMBERSTRING(INT(D13*10000),2)&amp;"元整"</f>
        <v>贰拾玖亿叁仟贰佰叁拾玖万元整</v>
      </c>
    </row>
    <row r="15" spans="1:5" ht="15.6">
      <c r="B15" s="3007"/>
      <c r="C15" s="2958" t="s">
        <v>99</v>
      </c>
      <c r="D15" s="2966">
        <f ca="1">结果表!H108</f>
        <v>57390</v>
      </c>
    </row>
    <row r="16" spans="1:5" ht="15.6">
      <c r="B16" s="3008" t="str">
        <f>结果表!E109</f>
        <v>——</v>
      </c>
      <c r="C16" s="2964" t="s">
        <v>97</v>
      </c>
      <c r="D16" s="2967" t="str">
        <f>结果表!H109</f>
        <v>——</v>
      </c>
    </row>
    <row r="17" spans="1:5" ht="15.6">
      <c r="B17" s="3009"/>
      <c r="C17" s="2956" t="s">
        <v>98</v>
      </c>
      <c r="D17" s="2957" t="e">
        <f>NUMBERSTRING(INT(D16*10000),2)&amp;"元整"</f>
        <v>#VALUE!</v>
      </c>
    </row>
    <row r="18" spans="1:5" ht="15.6">
      <c r="B18" s="3010"/>
      <c r="C18" s="2958" t="s">
        <v>99</v>
      </c>
      <c r="D18" s="2966" t="str">
        <f>结果表!H110</f>
        <v>——</v>
      </c>
    </row>
    <row r="19" spans="1:5" ht="15.6">
      <c r="B19" s="3005" t="str">
        <f>结果表!E111</f>
        <v>——</v>
      </c>
      <c r="C19" s="2964" t="s">
        <v>97</v>
      </c>
      <c r="D19" s="2959" t="str">
        <f>结果表!H111</f>
        <v>——</v>
      </c>
    </row>
    <row r="20" spans="1:5" ht="15.6">
      <c r="B20" s="3006"/>
      <c r="C20" s="2956" t="s">
        <v>98</v>
      </c>
      <c r="D20" s="2957" t="e">
        <f>NUMBERSTRING(INT(D19*10000),2)&amp;"元整"</f>
        <v>#VALUE!</v>
      </c>
    </row>
    <row r="21" spans="1:5" ht="15.6">
      <c r="B21" s="3011"/>
      <c r="C21" s="2968" t="s">
        <v>99</v>
      </c>
      <c r="D21" s="2969" t="str">
        <f>结果表!H112</f>
        <v>——</v>
      </c>
    </row>
    <row r="22" spans="1:5">
      <c r="B22" s="2970" t="s">
        <v>105</v>
      </c>
    </row>
    <row r="24" spans="1:5" ht="17.399999999999999">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193" customWidth="1"/>
    <col min="2" max="5" width="10.21875" style="1194" customWidth="1"/>
    <col min="6" max="6" width="9" style="1194"/>
    <col min="7" max="8" width="9" style="1225"/>
    <col min="9" max="16384" width="9" style="1194"/>
  </cols>
  <sheetData>
    <row r="1" spans="1:19">
      <c r="A1" s="3331" t="s">
        <v>2306</v>
      </c>
      <c r="B1" s="3331"/>
      <c r="C1" s="3331"/>
      <c r="D1" s="3331"/>
      <c r="E1" s="3331"/>
      <c r="F1" s="3331"/>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32" t="s">
        <v>2307</v>
      </c>
      <c r="B2" s="3332"/>
      <c r="C2" s="3332"/>
      <c r="D2" s="3332"/>
      <c r="E2" s="3332"/>
      <c r="F2" s="3332"/>
      <c r="H2" s="1227" t="s">
        <v>2308</v>
      </c>
      <c r="I2" s="1203" t="s">
        <v>2309</v>
      </c>
      <c r="J2" s="1203" t="s">
        <v>2310</v>
      </c>
      <c r="K2" s="1203" t="s">
        <v>2311</v>
      </c>
      <c r="L2" s="1203" t="s">
        <v>2312</v>
      </c>
      <c r="M2" s="1203" t="s">
        <v>2313</v>
      </c>
      <c r="N2" s="1203" t="s">
        <v>2314</v>
      </c>
      <c r="O2" s="1203" t="s">
        <v>2315</v>
      </c>
      <c r="P2" s="1203" t="s">
        <v>2316</v>
      </c>
      <c r="Q2" s="1203" t="s">
        <v>2317</v>
      </c>
      <c r="R2" s="1203" t="s">
        <v>2318</v>
      </c>
      <c r="S2" s="1203" t="s">
        <v>2319</v>
      </c>
    </row>
    <row r="3" spans="1:19" s="1224" customFormat="1" ht="19.5" customHeight="1">
      <c r="A3" s="3333" t="s">
        <v>2320</v>
      </c>
      <c r="B3" s="1228"/>
      <c r="C3" s="1229" t="s">
        <v>1277</v>
      </c>
      <c r="D3" s="1229" t="s">
        <v>447</v>
      </c>
      <c r="E3" s="1229" t="s">
        <v>1910</v>
      </c>
      <c r="F3" s="1229" t="s">
        <v>1716</v>
      </c>
      <c r="G3" s="1230"/>
      <c r="H3" s="1227" t="s">
        <v>416</v>
      </c>
      <c r="I3" s="1203" t="s">
        <v>2321</v>
      </c>
      <c r="J3" s="1203" t="s">
        <v>2322</v>
      </c>
      <c r="K3" s="1203" t="s">
        <v>2323</v>
      </c>
      <c r="L3" s="1203" t="s">
        <v>2324</v>
      </c>
      <c r="M3" s="1203" t="s">
        <v>2325</v>
      </c>
      <c r="N3" s="1203" t="s">
        <v>2326</v>
      </c>
      <c r="O3" s="1203" t="s">
        <v>2327</v>
      </c>
      <c r="P3" s="1203" t="s">
        <v>2328</v>
      </c>
      <c r="Q3" s="1203" t="s">
        <v>2329</v>
      </c>
      <c r="R3" s="1203" t="s">
        <v>2330</v>
      </c>
      <c r="S3" s="1203" t="s">
        <v>2331</v>
      </c>
    </row>
    <row r="4" spans="1:19" s="1224" customFormat="1" ht="19.5" customHeight="1">
      <c r="A4" s="3334"/>
      <c r="B4" s="1231" t="s">
        <v>2332</v>
      </c>
      <c r="C4" s="1231" t="s">
        <v>2333</v>
      </c>
      <c r="D4" s="1231" t="s">
        <v>2333</v>
      </c>
      <c r="E4" s="1231" t="s">
        <v>2333</v>
      </c>
      <c r="F4" s="1232" t="s">
        <v>2333</v>
      </c>
      <c r="G4" s="1230"/>
      <c r="H4" s="1227" t="s">
        <v>2334</v>
      </c>
      <c r="I4" s="1203" t="s">
        <v>2335</v>
      </c>
      <c r="J4" s="1203" t="s">
        <v>2336</v>
      </c>
      <c r="K4" s="1203" t="s">
        <v>2337</v>
      </c>
      <c r="L4" s="1203" t="s">
        <v>2338</v>
      </c>
      <c r="M4" s="1203" t="s">
        <v>2339</v>
      </c>
      <c r="N4" s="1203" t="s">
        <v>2340</v>
      </c>
      <c r="O4" s="1203" t="s">
        <v>2341</v>
      </c>
      <c r="P4" s="1203" t="s">
        <v>2342</v>
      </c>
      <c r="Q4" s="1203" t="s">
        <v>2343</v>
      </c>
      <c r="R4" s="1203" t="s">
        <v>2344</v>
      </c>
      <c r="S4" s="1203" t="s">
        <v>2345</v>
      </c>
    </row>
    <row r="5" spans="1:19" ht="14.25" customHeight="1">
      <c r="A5" s="1199" t="s">
        <v>232</v>
      </c>
      <c r="B5" s="1200" t="s">
        <v>2308</v>
      </c>
      <c r="C5" s="1200">
        <v>29530</v>
      </c>
      <c r="D5" s="1200">
        <v>28130</v>
      </c>
      <c r="E5" s="1200">
        <v>27930</v>
      </c>
      <c r="F5" s="1233">
        <v>11300</v>
      </c>
      <c r="G5" s="1230"/>
      <c r="H5" s="1227" t="s">
        <v>2346</v>
      </c>
      <c r="I5" s="1203" t="s">
        <v>2347</v>
      </c>
      <c r="J5" s="1203" t="s">
        <v>2348</v>
      </c>
      <c r="K5" s="1203" t="s">
        <v>2349</v>
      </c>
      <c r="L5" s="1203" t="s">
        <v>2350</v>
      </c>
      <c r="M5" s="1203" t="s">
        <v>2351</v>
      </c>
      <c r="N5" s="1203" t="s">
        <v>2352</v>
      </c>
      <c r="O5" s="1203" t="s">
        <v>2353</v>
      </c>
      <c r="P5" s="1203" t="s">
        <v>2354</v>
      </c>
      <c r="Q5" s="1203" t="s">
        <v>2355</v>
      </c>
      <c r="R5" s="1203" t="s">
        <v>2356</v>
      </c>
      <c r="S5" s="1203" t="s">
        <v>2357</v>
      </c>
    </row>
    <row r="6" spans="1:19" ht="14.25" customHeight="1">
      <c r="A6" s="1199" t="s">
        <v>232</v>
      </c>
      <c r="B6" s="1203" t="s">
        <v>416</v>
      </c>
      <c r="C6" s="1203">
        <v>30290</v>
      </c>
      <c r="D6" s="1203">
        <v>29210</v>
      </c>
      <c r="E6" s="1203">
        <v>28860</v>
      </c>
      <c r="F6" s="1234">
        <v>12600</v>
      </c>
      <c r="G6" s="1230"/>
      <c r="H6" s="1227" t="s">
        <v>2358</v>
      </c>
      <c r="I6" s="1203" t="s">
        <v>2359</v>
      </c>
      <c r="J6" s="1203" t="s">
        <v>2360</v>
      </c>
      <c r="K6" s="1203" t="s">
        <v>2361</v>
      </c>
      <c r="L6" s="1203" t="s">
        <v>2362</v>
      </c>
      <c r="M6" s="1203" t="s">
        <v>2363</v>
      </c>
      <c r="N6" s="1203" t="s">
        <v>2364</v>
      </c>
      <c r="O6" s="1203" t="s">
        <v>2365</v>
      </c>
      <c r="P6" s="1203" t="s">
        <v>2366</v>
      </c>
      <c r="Q6" s="1203" t="s">
        <v>2367</v>
      </c>
      <c r="R6" s="1203" t="s">
        <v>2368</v>
      </c>
      <c r="S6" s="1203" t="s">
        <v>2369</v>
      </c>
    </row>
    <row r="7" spans="1:19" ht="14.25" customHeight="1">
      <c r="A7" s="1199" t="s">
        <v>232</v>
      </c>
      <c r="B7" s="1206" t="s">
        <v>2334</v>
      </c>
      <c r="C7" s="1203">
        <v>29350</v>
      </c>
      <c r="D7" s="1203">
        <v>28410</v>
      </c>
      <c r="E7" s="1203">
        <v>27990</v>
      </c>
      <c r="F7" s="1234">
        <v>12300</v>
      </c>
      <c r="G7" s="1230"/>
      <c r="I7" s="1203" t="s">
        <v>2370</v>
      </c>
      <c r="J7" s="1203" t="s">
        <v>2371</v>
      </c>
      <c r="K7" s="1203" t="s">
        <v>2372</v>
      </c>
      <c r="L7" s="1203" t="s">
        <v>2373</v>
      </c>
      <c r="M7" s="1203" t="s">
        <v>2374</v>
      </c>
      <c r="N7" s="1203" t="s">
        <v>2375</v>
      </c>
      <c r="O7" s="1203" t="s">
        <v>2376</v>
      </c>
      <c r="P7" s="1203" t="s">
        <v>2377</v>
      </c>
      <c r="Q7" s="1203" t="s">
        <v>2378</v>
      </c>
      <c r="R7" s="1203" t="s">
        <v>2379</v>
      </c>
      <c r="S7" s="1206" t="s">
        <v>2380</v>
      </c>
    </row>
    <row r="8" spans="1:19" ht="14.25" customHeight="1">
      <c r="A8" s="1199" t="s">
        <v>232</v>
      </c>
      <c r="B8" s="1203" t="s">
        <v>2346</v>
      </c>
      <c r="C8" s="1203">
        <v>30890</v>
      </c>
      <c r="D8" s="1203">
        <v>29780</v>
      </c>
      <c r="E8" s="1203">
        <v>29270</v>
      </c>
      <c r="F8" s="1234">
        <v>11600</v>
      </c>
      <c r="G8" s="1230"/>
      <c r="I8" s="1203" t="s">
        <v>2381</v>
      </c>
      <c r="J8" s="1203" t="s">
        <v>2382</v>
      </c>
      <c r="K8" s="1203" t="s">
        <v>2383</v>
      </c>
      <c r="L8" s="1203" t="s">
        <v>2384</v>
      </c>
      <c r="M8" s="1203" t="s">
        <v>2385</v>
      </c>
      <c r="N8" s="1203" t="s">
        <v>2386</v>
      </c>
      <c r="O8" s="1203" t="s">
        <v>2387</v>
      </c>
      <c r="P8" s="1203" t="s">
        <v>2388</v>
      </c>
      <c r="Q8" s="1203" t="s">
        <v>2389</v>
      </c>
      <c r="R8" s="1203" t="s">
        <v>2390</v>
      </c>
      <c r="S8" s="1203" t="s">
        <v>2391</v>
      </c>
    </row>
    <row r="9" spans="1:19" ht="14.25" customHeight="1">
      <c r="A9" s="1199" t="s">
        <v>232</v>
      </c>
      <c r="B9" s="1208" t="s">
        <v>2358</v>
      </c>
      <c r="C9" s="1214">
        <v>28140</v>
      </c>
      <c r="D9" s="1214"/>
      <c r="E9" s="1214"/>
      <c r="F9" s="1235"/>
      <c r="G9" s="1230"/>
      <c r="I9" s="1203" t="s">
        <v>2392</v>
      </c>
      <c r="J9" s="1203" t="s">
        <v>2393</v>
      </c>
      <c r="K9" s="1203" t="s">
        <v>2394</v>
      </c>
      <c r="L9" s="1203" t="s">
        <v>2395</v>
      </c>
      <c r="M9" s="1203" t="s">
        <v>2396</v>
      </c>
      <c r="N9" s="1203" t="s">
        <v>2397</v>
      </c>
      <c r="O9" s="1203" t="s">
        <v>2398</v>
      </c>
      <c r="P9" s="1203" t="s">
        <v>2399</v>
      </c>
      <c r="Q9" s="1203" t="s">
        <v>2400</v>
      </c>
      <c r="R9" s="1203" t="s">
        <v>2401</v>
      </c>
    </row>
    <row r="10" spans="1:19" ht="14.25" customHeight="1">
      <c r="A10" s="1199" t="s">
        <v>243</v>
      </c>
      <c r="B10" s="1200" t="s">
        <v>2309</v>
      </c>
      <c r="C10" s="1200">
        <v>27450</v>
      </c>
      <c r="D10" s="1200">
        <v>26180</v>
      </c>
      <c r="E10" s="1200">
        <v>25980</v>
      </c>
      <c r="F10" s="1233">
        <v>8910</v>
      </c>
      <c r="G10" s="1230"/>
      <c r="I10" s="1203" t="s">
        <v>2402</v>
      </c>
      <c r="J10" s="1203" t="s">
        <v>2403</v>
      </c>
      <c r="K10" s="1203" t="s">
        <v>2404</v>
      </c>
      <c r="L10" s="1203" t="s">
        <v>2405</v>
      </c>
      <c r="M10" s="1203" t="s">
        <v>2406</v>
      </c>
      <c r="N10" s="1203" t="s">
        <v>2407</v>
      </c>
      <c r="O10" s="1203" t="s">
        <v>2408</v>
      </c>
      <c r="P10" s="1203" t="s">
        <v>2409</v>
      </c>
      <c r="Q10" s="1203" t="s">
        <v>2410</v>
      </c>
      <c r="R10" s="1203" t="s">
        <v>2411</v>
      </c>
    </row>
    <row r="11" spans="1:19" ht="14.25" customHeight="1">
      <c r="A11" s="1199" t="s">
        <v>243</v>
      </c>
      <c r="B11" s="1206" t="s">
        <v>2321</v>
      </c>
      <c r="C11" s="1203">
        <v>22950</v>
      </c>
      <c r="D11" s="1203">
        <v>22630</v>
      </c>
      <c r="E11" s="1203">
        <v>22030</v>
      </c>
      <c r="F11" s="1236">
        <v>8330</v>
      </c>
      <c r="G11" s="1230"/>
      <c r="I11" s="1203" t="s">
        <v>2412</v>
      </c>
      <c r="J11" s="1203" t="s">
        <v>2413</v>
      </c>
      <c r="K11" s="1203" t="s">
        <v>2414</v>
      </c>
      <c r="L11" s="1203" t="s">
        <v>2415</v>
      </c>
      <c r="M11" s="1203" t="s">
        <v>2416</v>
      </c>
      <c r="N11" s="1203" t="s">
        <v>2417</v>
      </c>
      <c r="O11" s="1203" t="s">
        <v>2418</v>
      </c>
      <c r="P11" s="1203" t="s">
        <v>2419</v>
      </c>
      <c r="Q11" s="1203" t="s">
        <v>2420</v>
      </c>
      <c r="R11" s="1203" t="s">
        <v>2421</v>
      </c>
    </row>
    <row r="12" spans="1:19" ht="14.25" customHeight="1">
      <c r="A12" s="1199" t="s">
        <v>243</v>
      </c>
      <c r="B12" s="1206" t="s">
        <v>2335</v>
      </c>
      <c r="C12" s="1203">
        <v>24940</v>
      </c>
      <c r="D12" s="1203">
        <v>23180</v>
      </c>
      <c r="E12" s="1203">
        <v>22910</v>
      </c>
      <c r="F12" s="1236">
        <v>7180</v>
      </c>
      <c r="G12" s="1230"/>
      <c r="I12" s="1203" t="s">
        <v>2422</v>
      </c>
      <c r="J12" s="1203" t="s">
        <v>2423</v>
      </c>
      <c r="K12" s="1203" t="s">
        <v>2424</v>
      </c>
      <c r="L12" s="1203" t="s">
        <v>2425</v>
      </c>
      <c r="M12" s="1203" t="s">
        <v>2426</v>
      </c>
      <c r="N12" s="1203" t="s">
        <v>2427</v>
      </c>
      <c r="O12" s="1203" t="s">
        <v>2428</v>
      </c>
      <c r="P12" s="1203" t="s">
        <v>2429</v>
      </c>
      <c r="Q12" s="1203" t="s">
        <v>2430</v>
      </c>
      <c r="R12" s="1203" t="s">
        <v>2431</v>
      </c>
    </row>
    <row r="13" spans="1:19" ht="14.25" customHeight="1">
      <c r="A13" s="1199" t="s">
        <v>243</v>
      </c>
      <c r="B13" s="1206" t="s">
        <v>2347</v>
      </c>
      <c r="C13" s="1203">
        <v>24140</v>
      </c>
      <c r="D13" s="1203">
        <v>22270</v>
      </c>
      <c r="E13" s="1203">
        <v>21950</v>
      </c>
      <c r="F13" s="1236">
        <v>7600</v>
      </c>
      <c r="G13" s="1230"/>
      <c r="I13" s="1203" t="s">
        <v>2432</v>
      </c>
      <c r="J13" s="1203" t="s">
        <v>2433</v>
      </c>
      <c r="K13" s="1203" t="s">
        <v>2434</v>
      </c>
      <c r="L13" s="1203" t="s">
        <v>2435</v>
      </c>
      <c r="M13" s="1203" t="s">
        <v>2436</v>
      </c>
      <c r="N13" s="1203" t="s">
        <v>2437</v>
      </c>
      <c r="O13" s="1203" t="s">
        <v>2438</v>
      </c>
      <c r="P13" s="1203" t="s">
        <v>2439</v>
      </c>
      <c r="Q13" s="1203" t="s">
        <v>2440</v>
      </c>
      <c r="R13" s="1203" t="s">
        <v>2441</v>
      </c>
    </row>
    <row r="14" spans="1:19" ht="14.25" customHeight="1">
      <c r="A14" s="1199" t="s">
        <v>243</v>
      </c>
      <c r="B14" s="1206" t="s">
        <v>2359</v>
      </c>
      <c r="C14" s="1203">
        <v>25600</v>
      </c>
      <c r="D14" s="1203">
        <v>22260</v>
      </c>
      <c r="E14" s="1203">
        <v>22110</v>
      </c>
      <c r="F14" s="1236">
        <v>7630</v>
      </c>
      <c r="G14" s="1230"/>
      <c r="I14" s="1203" t="s">
        <v>2442</v>
      </c>
      <c r="J14" s="1203" t="s">
        <v>2443</v>
      </c>
      <c r="K14" s="1203" t="s">
        <v>2444</v>
      </c>
      <c r="L14" s="1203" t="s">
        <v>2445</v>
      </c>
      <c r="M14" s="1203" t="s">
        <v>2446</v>
      </c>
      <c r="N14" s="1203" t="s">
        <v>2447</v>
      </c>
      <c r="O14" s="1203" t="s">
        <v>2448</v>
      </c>
      <c r="P14" s="1203" t="s">
        <v>2449</v>
      </c>
      <c r="Q14" s="1203" t="s">
        <v>2450</v>
      </c>
      <c r="R14" s="1203" t="s">
        <v>2451</v>
      </c>
    </row>
    <row r="15" spans="1:19" ht="14.25" customHeight="1">
      <c r="A15" s="1199" t="s">
        <v>243</v>
      </c>
      <c r="B15" s="1206" t="s">
        <v>2370</v>
      </c>
      <c r="C15" s="1203">
        <v>24760</v>
      </c>
      <c r="D15" s="1203">
        <v>24440</v>
      </c>
      <c r="E15" s="1203">
        <v>24130</v>
      </c>
      <c r="F15" s="1236">
        <v>9480</v>
      </c>
      <c r="G15" s="1230"/>
      <c r="I15" s="1203" t="s">
        <v>2452</v>
      </c>
      <c r="J15" s="1203" t="s">
        <v>2453</v>
      </c>
      <c r="K15" s="1203" t="s">
        <v>2454</v>
      </c>
      <c r="L15" s="1203" t="s">
        <v>2455</v>
      </c>
      <c r="M15" s="1203" t="s">
        <v>2456</v>
      </c>
      <c r="N15" s="1203" t="s">
        <v>2457</v>
      </c>
      <c r="O15" s="1203" t="s">
        <v>2458</v>
      </c>
      <c r="P15" s="1203" t="s">
        <v>2459</v>
      </c>
      <c r="Q15" s="1203" t="s">
        <v>2460</v>
      </c>
      <c r="R15" s="1203" t="s">
        <v>2461</v>
      </c>
    </row>
    <row r="16" spans="1:19" ht="14.25" customHeight="1">
      <c r="A16" s="1199" t="s">
        <v>243</v>
      </c>
      <c r="B16" s="1206" t="s">
        <v>2381</v>
      </c>
      <c r="C16" s="1203">
        <v>22220</v>
      </c>
      <c r="D16" s="1203">
        <v>22310</v>
      </c>
      <c r="E16" s="1203">
        <v>22000</v>
      </c>
      <c r="F16" s="1236">
        <v>8900</v>
      </c>
      <c r="G16" s="1230"/>
      <c r="I16" s="1203" t="s">
        <v>2462</v>
      </c>
      <c r="J16" s="1203" t="s">
        <v>2463</v>
      </c>
      <c r="K16" s="1203" t="s">
        <v>2464</v>
      </c>
      <c r="L16" s="1203" t="s">
        <v>2465</v>
      </c>
      <c r="M16" s="1203" t="s">
        <v>2466</v>
      </c>
      <c r="N16" s="1203" t="s">
        <v>2467</v>
      </c>
      <c r="O16" s="1203" t="s">
        <v>2468</v>
      </c>
      <c r="P16" s="1203" t="s">
        <v>2469</v>
      </c>
      <c r="Q16" s="1203" t="s">
        <v>2470</v>
      </c>
      <c r="R16" s="1203" t="s">
        <v>2471</v>
      </c>
    </row>
    <row r="17" spans="1:18" ht="14.25" customHeight="1">
      <c r="A17" s="1199" t="s">
        <v>243</v>
      </c>
      <c r="B17" s="1206" t="s">
        <v>2392</v>
      </c>
      <c r="C17" s="1203">
        <v>24700</v>
      </c>
      <c r="D17" s="1203">
        <v>25150</v>
      </c>
      <c r="E17" s="1203">
        <v>24700</v>
      </c>
      <c r="F17" s="1237"/>
      <c r="G17" s="1230"/>
      <c r="I17" s="1203" t="s">
        <v>2472</v>
      </c>
      <c r="J17" s="1203" t="s">
        <v>2473</v>
      </c>
      <c r="K17" s="1203" t="s">
        <v>2474</v>
      </c>
      <c r="L17" s="1203" t="s">
        <v>2475</v>
      </c>
      <c r="M17" s="1203" t="s">
        <v>2476</v>
      </c>
      <c r="N17" s="1203" t="s">
        <v>2477</v>
      </c>
      <c r="O17" s="1203" t="s">
        <v>2478</v>
      </c>
      <c r="P17" s="1203" t="s">
        <v>2479</v>
      </c>
      <c r="Q17" s="1203" t="s">
        <v>2480</v>
      </c>
      <c r="R17" s="1203" t="s">
        <v>2481</v>
      </c>
    </row>
    <row r="18" spans="1:18" ht="14.25" customHeight="1">
      <c r="A18" s="1199" t="s">
        <v>243</v>
      </c>
      <c r="B18" s="1206" t="s">
        <v>2402</v>
      </c>
      <c r="C18" s="1203">
        <v>22350</v>
      </c>
      <c r="D18" s="1203">
        <v>24340</v>
      </c>
      <c r="E18" s="1203">
        <v>24100</v>
      </c>
      <c r="F18" s="1237"/>
      <c r="G18" s="1230"/>
      <c r="I18" s="1203" t="s">
        <v>2482</v>
      </c>
      <c r="J18" s="1203" t="s">
        <v>2483</v>
      </c>
      <c r="K18" s="1203" t="s">
        <v>2484</v>
      </c>
      <c r="L18" s="1203" t="s">
        <v>2485</v>
      </c>
      <c r="M18" s="1203" t="s">
        <v>2486</v>
      </c>
      <c r="N18" s="1203" t="s">
        <v>2487</v>
      </c>
      <c r="O18" s="1203" t="s">
        <v>2488</v>
      </c>
      <c r="P18" s="1203" t="s">
        <v>2489</v>
      </c>
      <c r="Q18" s="1203" t="s">
        <v>2490</v>
      </c>
      <c r="R18" s="1203" t="s">
        <v>2491</v>
      </c>
    </row>
    <row r="19" spans="1:18" ht="14.25" customHeight="1">
      <c r="A19" s="1199" t="s">
        <v>243</v>
      </c>
      <c r="B19" s="1206" t="s">
        <v>2412</v>
      </c>
      <c r="C19" s="1203">
        <v>23430</v>
      </c>
      <c r="D19" s="1203">
        <v>21580</v>
      </c>
      <c r="E19" s="1203">
        <v>21350</v>
      </c>
      <c r="F19" s="1237"/>
      <c r="G19" s="1230"/>
      <c r="I19" s="1203" t="s">
        <v>2492</v>
      </c>
      <c r="J19" s="1203" t="s">
        <v>2493</v>
      </c>
      <c r="K19" s="1203" t="s">
        <v>2494</v>
      </c>
      <c r="L19" s="1203" t="s">
        <v>2495</v>
      </c>
      <c r="M19" s="1203" t="s">
        <v>2496</v>
      </c>
      <c r="N19" s="1203" t="s">
        <v>2497</v>
      </c>
      <c r="O19" s="1203" t="s">
        <v>2498</v>
      </c>
      <c r="P19" s="1203" t="s">
        <v>2499</v>
      </c>
      <c r="Q19" s="1203" t="s">
        <v>2500</v>
      </c>
      <c r="R19" s="1203" t="s">
        <v>2501</v>
      </c>
    </row>
    <row r="20" spans="1:18" ht="14.25" customHeight="1">
      <c r="A20" s="1199" t="s">
        <v>243</v>
      </c>
      <c r="B20" s="1206" t="s">
        <v>2422</v>
      </c>
      <c r="C20" s="1203">
        <v>27660</v>
      </c>
      <c r="D20" s="1203">
        <v>24240</v>
      </c>
      <c r="E20" s="1203">
        <v>24020</v>
      </c>
      <c r="F20" s="1237"/>
      <c r="I20" s="1203" t="s">
        <v>2502</v>
      </c>
      <c r="J20" s="1203" t="s">
        <v>2503</v>
      </c>
      <c r="K20" s="1203" t="s">
        <v>2504</v>
      </c>
      <c r="L20" s="1203" t="s">
        <v>2505</v>
      </c>
      <c r="M20" s="1203" t="s">
        <v>2506</v>
      </c>
      <c r="N20" s="1203" t="s">
        <v>2507</v>
      </c>
      <c r="O20" s="1203" t="s">
        <v>2508</v>
      </c>
      <c r="P20" s="1203" t="s">
        <v>2509</v>
      </c>
      <c r="Q20" s="1203" t="s">
        <v>2510</v>
      </c>
      <c r="R20" s="1203" t="s">
        <v>2511</v>
      </c>
    </row>
    <row r="21" spans="1:18" ht="14.25" customHeight="1">
      <c r="A21" s="1199" t="s">
        <v>243</v>
      </c>
      <c r="B21" s="1206" t="s">
        <v>2432</v>
      </c>
      <c r="C21" s="1203">
        <v>24720</v>
      </c>
      <c r="D21" s="1203">
        <v>21670</v>
      </c>
      <c r="E21" s="1203">
        <v>21510</v>
      </c>
      <c r="F21" s="1237"/>
      <c r="J21" s="1203" t="s">
        <v>2512</v>
      </c>
      <c r="K21" s="1203" t="s">
        <v>2513</v>
      </c>
      <c r="L21" s="1203" t="s">
        <v>2514</v>
      </c>
      <c r="M21" s="1203" t="s">
        <v>2515</v>
      </c>
      <c r="N21" s="1203" t="s">
        <v>2516</v>
      </c>
      <c r="O21" s="1203" t="s">
        <v>2517</v>
      </c>
      <c r="P21" s="1203" t="s">
        <v>2518</v>
      </c>
      <c r="Q21" s="1203" t="s">
        <v>2519</v>
      </c>
      <c r="R21" s="1203" t="s">
        <v>2520</v>
      </c>
    </row>
    <row r="22" spans="1:18" ht="14.25" customHeight="1">
      <c r="A22" s="1199" t="s">
        <v>243</v>
      </c>
      <c r="B22" s="1206" t="s">
        <v>2442</v>
      </c>
      <c r="C22" s="1203">
        <v>26530</v>
      </c>
      <c r="D22" s="1203">
        <v>22980</v>
      </c>
      <c r="E22" s="1203">
        <v>22650</v>
      </c>
      <c r="F22" s="1237"/>
      <c r="K22" s="1203" t="s">
        <v>2521</v>
      </c>
      <c r="L22" s="1203" t="s">
        <v>2522</v>
      </c>
      <c r="M22" s="1203" t="s">
        <v>2523</v>
      </c>
      <c r="N22" s="1203" t="s">
        <v>2524</v>
      </c>
      <c r="O22" s="1203" t="s">
        <v>2525</v>
      </c>
      <c r="P22" s="1203" t="s">
        <v>2526</v>
      </c>
      <c r="Q22" s="1203" t="s">
        <v>2527</v>
      </c>
      <c r="R22" s="1206" t="s">
        <v>2528</v>
      </c>
    </row>
    <row r="23" spans="1:18" ht="14.25" customHeight="1">
      <c r="A23" s="1199" t="s">
        <v>243</v>
      </c>
      <c r="B23" s="1206" t="s">
        <v>2452</v>
      </c>
      <c r="C23" s="1203">
        <v>24700</v>
      </c>
      <c r="D23" s="1203">
        <v>27290</v>
      </c>
      <c r="E23" s="1203">
        <v>26710</v>
      </c>
      <c r="F23" s="1237"/>
      <c r="K23" s="1203" t="s">
        <v>2529</v>
      </c>
      <c r="L23" s="1203" t="s">
        <v>2530</v>
      </c>
      <c r="M23" s="1203" t="s">
        <v>2531</v>
      </c>
      <c r="N23" s="1203" t="s">
        <v>2532</v>
      </c>
      <c r="O23" s="1203" t="s">
        <v>2533</v>
      </c>
      <c r="P23" s="1203" t="s">
        <v>2534</v>
      </c>
      <c r="Q23" s="1203" t="s">
        <v>2535</v>
      </c>
    </row>
    <row r="24" spans="1:18" ht="14.25" customHeight="1">
      <c r="A24" s="1199" t="s">
        <v>243</v>
      </c>
      <c r="B24" s="1206" t="s">
        <v>2462</v>
      </c>
      <c r="C24" s="1203">
        <v>23070</v>
      </c>
      <c r="D24" s="1203">
        <v>24130</v>
      </c>
      <c r="E24" s="1203">
        <v>23860</v>
      </c>
      <c r="F24" s="1237"/>
      <c r="K24" s="1203" t="s">
        <v>2536</v>
      </c>
      <c r="L24" s="1203" t="s">
        <v>2537</v>
      </c>
      <c r="M24" s="1203" t="s">
        <v>2538</v>
      </c>
      <c r="N24" s="1203" t="s">
        <v>2539</v>
      </c>
      <c r="O24" s="1203" t="s">
        <v>2540</v>
      </c>
      <c r="P24" s="1203" t="s">
        <v>2541</v>
      </c>
      <c r="Q24" s="1203" t="s">
        <v>2542</v>
      </c>
    </row>
    <row r="25" spans="1:18" ht="14.25" customHeight="1">
      <c r="A25" s="1199" t="s">
        <v>243</v>
      </c>
      <c r="B25" s="1206" t="s">
        <v>2472</v>
      </c>
      <c r="C25" s="1203">
        <v>27550</v>
      </c>
      <c r="D25" s="1203">
        <v>25850</v>
      </c>
      <c r="E25" s="1203">
        <v>25340</v>
      </c>
      <c r="F25" s="1237"/>
      <c r="K25" s="1203" t="s">
        <v>2543</v>
      </c>
      <c r="L25" s="1203" t="s">
        <v>2544</v>
      </c>
      <c r="M25" s="1203" t="s">
        <v>2545</v>
      </c>
      <c r="N25" s="1203" t="s">
        <v>2546</v>
      </c>
      <c r="O25" s="1203" t="s">
        <v>2547</v>
      </c>
      <c r="P25" s="1203" t="s">
        <v>2548</v>
      </c>
      <c r="Q25" s="1203" t="s">
        <v>2549</v>
      </c>
    </row>
    <row r="26" spans="1:18" ht="14.25" customHeight="1">
      <c r="A26" s="1199" t="s">
        <v>243</v>
      </c>
      <c r="B26" s="1206" t="s">
        <v>2482</v>
      </c>
      <c r="C26" s="1203"/>
      <c r="D26" s="1203">
        <v>23900</v>
      </c>
      <c r="E26" s="1203">
        <v>23590</v>
      </c>
      <c r="F26" s="1237"/>
      <c r="K26" s="1203" t="s">
        <v>2550</v>
      </c>
      <c r="L26" s="1203" t="s">
        <v>2551</v>
      </c>
      <c r="M26" s="1203" t="s">
        <v>2552</v>
      </c>
      <c r="N26" s="1203" t="s">
        <v>2553</v>
      </c>
      <c r="O26" s="1203" t="s">
        <v>2554</v>
      </c>
      <c r="P26" s="1203" t="s">
        <v>2555</v>
      </c>
      <c r="Q26" s="1203" t="s">
        <v>2556</v>
      </c>
    </row>
    <row r="27" spans="1:18" ht="14.25" customHeight="1">
      <c r="A27" s="1199" t="s">
        <v>243</v>
      </c>
      <c r="B27" s="1206" t="s">
        <v>2492</v>
      </c>
      <c r="C27" s="1203"/>
      <c r="D27" s="1203">
        <v>22850</v>
      </c>
      <c r="E27" s="1203">
        <v>21920</v>
      </c>
      <c r="F27" s="1237"/>
      <c r="K27" s="1203" t="s">
        <v>2557</v>
      </c>
      <c r="L27" s="1203" t="s">
        <v>2558</v>
      </c>
      <c r="M27" s="1203" t="s">
        <v>2559</v>
      </c>
      <c r="N27" s="1203" t="s">
        <v>2560</v>
      </c>
      <c r="O27" s="1203" t="s">
        <v>2561</v>
      </c>
      <c r="P27" s="1203" t="s">
        <v>2562</v>
      </c>
      <c r="Q27" s="1203" t="s">
        <v>2563</v>
      </c>
    </row>
    <row r="28" spans="1:18" ht="14.25" customHeight="1">
      <c r="A28" s="1207" t="s">
        <v>243</v>
      </c>
      <c r="B28" s="1208" t="s">
        <v>2502</v>
      </c>
      <c r="C28" s="1214"/>
      <c r="D28" s="1214">
        <v>26610</v>
      </c>
      <c r="E28" s="1214">
        <v>26370</v>
      </c>
      <c r="F28" s="1235"/>
      <c r="K28" s="1203" t="s">
        <v>2564</v>
      </c>
      <c r="L28" s="1203" t="s">
        <v>2565</v>
      </c>
      <c r="M28" s="1203" t="s">
        <v>2566</v>
      </c>
      <c r="N28" s="1203" t="s">
        <v>2567</v>
      </c>
      <c r="O28" s="1203" t="s">
        <v>2568</v>
      </c>
      <c r="P28" s="1203" t="s">
        <v>2569</v>
      </c>
    </row>
    <row r="29" spans="1:18" ht="14.25" customHeight="1">
      <c r="A29" s="1199" t="s">
        <v>253</v>
      </c>
      <c r="B29" s="1200" t="s">
        <v>2310</v>
      </c>
      <c r="C29" s="1200">
        <v>22090</v>
      </c>
      <c r="D29" s="1200">
        <v>21860</v>
      </c>
      <c r="E29" s="1200">
        <v>19380</v>
      </c>
      <c r="F29" s="1233">
        <v>6610</v>
      </c>
      <c r="L29" s="1203" t="s">
        <v>2570</v>
      </c>
      <c r="M29" s="1203" t="s">
        <v>2571</v>
      </c>
      <c r="N29" s="1203" t="s">
        <v>2572</v>
      </c>
      <c r="O29" s="1203" t="s">
        <v>2573</v>
      </c>
      <c r="P29" s="1203" t="s">
        <v>2574</v>
      </c>
    </row>
    <row r="30" spans="1:18" ht="14.25" customHeight="1">
      <c r="A30" s="1199" t="s">
        <v>253</v>
      </c>
      <c r="B30" s="1206" t="s">
        <v>2322</v>
      </c>
      <c r="C30" s="1203">
        <v>21380</v>
      </c>
      <c r="D30" s="1203">
        <v>19930</v>
      </c>
      <c r="E30" s="1203">
        <v>19860</v>
      </c>
      <c r="F30" s="1236">
        <v>6010</v>
      </c>
      <c r="L30" s="1203" t="s">
        <v>2575</v>
      </c>
      <c r="M30" s="1203" t="s">
        <v>2576</v>
      </c>
      <c r="N30" s="1203" t="s">
        <v>2577</v>
      </c>
      <c r="O30" s="1203" t="s">
        <v>2578</v>
      </c>
      <c r="P30" s="1203" t="s">
        <v>2579</v>
      </c>
    </row>
    <row r="31" spans="1:18" ht="14.25" customHeight="1">
      <c r="A31" s="1199" t="s">
        <v>253</v>
      </c>
      <c r="B31" s="1206" t="s">
        <v>2336</v>
      </c>
      <c r="C31" s="1203">
        <v>21670</v>
      </c>
      <c r="D31" s="1203">
        <v>20660</v>
      </c>
      <c r="E31" s="1203">
        <v>20290</v>
      </c>
      <c r="F31" s="1236">
        <v>5840</v>
      </c>
      <c r="L31" s="1203" t="s">
        <v>2580</v>
      </c>
      <c r="M31" s="1203" t="s">
        <v>2581</v>
      </c>
      <c r="N31" s="1203" t="s">
        <v>2582</v>
      </c>
      <c r="O31" s="1203" t="s">
        <v>2583</v>
      </c>
      <c r="P31" s="1203" t="s">
        <v>2584</v>
      </c>
    </row>
    <row r="32" spans="1:18" ht="14.25" customHeight="1">
      <c r="A32" s="1199" t="s">
        <v>253</v>
      </c>
      <c r="B32" s="1206" t="s">
        <v>2348</v>
      </c>
      <c r="C32" s="1203">
        <v>22280</v>
      </c>
      <c r="D32" s="1203">
        <v>21800</v>
      </c>
      <c r="E32" s="1203">
        <v>17650</v>
      </c>
      <c r="F32" s="1236">
        <v>4690</v>
      </c>
      <c r="L32" s="1203" t="s">
        <v>2585</v>
      </c>
      <c r="M32" s="1203" t="s">
        <v>2586</v>
      </c>
      <c r="N32" s="1203" t="s">
        <v>2587</v>
      </c>
      <c r="O32" s="1203" t="s">
        <v>2588</v>
      </c>
      <c r="P32" s="1203" t="s">
        <v>2589</v>
      </c>
    </row>
    <row r="33" spans="1:16" ht="14.25" customHeight="1">
      <c r="A33" s="1199" t="s">
        <v>253</v>
      </c>
      <c r="B33" s="1206" t="s">
        <v>2360</v>
      </c>
      <c r="C33" s="1203">
        <v>22130</v>
      </c>
      <c r="D33" s="1203">
        <v>20460</v>
      </c>
      <c r="E33" s="1203">
        <v>18500</v>
      </c>
      <c r="F33" s="1236">
        <v>5340</v>
      </c>
      <c r="L33" s="1203" t="s">
        <v>2590</v>
      </c>
      <c r="M33" s="1203" t="s">
        <v>2591</v>
      </c>
      <c r="N33" s="1203" t="s">
        <v>2592</v>
      </c>
      <c r="O33" s="1203" t="s">
        <v>2593</v>
      </c>
      <c r="P33" s="1203" t="s">
        <v>2594</v>
      </c>
    </row>
    <row r="34" spans="1:16" ht="14.25" customHeight="1">
      <c r="A34" s="1199" t="s">
        <v>253</v>
      </c>
      <c r="B34" s="1206" t="s">
        <v>2371</v>
      </c>
      <c r="C34" s="1203">
        <v>22070</v>
      </c>
      <c r="D34" s="1203">
        <v>20110</v>
      </c>
      <c r="E34" s="1203">
        <v>18830</v>
      </c>
      <c r="F34" s="1236">
        <v>5190</v>
      </c>
      <c r="L34" s="1203" t="s">
        <v>2595</v>
      </c>
      <c r="M34" s="1203" t="s">
        <v>2596</v>
      </c>
      <c r="N34" s="1203" t="s">
        <v>2597</v>
      </c>
      <c r="O34" s="1203" t="s">
        <v>2598</v>
      </c>
      <c r="P34" s="1203" t="s">
        <v>2599</v>
      </c>
    </row>
    <row r="35" spans="1:16" ht="14.25" customHeight="1">
      <c r="A35" s="1199" t="s">
        <v>253</v>
      </c>
      <c r="B35" s="1206" t="s">
        <v>2382</v>
      </c>
      <c r="C35" s="1203">
        <v>22240</v>
      </c>
      <c r="D35" s="1203">
        <v>19550</v>
      </c>
      <c r="E35" s="1203">
        <v>19220</v>
      </c>
      <c r="F35" s="1236">
        <v>5800</v>
      </c>
      <c r="L35" s="1203" t="s">
        <v>2600</v>
      </c>
      <c r="M35" s="1203" t="s">
        <v>2601</v>
      </c>
      <c r="N35" s="1203" t="s">
        <v>2602</v>
      </c>
      <c r="O35" s="1203" t="s">
        <v>2603</v>
      </c>
      <c r="P35" s="1203" t="s">
        <v>2604</v>
      </c>
    </row>
    <row r="36" spans="1:16" ht="14.25" customHeight="1">
      <c r="A36" s="1199" t="s">
        <v>253</v>
      </c>
      <c r="B36" s="1206" t="s">
        <v>2393</v>
      </c>
      <c r="C36" s="1203">
        <v>19750</v>
      </c>
      <c r="D36" s="1203">
        <v>19790</v>
      </c>
      <c r="E36" s="1203">
        <v>18510</v>
      </c>
      <c r="F36" s="1236">
        <v>6520</v>
      </c>
      <c r="M36" s="1203" t="s">
        <v>2605</v>
      </c>
      <c r="N36" s="1203" t="s">
        <v>2606</v>
      </c>
      <c r="O36" s="1203" t="s">
        <v>2607</v>
      </c>
      <c r="P36" s="1203" t="s">
        <v>2608</v>
      </c>
    </row>
    <row r="37" spans="1:16" ht="14.25" customHeight="1">
      <c r="A37" s="1199" t="s">
        <v>253</v>
      </c>
      <c r="B37" s="1206" t="s">
        <v>2403</v>
      </c>
      <c r="C37" s="1203">
        <v>22380</v>
      </c>
      <c r="D37" s="1203">
        <v>18530</v>
      </c>
      <c r="E37" s="1203">
        <v>17930</v>
      </c>
      <c r="F37" s="1236">
        <v>6270</v>
      </c>
      <c r="M37" s="1203" t="s">
        <v>2609</v>
      </c>
      <c r="N37" s="1203" t="s">
        <v>2610</v>
      </c>
      <c r="O37" s="1203" t="s">
        <v>2611</v>
      </c>
      <c r="P37" s="1203" t="s">
        <v>2612</v>
      </c>
    </row>
    <row r="38" spans="1:16" ht="14.25" customHeight="1">
      <c r="A38" s="1199" t="s">
        <v>253</v>
      </c>
      <c r="B38" s="1206" t="s">
        <v>2413</v>
      </c>
      <c r="C38" s="1203">
        <v>20200</v>
      </c>
      <c r="D38" s="1203">
        <v>20070</v>
      </c>
      <c r="E38" s="1203">
        <v>19950</v>
      </c>
      <c r="F38" s="1236"/>
      <c r="M38" s="1203" t="s">
        <v>2613</v>
      </c>
      <c r="N38" s="1203" t="s">
        <v>2614</v>
      </c>
      <c r="O38" s="1203" t="s">
        <v>2615</v>
      </c>
      <c r="P38" s="1203" t="s">
        <v>2616</v>
      </c>
    </row>
    <row r="39" spans="1:16" ht="14.25" customHeight="1">
      <c r="A39" s="1199" t="s">
        <v>253</v>
      </c>
      <c r="B39" s="1206" t="s">
        <v>2423</v>
      </c>
      <c r="C39" s="1203">
        <v>19300</v>
      </c>
      <c r="D39" s="1203">
        <v>20360</v>
      </c>
      <c r="E39" s="1203">
        <v>20230</v>
      </c>
      <c r="F39" s="1236"/>
      <c r="M39" s="1203" t="s">
        <v>2617</v>
      </c>
      <c r="N39" s="1203" t="s">
        <v>2618</v>
      </c>
      <c r="O39" s="1203" t="s">
        <v>2619</v>
      </c>
      <c r="P39" s="1203" t="s">
        <v>2620</v>
      </c>
    </row>
    <row r="40" spans="1:16" ht="14.25" customHeight="1">
      <c r="A40" s="1199" t="s">
        <v>253</v>
      </c>
      <c r="B40" s="1206" t="s">
        <v>2433</v>
      </c>
      <c r="C40" s="1203">
        <v>20210</v>
      </c>
      <c r="D40" s="1203">
        <v>19060</v>
      </c>
      <c r="E40" s="1203">
        <v>18890</v>
      </c>
      <c r="F40" s="1236"/>
      <c r="M40" s="1203" t="s">
        <v>2621</v>
      </c>
      <c r="N40" s="1203" t="s">
        <v>2622</v>
      </c>
      <c r="O40" s="1203" t="s">
        <v>2623</v>
      </c>
      <c r="P40" s="1203" t="s">
        <v>2624</v>
      </c>
    </row>
    <row r="41" spans="1:16" ht="14.25" customHeight="1">
      <c r="A41" s="1199" t="s">
        <v>253</v>
      </c>
      <c r="B41" s="1206" t="s">
        <v>2443</v>
      </c>
      <c r="C41" s="1203">
        <v>20560</v>
      </c>
      <c r="D41" s="1203">
        <v>21040</v>
      </c>
      <c r="E41" s="1203">
        <v>20740</v>
      </c>
      <c r="F41" s="1236"/>
      <c r="M41" s="1206" t="s">
        <v>2625</v>
      </c>
      <c r="N41" s="1206" t="s">
        <v>2626</v>
      </c>
      <c r="P41" s="1206" t="s">
        <v>2627</v>
      </c>
    </row>
    <row r="42" spans="1:16" ht="14.25" customHeight="1">
      <c r="A42" s="1199" t="s">
        <v>253</v>
      </c>
      <c r="B42" s="1206" t="s">
        <v>2453</v>
      </c>
      <c r="C42" s="1203">
        <v>19280</v>
      </c>
      <c r="D42" s="1203">
        <v>22940</v>
      </c>
      <c r="E42" s="1203">
        <v>22500</v>
      </c>
      <c r="F42" s="1236"/>
      <c r="M42" s="1203" t="s">
        <v>2628</v>
      </c>
      <c r="N42" s="1203" t="s">
        <v>2629</v>
      </c>
      <c r="P42" s="1203" t="s">
        <v>2630</v>
      </c>
    </row>
    <row r="43" spans="1:16" ht="14.25" customHeight="1">
      <c r="A43" s="1199" t="s">
        <v>253</v>
      </c>
      <c r="B43" s="1206" t="s">
        <v>2463</v>
      </c>
      <c r="C43" s="1203">
        <v>21520</v>
      </c>
      <c r="D43" s="1203">
        <v>19230</v>
      </c>
      <c r="E43" s="1203">
        <v>18540</v>
      </c>
      <c r="F43" s="1236"/>
      <c r="M43" s="1203" t="s">
        <v>2631</v>
      </c>
      <c r="N43" s="1203" t="s">
        <v>2632</v>
      </c>
      <c r="P43" s="1203" t="s">
        <v>2633</v>
      </c>
    </row>
    <row r="44" spans="1:16" ht="14.25" customHeight="1">
      <c r="A44" s="1199" t="s">
        <v>253</v>
      </c>
      <c r="B44" s="1206" t="s">
        <v>2473</v>
      </c>
      <c r="C44" s="1203">
        <v>23260</v>
      </c>
      <c r="D44" s="1203">
        <v>21180</v>
      </c>
      <c r="E44" s="1203">
        <v>20730</v>
      </c>
      <c r="F44" s="1236"/>
      <c r="M44" s="1203" t="s">
        <v>2634</v>
      </c>
      <c r="N44" s="1203" t="s">
        <v>2635</v>
      </c>
      <c r="P44" s="1203" t="s">
        <v>2636</v>
      </c>
    </row>
    <row r="45" spans="1:16" ht="14.25" customHeight="1">
      <c r="A45" s="1199" t="s">
        <v>253</v>
      </c>
      <c r="B45" s="1206" t="s">
        <v>2483</v>
      </c>
      <c r="C45" s="1203">
        <v>19610</v>
      </c>
      <c r="D45" s="1203">
        <v>18090</v>
      </c>
      <c r="E45" s="1203">
        <v>17970</v>
      </c>
      <c r="F45" s="1236"/>
      <c r="M45" s="1203" t="s">
        <v>2637</v>
      </c>
      <c r="N45" s="1203" t="s">
        <v>2638</v>
      </c>
      <c r="P45" s="1203" t="s">
        <v>2639</v>
      </c>
    </row>
    <row r="46" spans="1:16" ht="14.25" customHeight="1">
      <c r="A46" s="1199" t="s">
        <v>253</v>
      </c>
      <c r="B46" s="1206" t="s">
        <v>2493</v>
      </c>
      <c r="C46" s="1203">
        <v>21660</v>
      </c>
      <c r="D46" s="1203">
        <v>19190</v>
      </c>
      <c r="E46" s="1203">
        <v>19790</v>
      </c>
      <c r="F46" s="1236"/>
      <c r="M46" s="1203" t="s">
        <v>2640</v>
      </c>
      <c r="N46" s="1203" t="s">
        <v>2641</v>
      </c>
      <c r="P46" s="1203" t="s">
        <v>2642</v>
      </c>
    </row>
    <row r="47" spans="1:16" ht="14.25" customHeight="1">
      <c r="A47" s="1199" t="s">
        <v>253</v>
      </c>
      <c r="B47" s="1206" t="s">
        <v>2503</v>
      </c>
      <c r="C47" s="1203">
        <v>18220</v>
      </c>
      <c r="D47" s="1203"/>
      <c r="E47" s="1203">
        <v>17220</v>
      </c>
      <c r="F47" s="1236"/>
      <c r="M47" s="1203" t="s">
        <v>2643</v>
      </c>
      <c r="N47" s="1203" t="s">
        <v>2644</v>
      </c>
    </row>
    <row r="48" spans="1:16" ht="14.25" customHeight="1">
      <c r="A48" s="1199" t="s">
        <v>253</v>
      </c>
      <c r="B48" s="1208" t="s">
        <v>2512</v>
      </c>
      <c r="C48" s="1214">
        <v>19430</v>
      </c>
      <c r="D48" s="1214"/>
      <c r="E48" s="1214">
        <v>17830</v>
      </c>
      <c r="F48" s="1238"/>
      <c r="M48" s="1203" t="s">
        <v>2645</v>
      </c>
      <c r="N48" s="1203" t="s">
        <v>2646</v>
      </c>
    </row>
    <row r="49" spans="1:14" ht="14.25" customHeight="1">
      <c r="A49" s="1199" t="s">
        <v>261</v>
      </c>
      <c r="B49" s="1200" t="s">
        <v>2311</v>
      </c>
      <c r="C49" s="1200">
        <v>17090</v>
      </c>
      <c r="D49" s="1200">
        <v>16950</v>
      </c>
      <c r="E49" s="1200">
        <v>16310</v>
      </c>
      <c r="F49" s="1233">
        <v>4540</v>
      </c>
      <c r="M49" s="1203" t="s">
        <v>2647</v>
      </c>
      <c r="N49" s="1203" t="s">
        <v>2648</v>
      </c>
    </row>
    <row r="50" spans="1:14" ht="14.25" customHeight="1">
      <c r="A50" s="1199" t="s">
        <v>261</v>
      </c>
      <c r="B50" s="1203" t="s">
        <v>2323</v>
      </c>
      <c r="C50" s="1203">
        <v>19040</v>
      </c>
      <c r="D50" s="1203">
        <v>16960</v>
      </c>
      <c r="E50" s="1203">
        <v>14800</v>
      </c>
      <c r="F50" s="1236">
        <v>3940</v>
      </c>
    </row>
    <row r="51" spans="1:14" ht="14.25" customHeight="1">
      <c r="A51" s="1199" t="s">
        <v>261</v>
      </c>
      <c r="B51" s="1203" t="s">
        <v>2337</v>
      </c>
      <c r="C51" s="1203">
        <v>17040</v>
      </c>
      <c r="D51" s="1203">
        <v>16930</v>
      </c>
      <c r="E51" s="1203">
        <v>15030</v>
      </c>
      <c r="F51" s="1236">
        <v>4120</v>
      </c>
    </row>
    <row r="52" spans="1:14" ht="14.25" customHeight="1">
      <c r="A52" s="1199" t="s">
        <v>261</v>
      </c>
      <c r="B52" s="1203" t="s">
        <v>2349</v>
      </c>
      <c r="C52" s="1203">
        <v>17110</v>
      </c>
      <c r="D52" s="1203">
        <v>17750</v>
      </c>
      <c r="E52" s="1203">
        <v>17310</v>
      </c>
      <c r="F52" s="1236">
        <v>3220</v>
      </c>
    </row>
    <row r="53" spans="1:14" ht="14.25" customHeight="1">
      <c r="A53" s="1199" t="s">
        <v>261</v>
      </c>
      <c r="B53" s="1203" t="s">
        <v>2361</v>
      </c>
      <c r="C53" s="1203">
        <v>17810</v>
      </c>
      <c r="D53" s="1203">
        <v>17260</v>
      </c>
      <c r="E53" s="1203">
        <v>17090</v>
      </c>
      <c r="F53" s="1236">
        <v>3520</v>
      </c>
    </row>
    <row r="54" spans="1:14" ht="14.25" customHeight="1">
      <c r="A54" s="1199" t="s">
        <v>261</v>
      </c>
      <c r="B54" s="1203" t="s">
        <v>2372</v>
      </c>
      <c r="C54" s="1203">
        <v>17410</v>
      </c>
      <c r="D54" s="1203">
        <v>16780</v>
      </c>
      <c r="E54" s="1203">
        <v>16370</v>
      </c>
      <c r="F54" s="1236">
        <v>3410</v>
      </c>
    </row>
    <row r="55" spans="1:14" ht="14.25" customHeight="1">
      <c r="A55" s="1199" t="s">
        <v>261</v>
      </c>
      <c r="B55" s="1203" t="s">
        <v>2383</v>
      </c>
      <c r="C55" s="1203">
        <v>16930</v>
      </c>
      <c r="D55" s="1203">
        <v>14720</v>
      </c>
      <c r="E55" s="1203">
        <v>15000</v>
      </c>
      <c r="F55" s="1236">
        <v>3710</v>
      </c>
    </row>
    <row r="56" spans="1:14" ht="14.25" customHeight="1">
      <c r="A56" s="1199" t="s">
        <v>261</v>
      </c>
      <c r="B56" s="1203" t="s">
        <v>2394</v>
      </c>
      <c r="C56" s="1203">
        <v>14930</v>
      </c>
      <c r="D56" s="1203">
        <v>15850</v>
      </c>
      <c r="E56" s="1203">
        <v>14320</v>
      </c>
      <c r="F56" s="1236">
        <v>3960</v>
      </c>
    </row>
    <row r="57" spans="1:14" ht="14.25" customHeight="1">
      <c r="A57" s="1199" t="s">
        <v>261</v>
      </c>
      <c r="B57" s="1203" t="s">
        <v>2404</v>
      </c>
      <c r="C57" s="1203">
        <v>16160</v>
      </c>
      <c r="D57" s="1203">
        <v>16190</v>
      </c>
      <c r="E57" s="1203">
        <v>15650</v>
      </c>
      <c r="F57" s="1236">
        <v>4200</v>
      </c>
    </row>
    <row r="58" spans="1:14" ht="14.25" customHeight="1">
      <c r="A58" s="1199" t="s">
        <v>261</v>
      </c>
      <c r="B58" s="1203" t="s">
        <v>2414</v>
      </c>
      <c r="C58" s="1203">
        <v>16360</v>
      </c>
      <c r="D58" s="1203">
        <v>14050</v>
      </c>
      <c r="E58" s="1203">
        <v>16070</v>
      </c>
      <c r="F58" s="1236">
        <v>3990</v>
      </c>
    </row>
    <row r="59" spans="1:14" ht="14.25" customHeight="1">
      <c r="A59" s="1199" t="s">
        <v>261</v>
      </c>
      <c r="B59" s="1203" t="s">
        <v>2424</v>
      </c>
      <c r="C59" s="1203">
        <v>14160</v>
      </c>
      <c r="D59" s="1203">
        <v>16620</v>
      </c>
      <c r="E59" s="1203">
        <v>13940</v>
      </c>
      <c r="F59" s="1236">
        <v>4260</v>
      </c>
    </row>
    <row r="60" spans="1:14" ht="14.25" customHeight="1">
      <c r="A60" s="1199" t="s">
        <v>261</v>
      </c>
      <c r="B60" s="1203" t="s">
        <v>2434</v>
      </c>
      <c r="C60" s="1203">
        <v>16750</v>
      </c>
      <c r="D60" s="1203">
        <v>13910</v>
      </c>
      <c r="E60" s="1203">
        <v>16550</v>
      </c>
      <c r="F60" s="1236">
        <v>4550</v>
      </c>
    </row>
    <row r="61" spans="1:14" ht="14.25" customHeight="1">
      <c r="A61" s="1199" t="s">
        <v>261</v>
      </c>
      <c r="B61" s="1203" t="s">
        <v>2444</v>
      </c>
      <c r="C61" s="1203">
        <v>14000</v>
      </c>
      <c r="D61" s="1203">
        <v>14550</v>
      </c>
      <c r="E61" s="1203">
        <v>13860</v>
      </c>
      <c r="F61" s="1239"/>
    </row>
    <row r="62" spans="1:14" ht="14.25" customHeight="1">
      <c r="A62" s="1199" t="s">
        <v>261</v>
      </c>
      <c r="B62" s="1203" t="s">
        <v>2454</v>
      </c>
      <c r="C62" s="1203">
        <v>14660</v>
      </c>
      <c r="D62" s="1203">
        <v>17450</v>
      </c>
      <c r="E62" s="1203">
        <v>14470</v>
      </c>
      <c r="F62" s="1239"/>
    </row>
    <row r="63" spans="1:14" ht="14.25" customHeight="1">
      <c r="A63" s="1199" t="s">
        <v>261</v>
      </c>
      <c r="B63" s="1203" t="s">
        <v>2464</v>
      </c>
      <c r="C63" s="1203">
        <v>17610</v>
      </c>
      <c r="D63" s="1203">
        <v>16500</v>
      </c>
      <c r="E63" s="1203">
        <v>17330</v>
      </c>
      <c r="F63" s="1239"/>
    </row>
    <row r="64" spans="1:14" ht="14.25" customHeight="1">
      <c r="A64" s="1199" t="s">
        <v>261</v>
      </c>
      <c r="B64" s="1203" t="s">
        <v>2474</v>
      </c>
      <c r="C64" s="1203">
        <v>16590</v>
      </c>
      <c r="D64" s="1203">
        <v>15130</v>
      </c>
      <c r="E64" s="1203">
        <v>16420</v>
      </c>
      <c r="F64" s="1239"/>
    </row>
    <row r="65" spans="1:6" s="1225" customFormat="1" ht="14.25" customHeight="1">
      <c r="A65" s="1199" t="s">
        <v>261</v>
      </c>
      <c r="B65" s="1203" t="s">
        <v>2484</v>
      </c>
      <c r="C65" s="1203">
        <v>15220</v>
      </c>
      <c r="D65" s="1203">
        <v>14660</v>
      </c>
      <c r="E65" s="1203">
        <v>15060</v>
      </c>
      <c r="F65" s="1236"/>
    </row>
    <row r="66" spans="1:6" s="1225" customFormat="1" ht="14.25" customHeight="1">
      <c r="A66" s="1199" t="s">
        <v>261</v>
      </c>
      <c r="B66" s="1203" t="s">
        <v>2494</v>
      </c>
      <c r="C66" s="1203">
        <v>14720</v>
      </c>
      <c r="D66" s="1203">
        <v>15970</v>
      </c>
      <c r="E66" s="1203">
        <v>14610</v>
      </c>
      <c r="F66" s="1236"/>
    </row>
    <row r="67" spans="1:6" s="1225" customFormat="1" ht="14.25" customHeight="1">
      <c r="A67" s="1199" t="s">
        <v>261</v>
      </c>
      <c r="B67" s="1203" t="s">
        <v>2504</v>
      </c>
      <c r="C67" s="1203">
        <v>16080</v>
      </c>
      <c r="D67" s="1203">
        <v>14840</v>
      </c>
      <c r="E67" s="1203">
        <v>15630</v>
      </c>
      <c r="F67" s="1236"/>
    </row>
    <row r="68" spans="1:6" s="1225" customFormat="1" ht="14.25" customHeight="1">
      <c r="A68" s="1199" t="s">
        <v>261</v>
      </c>
      <c r="B68" s="1203" t="s">
        <v>2513</v>
      </c>
      <c r="C68" s="1203">
        <v>14940</v>
      </c>
      <c r="D68" s="1203">
        <v>18000</v>
      </c>
      <c r="E68" s="1203">
        <v>14040</v>
      </c>
      <c r="F68" s="1236"/>
    </row>
    <row r="69" spans="1:6" s="1225" customFormat="1" ht="14.25" customHeight="1">
      <c r="A69" s="1199" t="s">
        <v>261</v>
      </c>
      <c r="B69" s="1203" t="s">
        <v>2521</v>
      </c>
      <c r="C69" s="1203">
        <v>18810</v>
      </c>
      <c r="D69" s="1203">
        <v>15100</v>
      </c>
      <c r="E69" s="1203">
        <v>14710</v>
      </c>
      <c r="F69" s="1236"/>
    </row>
    <row r="70" spans="1:6" s="1225" customFormat="1" ht="14.25" customHeight="1">
      <c r="A70" s="1199" t="s">
        <v>261</v>
      </c>
      <c r="B70" s="1203" t="s">
        <v>2529</v>
      </c>
      <c r="C70" s="1203">
        <v>18270</v>
      </c>
      <c r="D70" s="1203"/>
      <c r="E70" s="1203"/>
      <c r="F70" s="1236"/>
    </row>
    <row r="71" spans="1:6" s="1225" customFormat="1" ht="14.25" customHeight="1">
      <c r="A71" s="1199" t="s">
        <v>261</v>
      </c>
      <c r="B71" s="1203" t="s">
        <v>2536</v>
      </c>
      <c r="C71" s="1203">
        <v>15230</v>
      </c>
      <c r="D71" s="1203"/>
      <c r="E71" s="1203"/>
      <c r="F71" s="1236"/>
    </row>
    <row r="72" spans="1:6" s="1225" customFormat="1" ht="14.25" customHeight="1">
      <c r="A72" s="1199" t="s">
        <v>261</v>
      </c>
      <c r="B72" s="1203" t="s">
        <v>2543</v>
      </c>
      <c r="C72" s="1203"/>
      <c r="D72" s="1203"/>
      <c r="E72" s="1203"/>
      <c r="F72" s="1236">
        <v>4120</v>
      </c>
    </row>
    <row r="73" spans="1:6" s="1225" customFormat="1" ht="14.25" customHeight="1">
      <c r="A73" s="1199" t="s">
        <v>261</v>
      </c>
      <c r="B73" s="1203" t="s">
        <v>2550</v>
      </c>
      <c r="C73" s="1203"/>
      <c r="D73" s="1203"/>
      <c r="E73" s="1203"/>
      <c r="F73" s="1236">
        <v>3930</v>
      </c>
    </row>
    <row r="74" spans="1:6" s="1225" customFormat="1" ht="14.25" customHeight="1">
      <c r="A74" s="1199" t="s">
        <v>261</v>
      </c>
      <c r="B74" s="1203" t="s">
        <v>2557</v>
      </c>
      <c r="C74" s="1203"/>
      <c r="D74" s="1203"/>
      <c r="E74" s="1203"/>
      <c r="F74" s="1236">
        <v>4060</v>
      </c>
    </row>
    <row r="75" spans="1:6" s="1225" customFormat="1" ht="14.25" customHeight="1">
      <c r="A75" s="1199" t="s">
        <v>261</v>
      </c>
      <c r="B75" s="1214" t="s">
        <v>2564</v>
      </c>
      <c r="C75" s="1214"/>
      <c r="D75" s="1214"/>
      <c r="E75" s="1214"/>
      <c r="F75" s="1238">
        <v>3750</v>
      </c>
    </row>
    <row r="76" spans="1:6" s="1225" customFormat="1" ht="14.25" customHeight="1">
      <c r="A76" s="1199" t="s">
        <v>269</v>
      </c>
      <c r="B76" s="1200" t="s">
        <v>2312</v>
      </c>
      <c r="C76" s="1200">
        <v>14690</v>
      </c>
      <c r="D76" s="1200">
        <v>14640</v>
      </c>
      <c r="E76" s="1200">
        <v>14590</v>
      </c>
      <c r="F76" s="1233">
        <v>3060</v>
      </c>
    </row>
    <row r="77" spans="1:6" s="1225" customFormat="1" ht="14.25" customHeight="1">
      <c r="A77" s="1199" t="s">
        <v>269</v>
      </c>
      <c r="B77" s="1203" t="s">
        <v>2324</v>
      </c>
      <c r="C77" s="1203">
        <v>12550</v>
      </c>
      <c r="D77" s="1203">
        <v>12480</v>
      </c>
      <c r="E77" s="1203">
        <v>12450</v>
      </c>
      <c r="F77" s="1236">
        <v>2590</v>
      </c>
    </row>
    <row r="78" spans="1:6" s="1225" customFormat="1" ht="14.25" customHeight="1">
      <c r="A78" s="1199" t="s">
        <v>269</v>
      </c>
      <c r="B78" s="1203" t="s">
        <v>2338</v>
      </c>
      <c r="C78" s="1203">
        <v>14360</v>
      </c>
      <c r="D78" s="1203">
        <v>14320</v>
      </c>
      <c r="E78" s="1203">
        <v>12510</v>
      </c>
      <c r="F78" s="1236">
        <v>2700</v>
      </c>
    </row>
    <row r="79" spans="1:6" s="1225" customFormat="1" ht="14.25" customHeight="1">
      <c r="A79" s="1199" t="s">
        <v>269</v>
      </c>
      <c r="B79" s="1203" t="s">
        <v>2350</v>
      </c>
      <c r="C79" s="1203">
        <v>12590</v>
      </c>
      <c r="D79" s="1203">
        <v>12540</v>
      </c>
      <c r="E79" s="1203">
        <v>12350</v>
      </c>
      <c r="F79" s="1236">
        <v>2740</v>
      </c>
    </row>
    <row r="80" spans="1:6" s="1225" customFormat="1" ht="14.25" customHeight="1">
      <c r="A80" s="1199" t="s">
        <v>269</v>
      </c>
      <c r="B80" s="1203" t="s">
        <v>2362</v>
      </c>
      <c r="C80" s="1203">
        <v>12450</v>
      </c>
      <c r="D80" s="1203">
        <v>12370</v>
      </c>
      <c r="E80" s="1203">
        <v>10790</v>
      </c>
      <c r="F80" s="1236">
        <v>2290</v>
      </c>
    </row>
    <row r="81" spans="1:6" s="1225" customFormat="1" ht="14.25" customHeight="1">
      <c r="A81" s="1199" t="s">
        <v>269</v>
      </c>
      <c r="B81" s="1203" t="s">
        <v>2373</v>
      </c>
      <c r="C81" s="1203">
        <v>14210</v>
      </c>
      <c r="D81" s="1203">
        <v>14150</v>
      </c>
      <c r="E81" s="1203">
        <v>12730</v>
      </c>
      <c r="F81" s="1236">
        <v>2240</v>
      </c>
    </row>
    <row r="82" spans="1:6" s="1225" customFormat="1" ht="14.25" customHeight="1">
      <c r="A82" s="1199" t="s">
        <v>269</v>
      </c>
      <c r="B82" s="1203" t="s">
        <v>2384</v>
      </c>
      <c r="C82" s="1203">
        <v>10860</v>
      </c>
      <c r="D82" s="1203">
        <v>10820</v>
      </c>
      <c r="E82" s="1203">
        <v>14720</v>
      </c>
      <c r="F82" s="1236">
        <v>2490</v>
      </c>
    </row>
    <row r="83" spans="1:6" s="1225" customFormat="1" ht="14.25" customHeight="1">
      <c r="A83" s="1199" t="s">
        <v>269</v>
      </c>
      <c r="B83" s="1203" t="s">
        <v>2395</v>
      </c>
      <c r="C83" s="1203">
        <v>12810</v>
      </c>
      <c r="D83" s="1203">
        <v>12760</v>
      </c>
      <c r="E83" s="1203">
        <v>14830</v>
      </c>
      <c r="F83" s="1236">
        <v>2450</v>
      </c>
    </row>
    <row r="84" spans="1:6" s="1225" customFormat="1" ht="14.25" customHeight="1">
      <c r="A84" s="1199" t="s">
        <v>269</v>
      </c>
      <c r="B84" s="1203" t="s">
        <v>2405</v>
      </c>
      <c r="C84" s="1203">
        <v>14950</v>
      </c>
      <c r="D84" s="1203">
        <v>14810</v>
      </c>
      <c r="E84" s="1203">
        <v>12590</v>
      </c>
      <c r="F84" s="1236">
        <v>2540</v>
      </c>
    </row>
    <row r="85" spans="1:6" s="1225" customFormat="1" ht="14.25" customHeight="1">
      <c r="A85" s="1199" t="s">
        <v>269</v>
      </c>
      <c r="B85" s="1203" t="s">
        <v>2415</v>
      </c>
      <c r="C85" s="1203">
        <v>14960</v>
      </c>
      <c r="D85" s="1203">
        <v>14890</v>
      </c>
      <c r="E85" s="1203">
        <v>12840</v>
      </c>
      <c r="F85" s="1236">
        <v>2840</v>
      </c>
    </row>
    <row r="86" spans="1:6" s="1225" customFormat="1" ht="14.25" customHeight="1">
      <c r="A86" s="1199" t="s">
        <v>269</v>
      </c>
      <c r="B86" s="1203" t="s">
        <v>2425</v>
      </c>
      <c r="C86" s="1203">
        <v>12730</v>
      </c>
      <c r="D86" s="1203">
        <v>12660</v>
      </c>
      <c r="E86" s="1203">
        <v>13310</v>
      </c>
      <c r="F86" s="1236">
        <v>3140</v>
      </c>
    </row>
    <row r="87" spans="1:6" s="1225" customFormat="1" ht="14.25" customHeight="1">
      <c r="A87" s="1199" t="s">
        <v>269</v>
      </c>
      <c r="B87" s="1203" t="s">
        <v>2435</v>
      </c>
      <c r="C87" s="1203">
        <v>12940</v>
      </c>
      <c r="D87" s="1203">
        <v>12890</v>
      </c>
      <c r="E87" s="1203">
        <v>11580</v>
      </c>
      <c r="F87" s="1239"/>
    </row>
    <row r="88" spans="1:6" s="1225" customFormat="1" ht="14.25" customHeight="1">
      <c r="A88" s="1199" t="s">
        <v>269</v>
      </c>
      <c r="B88" s="1203" t="s">
        <v>2445</v>
      </c>
      <c r="C88" s="1203">
        <v>13430</v>
      </c>
      <c r="D88" s="1203">
        <v>13360</v>
      </c>
      <c r="E88" s="1203">
        <v>12790</v>
      </c>
      <c r="F88" s="1239"/>
    </row>
    <row r="89" spans="1:6" s="1225" customFormat="1" ht="14.25" customHeight="1">
      <c r="A89" s="1199" t="s">
        <v>269</v>
      </c>
      <c r="B89" s="1203" t="s">
        <v>2455</v>
      </c>
      <c r="C89" s="1203">
        <v>11680</v>
      </c>
      <c r="D89" s="1203">
        <v>11630</v>
      </c>
      <c r="E89" s="1203">
        <v>11320</v>
      </c>
      <c r="F89" s="1239"/>
    </row>
    <row r="90" spans="1:6" s="1225" customFormat="1" ht="14.25" customHeight="1">
      <c r="A90" s="1199" t="s">
        <v>269</v>
      </c>
      <c r="B90" s="1203" t="s">
        <v>2465</v>
      </c>
      <c r="C90" s="1203">
        <v>12890</v>
      </c>
      <c r="D90" s="1203">
        <v>12820</v>
      </c>
      <c r="E90" s="1203">
        <v>12710</v>
      </c>
      <c r="F90" s="1239"/>
    </row>
    <row r="91" spans="1:6" s="1225" customFormat="1" ht="14.25" customHeight="1">
      <c r="A91" s="1199" t="s">
        <v>269</v>
      </c>
      <c r="B91" s="1203" t="s">
        <v>2475</v>
      </c>
      <c r="C91" s="1203">
        <v>11410</v>
      </c>
      <c r="D91" s="1203">
        <v>11360</v>
      </c>
      <c r="E91" s="1203">
        <v>12670</v>
      </c>
      <c r="F91" s="1239"/>
    </row>
    <row r="92" spans="1:6" s="1225" customFormat="1" ht="14.25" customHeight="1">
      <c r="A92" s="1199" t="s">
        <v>269</v>
      </c>
      <c r="B92" s="1203" t="s">
        <v>2485</v>
      </c>
      <c r="C92" s="1203">
        <v>12770</v>
      </c>
      <c r="D92" s="1203">
        <v>12740</v>
      </c>
      <c r="E92" s="1203">
        <v>11970</v>
      </c>
      <c r="F92" s="1239"/>
    </row>
    <row r="93" spans="1:6" s="1225" customFormat="1" ht="14.25" customHeight="1">
      <c r="A93" s="1199" t="s">
        <v>269</v>
      </c>
      <c r="B93" s="1203" t="s">
        <v>2495</v>
      </c>
      <c r="C93" s="1203">
        <v>12740</v>
      </c>
      <c r="D93" s="1203">
        <v>12700</v>
      </c>
      <c r="E93" s="1203">
        <v>12540</v>
      </c>
      <c r="F93" s="1239"/>
    </row>
    <row r="94" spans="1:6" s="1225" customFormat="1" ht="14.25" customHeight="1">
      <c r="A94" s="1199" t="s">
        <v>269</v>
      </c>
      <c r="B94" s="1203" t="s">
        <v>2505</v>
      </c>
      <c r="C94" s="1203">
        <v>12020</v>
      </c>
      <c r="D94" s="1203">
        <v>11990</v>
      </c>
      <c r="E94" s="1203">
        <v>13110</v>
      </c>
      <c r="F94" s="1239"/>
    </row>
    <row r="95" spans="1:6" s="1225" customFormat="1" ht="14.25" customHeight="1">
      <c r="A95" s="1199" t="s">
        <v>269</v>
      </c>
      <c r="B95" s="1203" t="s">
        <v>2514</v>
      </c>
      <c r="C95" s="1203">
        <v>12620</v>
      </c>
      <c r="D95" s="1203">
        <v>12580</v>
      </c>
      <c r="E95" s="1203">
        <v>13160</v>
      </c>
      <c r="F95" s="1236"/>
    </row>
    <row r="96" spans="1:6" s="1225" customFormat="1" ht="14.25" customHeight="1">
      <c r="A96" s="1199" t="s">
        <v>269</v>
      </c>
      <c r="B96" s="1203" t="s">
        <v>2522</v>
      </c>
      <c r="C96" s="1203">
        <v>13200</v>
      </c>
      <c r="D96" s="1203">
        <v>13150</v>
      </c>
      <c r="E96" s="1203">
        <v>12900</v>
      </c>
      <c r="F96" s="1236"/>
    </row>
    <row r="97" spans="1:6" s="1225" customFormat="1" ht="14.25" customHeight="1">
      <c r="A97" s="1199" t="s">
        <v>269</v>
      </c>
      <c r="B97" s="1203" t="s">
        <v>2530</v>
      </c>
      <c r="C97" s="1203">
        <v>13270</v>
      </c>
      <c r="D97" s="1203">
        <v>13210</v>
      </c>
      <c r="E97" s="1203">
        <v>11080</v>
      </c>
      <c r="F97" s="1236"/>
    </row>
    <row r="98" spans="1:6" s="1225" customFormat="1" ht="14.25" customHeight="1">
      <c r="A98" s="1199" t="s">
        <v>269</v>
      </c>
      <c r="B98" s="1203" t="s">
        <v>2537</v>
      </c>
      <c r="C98" s="1203">
        <v>13010</v>
      </c>
      <c r="D98" s="1203">
        <v>12930</v>
      </c>
      <c r="E98" s="1203">
        <v>12840</v>
      </c>
      <c r="F98" s="1236"/>
    </row>
    <row r="99" spans="1:6" s="1225" customFormat="1" ht="14.25" customHeight="1">
      <c r="A99" s="1199" t="s">
        <v>269</v>
      </c>
      <c r="B99" s="1203" t="s">
        <v>2544</v>
      </c>
      <c r="C99" s="1203">
        <v>11190</v>
      </c>
      <c r="D99" s="1203">
        <v>11130</v>
      </c>
      <c r="E99" s="1203"/>
      <c r="F99" s="1236"/>
    </row>
    <row r="100" spans="1:6" s="1225" customFormat="1" ht="14.25" customHeight="1">
      <c r="A100" s="1199" t="s">
        <v>269</v>
      </c>
      <c r="B100" s="1203" t="s">
        <v>2551</v>
      </c>
      <c r="C100" s="1203">
        <v>14280</v>
      </c>
      <c r="D100" s="1203">
        <v>14180</v>
      </c>
      <c r="E100" s="1203"/>
      <c r="F100" s="1236"/>
    </row>
    <row r="101" spans="1:6" s="1225" customFormat="1" ht="14.25" customHeight="1">
      <c r="A101" s="1199" t="s">
        <v>269</v>
      </c>
      <c r="B101" s="1203" t="s">
        <v>2558</v>
      </c>
      <c r="C101" s="1203">
        <v>12960</v>
      </c>
      <c r="D101" s="1203">
        <v>12890</v>
      </c>
      <c r="E101" s="1203"/>
      <c r="F101" s="1236"/>
    </row>
    <row r="102" spans="1:6" s="1225" customFormat="1" ht="14.25" customHeight="1">
      <c r="A102" s="1199" t="s">
        <v>269</v>
      </c>
      <c r="B102" s="1203" t="s">
        <v>2565</v>
      </c>
      <c r="C102" s="1203"/>
      <c r="D102" s="1203"/>
      <c r="E102" s="1203"/>
      <c r="F102" s="1236">
        <v>3100</v>
      </c>
    </row>
    <row r="103" spans="1:6" s="1225" customFormat="1" ht="14.25" customHeight="1">
      <c r="A103" s="1199" t="s">
        <v>269</v>
      </c>
      <c r="B103" s="1203" t="s">
        <v>2570</v>
      </c>
      <c r="C103" s="1203"/>
      <c r="D103" s="1203"/>
      <c r="E103" s="1203"/>
      <c r="F103" s="1236">
        <v>2320</v>
      </c>
    </row>
    <row r="104" spans="1:6" s="1225" customFormat="1" ht="14.25" customHeight="1">
      <c r="A104" s="1199" t="s">
        <v>269</v>
      </c>
      <c r="B104" s="1203" t="s">
        <v>2575</v>
      </c>
      <c r="C104" s="1203"/>
      <c r="D104" s="1203"/>
      <c r="E104" s="1203"/>
      <c r="F104" s="1236">
        <v>2320</v>
      </c>
    </row>
    <row r="105" spans="1:6" s="1225" customFormat="1" ht="14.25" customHeight="1">
      <c r="A105" s="1199" t="s">
        <v>269</v>
      </c>
      <c r="B105" s="1203" t="s">
        <v>2580</v>
      </c>
      <c r="C105" s="1203"/>
      <c r="D105" s="1203"/>
      <c r="E105" s="1203"/>
      <c r="F105" s="1236">
        <v>2320</v>
      </c>
    </row>
    <row r="106" spans="1:6" s="1225" customFormat="1" ht="14.25" customHeight="1">
      <c r="A106" s="1199" t="s">
        <v>269</v>
      </c>
      <c r="B106" s="1203" t="s">
        <v>2585</v>
      </c>
      <c r="C106" s="1203"/>
      <c r="D106" s="1203"/>
      <c r="E106" s="1203"/>
      <c r="F106" s="1236">
        <v>2320</v>
      </c>
    </row>
    <row r="107" spans="1:6" s="1225" customFormat="1" ht="14.25" customHeight="1">
      <c r="A107" s="1199" t="s">
        <v>269</v>
      </c>
      <c r="B107" s="1203" t="s">
        <v>2590</v>
      </c>
      <c r="C107" s="1203"/>
      <c r="D107" s="1203"/>
      <c r="E107" s="1203"/>
      <c r="F107" s="1236">
        <v>2280</v>
      </c>
    </row>
    <row r="108" spans="1:6" s="1225" customFormat="1" ht="14.25" customHeight="1">
      <c r="A108" s="1199" t="s">
        <v>269</v>
      </c>
      <c r="B108" s="1203" t="s">
        <v>2595</v>
      </c>
      <c r="C108" s="1203"/>
      <c r="D108" s="1203"/>
      <c r="E108" s="1203"/>
      <c r="F108" s="1236">
        <v>2280</v>
      </c>
    </row>
    <row r="109" spans="1:6" s="1225" customFormat="1" ht="14.25" customHeight="1">
      <c r="A109" s="1199" t="s">
        <v>269</v>
      </c>
      <c r="B109" s="1214" t="s">
        <v>2600</v>
      </c>
      <c r="C109" s="1214"/>
      <c r="D109" s="1214"/>
      <c r="E109" s="1214"/>
      <c r="F109" s="1238">
        <v>2280</v>
      </c>
    </row>
    <row r="110" spans="1:6" s="1225" customFormat="1" ht="14.25" customHeight="1">
      <c r="A110" s="1199" t="s">
        <v>275</v>
      </c>
      <c r="B110" s="1200" t="s">
        <v>2313</v>
      </c>
      <c r="C110" s="1200">
        <v>10520</v>
      </c>
      <c r="D110" s="1200">
        <v>10490</v>
      </c>
      <c r="E110" s="1200">
        <v>10760</v>
      </c>
      <c r="F110" s="1233">
        <v>2160</v>
      </c>
    </row>
    <row r="111" spans="1:6" s="1225" customFormat="1" ht="14.25" customHeight="1">
      <c r="A111" s="1199" t="s">
        <v>275</v>
      </c>
      <c r="B111" s="1203" t="s">
        <v>2325</v>
      </c>
      <c r="C111" s="1203">
        <v>10090</v>
      </c>
      <c r="D111" s="1203">
        <v>10060</v>
      </c>
      <c r="E111" s="1203">
        <v>10300</v>
      </c>
      <c r="F111" s="1236">
        <v>2010</v>
      </c>
    </row>
    <row r="112" spans="1:6" s="1225" customFormat="1" ht="14.25" customHeight="1">
      <c r="A112" s="1199" t="s">
        <v>275</v>
      </c>
      <c r="B112" s="1203" t="s">
        <v>2339</v>
      </c>
      <c r="C112" s="1203">
        <v>9910</v>
      </c>
      <c r="D112" s="1203">
        <v>9850</v>
      </c>
      <c r="E112" s="1203">
        <v>9960</v>
      </c>
      <c r="F112" s="1236">
        <v>2090</v>
      </c>
    </row>
    <row r="113" spans="1:6" s="1225" customFormat="1" ht="14.25" customHeight="1">
      <c r="A113" s="1199" t="s">
        <v>275</v>
      </c>
      <c r="B113" s="1203" t="s">
        <v>2351</v>
      </c>
      <c r="C113" s="1203">
        <v>11430</v>
      </c>
      <c r="D113" s="1203">
        <v>11400</v>
      </c>
      <c r="E113" s="1203">
        <v>11710</v>
      </c>
      <c r="F113" s="1236">
        <v>2050</v>
      </c>
    </row>
    <row r="114" spans="1:6" s="1225" customFormat="1" ht="14.25" customHeight="1">
      <c r="A114" s="1199" t="s">
        <v>275</v>
      </c>
      <c r="B114" s="1203" t="s">
        <v>2363</v>
      </c>
      <c r="C114" s="1203">
        <v>11390</v>
      </c>
      <c r="D114" s="1203">
        <v>11350</v>
      </c>
      <c r="E114" s="1203">
        <v>11640</v>
      </c>
      <c r="F114" s="1236">
        <v>1620</v>
      </c>
    </row>
    <row r="115" spans="1:6" s="1225" customFormat="1" ht="14.25" customHeight="1">
      <c r="A115" s="1199" t="s">
        <v>275</v>
      </c>
      <c r="B115" s="1203" t="s">
        <v>2374</v>
      </c>
      <c r="C115" s="1203">
        <v>9930</v>
      </c>
      <c r="D115" s="1203">
        <v>9900</v>
      </c>
      <c r="E115" s="1203">
        <v>10160</v>
      </c>
      <c r="F115" s="1236">
        <v>1580</v>
      </c>
    </row>
    <row r="116" spans="1:6" s="1225" customFormat="1" ht="14.25" customHeight="1">
      <c r="A116" s="1199" t="s">
        <v>275</v>
      </c>
      <c r="B116" s="1203" t="s">
        <v>2385</v>
      </c>
      <c r="C116" s="1203">
        <v>9150</v>
      </c>
      <c r="D116" s="1203">
        <v>9120</v>
      </c>
      <c r="E116" s="1203">
        <v>9380</v>
      </c>
      <c r="F116" s="1236">
        <v>1750</v>
      </c>
    </row>
    <row r="117" spans="1:6" s="1225" customFormat="1" ht="14.25" customHeight="1">
      <c r="A117" s="1199" t="s">
        <v>275</v>
      </c>
      <c r="B117" s="1203" t="s">
        <v>2396</v>
      </c>
      <c r="C117" s="1203">
        <v>10680</v>
      </c>
      <c r="D117" s="1203">
        <v>10650</v>
      </c>
      <c r="E117" s="1203">
        <v>10970</v>
      </c>
      <c r="F117" s="1236">
        <v>1730</v>
      </c>
    </row>
    <row r="118" spans="1:6" s="1225" customFormat="1" ht="14.25" customHeight="1">
      <c r="A118" s="1199" t="s">
        <v>275</v>
      </c>
      <c r="B118" s="1203" t="s">
        <v>2406</v>
      </c>
      <c r="C118" s="1203">
        <v>10080</v>
      </c>
      <c r="D118" s="1203">
        <v>10050</v>
      </c>
      <c r="E118" s="1203">
        <v>10350</v>
      </c>
      <c r="F118" s="1236">
        <v>1920</v>
      </c>
    </row>
    <row r="119" spans="1:6" s="1225" customFormat="1" ht="14.25" customHeight="1">
      <c r="A119" s="1199" t="s">
        <v>275</v>
      </c>
      <c r="B119" s="1203" t="s">
        <v>2416</v>
      </c>
      <c r="C119" s="1203">
        <v>9450</v>
      </c>
      <c r="D119" s="1203">
        <v>9410</v>
      </c>
      <c r="E119" s="1203">
        <v>9680</v>
      </c>
      <c r="F119" s="1236">
        <v>1880</v>
      </c>
    </row>
    <row r="120" spans="1:6" s="1225" customFormat="1" ht="14.25" customHeight="1">
      <c r="A120" s="1199" t="s">
        <v>275</v>
      </c>
      <c r="B120" s="1203" t="s">
        <v>2426</v>
      </c>
      <c r="C120" s="1203">
        <v>8730</v>
      </c>
      <c r="D120" s="1203">
        <v>8700</v>
      </c>
      <c r="E120" s="1203">
        <v>8950</v>
      </c>
      <c r="F120" s="1236">
        <v>1830</v>
      </c>
    </row>
    <row r="121" spans="1:6" s="1225" customFormat="1" ht="14.25" customHeight="1">
      <c r="A121" s="1199" t="s">
        <v>275</v>
      </c>
      <c r="B121" s="1203" t="s">
        <v>2436</v>
      </c>
      <c r="C121" s="1203">
        <v>10070</v>
      </c>
      <c r="D121" s="1203">
        <v>10040</v>
      </c>
      <c r="E121" s="1203">
        <v>10270</v>
      </c>
      <c r="F121" s="1236">
        <v>1960</v>
      </c>
    </row>
    <row r="122" spans="1:6" s="1225" customFormat="1" ht="14.25" customHeight="1">
      <c r="A122" s="1199" t="s">
        <v>275</v>
      </c>
      <c r="B122" s="1203" t="s">
        <v>2446</v>
      </c>
      <c r="C122" s="1203">
        <v>10500</v>
      </c>
      <c r="D122" s="1203">
        <v>10470</v>
      </c>
      <c r="E122" s="1203">
        <v>10780</v>
      </c>
      <c r="F122" s="1236">
        <v>2180</v>
      </c>
    </row>
    <row r="123" spans="1:6" s="1225" customFormat="1" ht="14.25" customHeight="1">
      <c r="A123" s="1199" t="s">
        <v>275</v>
      </c>
      <c r="B123" s="1203" t="s">
        <v>2456</v>
      </c>
      <c r="C123" s="1203">
        <v>10390</v>
      </c>
      <c r="D123" s="1203">
        <v>10360</v>
      </c>
      <c r="E123" s="1203">
        <v>10660</v>
      </c>
      <c r="F123" s="1236">
        <v>2040</v>
      </c>
    </row>
    <row r="124" spans="1:6" s="1225" customFormat="1" ht="14.25" customHeight="1">
      <c r="A124" s="1199" t="s">
        <v>275</v>
      </c>
      <c r="B124" s="1203" t="s">
        <v>2466</v>
      </c>
      <c r="C124" s="1203">
        <v>10390</v>
      </c>
      <c r="D124" s="1203">
        <v>10360</v>
      </c>
      <c r="E124" s="1203">
        <v>10680</v>
      </c>
      <c r="F124" s="1239"/>
    </row>
    <row r="125" spans="1:6" s="1225" customFormat="1" ht="14.25" customHeight="1">
      <c r="A125" s="1199" t="s">
        <v>275</v>
      </c>
      <c r="B125" s="1203" t="s">
        <v>2476</v>
      </c>
      <c r="C125" s="1203">
        <v>10440</v>
      </c>
      <c r="D125" s="1203">
        <v>10410</v>
      </c>
      <c r="E125" s="1203">
        <v>10710</v>
      </c>
      <c r="F125" s="1239"/>
    </row>
    <row r="126" spans="1:6" s="1225" customFormat="1" ht="14.25" customHeight="1">
      <c r="A126" s="1199" t="s">
        <v>275</v>
      </c>
      <c r="B126" s="1203" t="s">
        <v>2486</v>
      </c>
      <c r="C126" s="1203">
        <v>10780</v>
      </c>
      <c r="D126" s="1203">
        <v>10750</v>
      </c>
      <c r="E126" s="1203">
        <v>11080</v>
      </c>
      <c r="F126" s="1239"/>
    </row>
    <row r="127" spans="1:6" s="1225" customFormat="1" ht="14.25" customHeight="1">
      <c r="A127" s="1199" t="s">
        <v>275</v>
      </c>
      <c r="B127" s="1203" t="s">
        <v>2496</v>
      </c>
      <c r="C127" s="1203">
        <v>10100</v>
      </c>
      <c r="D127" s="1203">
        <v>10070</v>
      </c>
      <c r="E127" s="1203">
        <v>10350</v>
      </c>
      <c r="F127" s="1239"/>
    </row>
    <row r="128" spans="1:6" s="1225" customFormat="1" ht="14.25" customHeight="1">
      <c r="A128" s="1199" t="s">
        <v>275</v>
      </c>
      <c r="B128" s="1203" t="s">
        <v>2506</v>
      </c>
      <c r="C128" s="1203">
        <v>9200</v>
      </c>
      <c r="D128" s="1203">
        <v>9160</v>
      </c>
      <c r="E128" s="1203">
        <v>9660</v>
      </c>
      <c r="F128" s="1239"/>
    </row>
    <row r="129" spans="1:6" s="1225" customFormat="1" ht="14.25" customHeight="1">
      <c r="A129" s="1199" t="s">
        <v>275</v>
      </c>
      <c r="B129" s="1203" t="s">
        <v>2515</v>
      </c>
      <c r="C129" s="1203">
        <v>10340</v>
      </c>
      <c r="D129" s="1203">
        <v>10310</v>
      </c>
      <c r="E129" s="1203">
        <v>10580</v>
      </c>
      <c r="F129" s="1239"/>
    </row>
    <row r="130" spans="1:6" s="1225" customFormat="1" ht="14.25" customHeight="1">
      <c r="A130" s="1199" t="s">
        <v>275</v>
      </c>
      <c r="B130" s="1203" t="s">
        <v>2523</v>
      </c>
      <c r="C130" s="1203">
        <v>9680</v>
      </c>
      <c r="D130" s="1203">
        <v>9660</v>
      </c>
      <c r="E130" s="1203">
        <v>9950</v>
      </c>
      <c r="F130" s="1239"/>
    </row>
    <row r="131" spans="1:6" s="1225" customFormat="1" ht="14.25" customHeight="1">
      <c r="A131" s="1199" t="s">
        <v>275</v>
      </c>
      <c r="B131" s="1203" t="s">
        <v>2531</v>
      </c>
      <c r="C131" s="1203">
        <v>9540</v>
      </c>
      <c r="D131" s="1203">
        <v>9510</v>
      </c>
      <c r="E131" s="1203">
        <v>9790</v>
      </c>
      <c r="F131" s="1239"/>
    </row>
    <row r="132" spans="1:6" s="1225" customFormat="1" ht="14.25" customHeight="1">
      <c r="A132" s="1199" t="s">
        <v>275</v>
      </c>
      <c r="B132" s="1203" t="s">
        <v>2538</v>
      </c>
      <c r="C132" s="1203">
        <v>9320</v>
      </c>
      <c r="D132" s="1203">
        <v>9290</v>
      </c>
      <c r="E132" s="1203">
        <v>9570</v>
      </c>
      <c r="F132" s="1239"/>
    </row>
    <row r="133" spans="1:6" s="1225" customFormat="1" ht="14.25" customHeight="1">
      <c r="A133" s="1199" t="s">
        <v>275</v>
      </c>
      <c r="B133" s="1203" t="s">
        <v>2545</v>
      </c>
      <c r="C133" s="1203">
        <v>10310</v>
      </c>
      <c r="D133" s="1203">
        <v>10280</v>
      </c>
      <c r="E133" s="1203">
        <v>10530</v>
      </c>
      <c r="F133" s="1239"/>
    </row>
    <row r="134" spans="1:6" s="1225" customFormat="1" ht="14.25" customHeight="1">
      <c r="A134" s="1199" t="s">
        <v>275</v>
      </c>
      <c r="B134" s="1203" t="s">
        <v>2552</v>
      </c>
      <c r="C134" s="1203">
        <v>10370</v>
      </c>
      <c r="D134" s="1203">
        <v>10310</v>
      </c>
      <c r="E134" s="1203">
        <v>10240</v>
      </c>
      <c r="F134" s="1236">
        <v>2060</v>
      </c>
    </row>
    <row r="135" spans="1:6" s="1225" customFormat="1" ht="14.25" customHeight="1">
      <c r="A135" s="1199" t="s">
        <v>275</v>
      </c>
      <c r="B135" s="1203" t="s">
        <v>2559</v>
      </c>
      <c r="C135" s="1203">
        <v>9300</v>
      </c>
      <c r="D135" s="1203">
        <v>9270</v>
      </c>
      <c r="E135" s="1203">
        <v>9350</v>
      </c>
      <c r="F135" s="1239"/>
    </row>
    <row r="136" spans="1:6" s="1225" customFormat="1" ht="14.25" customHeight="1">
      <c r="A136" s="1199" t="s">
        <v>275</v>
      </c>
      <c r="B136" s="1203" t="s">
        <v>2566</v>
      </c>
      <c r="C136" s="1203">
        <v>10160</v>
      </c>
      <c r="D136" s="1203">
        <v>10110</v>
      </c>
      <c r="E136" s="1203">
        <v>10080</v>
      </c>
      <c r="F136" s="1239"/>
    </row>
    <row r="137" spans="1:6" s="1225" customFormat="1" ht="14.25" customHeight="1">
      <c r="A137" s="1199" t="s">
        <v>275</v>
      </c>
      <c r="B137" s="1203" t="s">
        <v>2571</v>
      </c>
      <c r="C137" s="1203">
        <v>9200</v>
      </c>
      <c r="D137" s="1203">
        <v>9170</v>
      </c>
      <c r="E137" s="1203">
        <v>9450</v>
      </c>
      <c r="F137" s="1239"/>
    </row>
    <row r="138" spans="1:6" s="1225" customFormat="1" ht="14.25" customHeight="1">
      <c r="A138" s="1199" t="s">
        <v>275</v>
      </c>
      <c r="B138" s="1203" t="s">
        <v>2576</v>
      </c>
      <c r="C138" s="1203">
        <v>9690</v>
      </c>
      <c r="D138" s="1203">
        <v>9660</v>
      </c>
      <c r="E138" s="1203">
        <v>9840</v>
      </c>
      <c r="F138" s="1239"/>
    </row>
    <row r="139" spans="1:6" s="1225" customFormat="1" ht="14.25" customHeight="1">
      <c r="A139" s="1199" t="s">
        <v>275</v>
      </c>
      <c r="B139" s="1203" t="s">
        <v>2581</v>
      </c>
      <c r="C139" s="1203">
        <v>10290</v>
      </c>
      <c r="D139" s="1203">
        <v>10260</v>
      </c>
      <c r="E139" s="1203">
        <v>10550</v>
      </c>
      <c r="F139" s="1236">
        <v>1700</v>
      </c>
    </row>
    <row r="140" spans="1:6" s="1225" customFormat="1" ht="14.25" customHeight="1">
      <c r="A140" s="1199" t="s">
        <v>275</v>
      </c>
      <c r="B140" s="1203" t="s">
        <v>2586</v>
      </c>
      <c r="C140" s="1203">
        <v>9740</v>
      </c>
      <c r="D140" s="1203">
        <v>9710</v>
      </c>
      <c r="E140" s="1203">
        <v>10000</v>
      </c>
      <c r="F140" s="1236">
        <v>2000</v>
      </c>
    </row>
    <row r="141" spans="1:6" s="1225" customFormat="1" ht="14.25" customHeight="1">
      <c r="A141" s="1199" t="s">
        <v>275</v>
      </c>
      <c r="B141" s="1203" t="s">
        <v>2591</v>
      </c>
      <c r="C141" s="1203">
        <v>9810</v>
      </c>
      <c r="D141" s="1203">
        <v>9770</v>
      </c>
      <c r="E141" s="1203">
        <v>10060</v>
      </c>
      <c r="F141" s="1239"/>
    </row>
    <row r="142" spans="1:6" s="1225" customFormat="1" ht="14.25" customHeight="1">
      <c r="A142" s="1199" t="s">
        <v>275</v>
      </c>
      <c r="B142" s="1203" t="s">
        <v>2596</v>
      </c>
      <c r="C142" s="1203">
        <v>9300</v>
      </c>
      <c r="D142" s="1203">
        <v>9270</v>
      </c>
      <c r="E142" s="1203">
        <v>9530</v>
      </c>
      <c r="F142" s="1239"/>
    </row>
    <row r="143" spans="1:6" s="1225" customFormat="1" ht="14.25" customHeight="1">
      <c r="A143" s="1199" t="s">
        <v>275</v>
      </c>
      <c r="B143" s="1203" t="s">
        <v>2601</v>
      </c>
      <c r="C143" s="1203">
        <v>10080</v>
      </c>
      <c r="D143" s="1203">
        <v>10050</v>
      </c>
      <c r="E143" s="1203">
        <v>10340</v>
      </c>
      <c r="F143" s="1239"/>
    </row>
    <row r="144" spans="1:6" s="1225" customFormat="1" ht="14.25" customHeight="1">
      <c r="A144" s="1199" t="s">
        <v>275</v>
      </c>
      <c r="B144" s="1203" t="s">
        <v>2605</v>
      </c>
      <c r="C144" s="1203">
        <v>9820</v>
      </c>
      <c r="D144" s="1203">
        <v>9750</v>
      </c>
      <c r="E144" s="1203">
        <v>9900</v>
      </c>
      <c r="F144" s="1239"/>
    </row>
    <row r="145" spans="1:6" s="1225" customFormat="1" ht="14.25" customHeight="1">
      <c r="A145" s="1199" t="s">
        <v>275</v>
      </c>
      <c r="B145" s="1203" t="s">
        <v>2609</v>
      </c>
      <c r="C145" s="1203"/>
      <c r="D145" s="1203"/>
      <c r="E145" s="1203"/>
      <c r="F145" s="1236">
        <v>1740</v>
      </c>
    </row>
    <row r="146" spans="1:6" s="1225" customFormat="1" ht="14.25" customHeight="1">
      <c r="A146" s="1199" t="s">
        <v>275</v>
      </c>
      <c r="B146" s="1203" t="s">
        <v>2613</v>
      </c>
      <c r="C146" s="1203"/>
      <c r="D146" s="1203"/>
      <c r="E146" s="1203"/>
      <c r="F146" s="1236">
        <v>1740</v>
      </c>
    </row>
    <row r="147" spans="1:6" s="1225" customFormat="1" ht="14.25" customHeight="1">
      <c r="A147" s="1199" t="s">
        <v>275</v>
      </c>
      <c r="B147" s="1203" t="s">
        <v>2617</v>
      </c>
      <c r="C147" s="1203"/>
      <c r="D147" s="1203"/>
      <c r="E147" s="1203"/>
      <c r="F147" s="1236">
        <v>1740</v>
      </c>
    </row>
    <row r="148" spans="1:6" s="1225" customFormat="1" ht="14.25" customHeight="1">
      <c r="A148" s="1199" t="s">
        <v>275</v>
      </c>
      <c r="B148" s="1203" t="s">
        <v>2621</v>
      </c>
      <c r="C148" s="1203"/>
      <c r="D148" s="1203"/>
      <c r="E148" s="1203"/>
      <c r="F148" s="1236">
        <v>1740</v>
      </c>
    </row>
    <row r="149" spans="1:6" s="1225" customFormat="1" ht="14.25" customHeight="1">
      <c r="A149" s="1199" t="s">
        <v>275</v>
      </c>
      <c r="B149" s="1203" t="s">
        <v>2625</v>
      </c>
      <c r="C149" s="1203"/>
      <c r="D149" s="1203"/>
      <c r="E149" s="1203"/>
      <c r="F149" s="1236">
        <v>1740</v>
      </c>
    </row>
    <row r="150" spans="1:6" s="1225" customFormat="1" ht="14.25" customHeight="1">
      <c r="A150" s="1199" t="s">
        <v>275</v>
      </c>
      <c r="B150" s="1203" t="s">
        <v>2628</v>
      </c>
      <c r="C150" s="1203"/>
      <c r="D150" s="1203"/>
      <c r="E150" s="1203"/>
      <c r="F150" s="1236">
        <v>1610</v>
      </c>
    </row>
    <row r="151" spans="1:6" s="1225" customFormat="1" ht="14.25" customHeight="1">
      <c r="A151" s="1199" t="s">
        <v>275</v>
      </c>
      <c r="B151" s="1203" t="s">
        <v>2631</v>
      </c>
      <c r="C151" s="1203"/>
      <c r="D151" s="1203"/>
      <c r="E151" s="1203"/>
      <c r="F151" s="1236">
        <v>1610</v>
      </c>
    </row>
    <row r="152" spans="1:6" s="1225" customFormat="1" ht="14.25" customHeight="1">
      <c r="A152" s="1199" t="s">
        <v>275</v>
      </c>
      <c r="B152" s="1203" t="s">
        <v>2634</v>
      </c>
      <c r="C152" s="1203"/>
      <c r="D152" s="1203"/>
      <c r="E152" s="1203"/>
      <c r="F152" s="1236">
        <v>1610</v>
      </c>
    </row>
    <row r="153" spans="1:6" s="1225" customFormat="1" ht="14.25" customHeight="1">
      <c r="A153" s="1199" t="s">
        <v>275</v>
      </c>
      <c r="B153" s="1203" t="s">
        <v>2637</v>
      </c>
      <c r="C153" s="1203"/>
      <c r="D153" s="1203"/>
      <c r="E153" s="1203"/>
      <c r="F153" s="1236">
        <v>1610</v>
      </c>
    </row>
    <row r="154" spans="1:6" s="1225" customFormat="1" ht="14.25" customHeight="1">
      <c r="A154" s="1199" t="s">
        <v>275</v>
      </c>
      <c r="B154" s="1203" t="s">
        <v>2640</v>
      </c>
      <c r="C154" s="1203"/>
      <c r="D154" s="1203"/>
      <c r="E154" s="1203"/>
      <c r="F154" s="1236">
        <v>1610</v>
      </c>
    </row>
    <row r="155" spans="1:6" s="1225" customFormat="1" ht="14.25" customHeight="1">
      <c r="A155" s="1199" t="s">
        <v>275</v>
      </c>
      <c r="B155" s="1203" t="s">
        <v>2643</v>
      </c>
      <c r="C155" s="1203"/>
      <c r="D155" s="1203"/>
      <c r="E155" s="1203"/>
      <c r="F155" s="1236">
        <v>1800</v>
      </c>
    </row>
    <row r="156" spans="1:6" s="1225" customFormat="1" ht="14.25" customHeight="1">
      <c r="A156" s="1199" t="s">
        <v>275</v>
      </c>
      <c r="B156" s="1203" t="s">
        <v>2645</v>
      </c>
      <c r="C156" s="1203"/>
      <c r="D156" s="1203"/>
      <c r="E156" s="1203"/>
      <c r="F156" s="1236">
        <v>1910</v>
      </c>
    </row>
    <row r="157" spans="1:6" s="1225" customFormat="1" ht="14.25" customHeight="1">
      <c r="A157" s="1199" t="s">
        <v>275</v>
      </c>
      <c r="B157" s="1214" t="s">
        <v>2647</v>
      </c>
      <c r="C157" s="1214"/>
      <c r="D157" s="1214"/>
      <c r="E157" s="1214"/>
      <c r="F157" s="1238">
        <v>1500</v>
      </c>
    </row>
    <row r="158" spans="1:6" s="1225" customFormat="1" ht="14.25" customHeight="1">
      <c r="A158" s="1199" t="s">
        <v>280</v>
      </c>
      <c r="B158" s="1200" t="s">
        <v>2314</v>
      </c>
      <c r="C158" s="1200">
        <v>8170</v>
      </c>
      <c r="D158" s="1200">
        <v>8140</v>
      </c>
      <c r="E158" s="1200">
        <v>8590</v>
      </c>
      <c r="F158" s="1233">
        <v>1450</v>
      </c>
    </row>
    <row r="159" spans="1:6" s="1225" customFormat="1" ht="14.25" customHeight="1">
      <c r="A159" s="1199" t="s">
        <v>280</v>
      </c>
      <c r="B159" s="1203" t="s">
        <v>2326</v>
      </c>
      <c r="C159" s="1203">
        <v>7410</v>
      </c>
      <c r="D159" s="1203">
        <v>7370</v>
      </c>
      <c r="E159" s="1203">
        <v>8030</v>
      </c>
      <c r="F159" s="1236">
        <v>1510</v>
      </c>
    </row>
    <row r="160" spans="1:6" s="1225" customFormat="1" ht="14.25" customHeight="1">
      <c r="A160" s="1199" t="s">
        <v>280</v>
      </c>
      <c r="B160" s="1203" t="s">
        <v>2340</v>
      </c>
      <c r="C160" s="1203">
        <v>7240</v>
      </c>
      <c r="D160" s="1203">
        <v>7210</v>
      </c>
      <c r="E160" s="1203">
        <v>7860</v>
      </c>
      <c r="F160" s="1236">
        <v>1370</v>
      </c>
    </row>
    <row r="161" spans="1:6" s="1225" customFormat="1" ht="14.25" customHeight="1">
      <c r="A161" s="1199" t="s">
        <v>280</v>
      </c>
      <c r="B161" s="1203" t="s">
        <v>2352</v>
      </c>
      <c r="C161" s="1203">
        <v>7720</v>
      </c>
      <c r="D161" s="1203">
        <v>7690</v>
      </c>
      <c r="E161" s="1203">
        <v>8200</v>
      </c>
      <c r="F161" s="1236">
        <v>1190</v>
      </c>
    </row>
    <row r="162" spans="1:6" s="1225" customFormat="1" ht="14.25" customHeight="1">
      <c r="A162" s="1199" t="s">
        <v>280</v>
      </c>
      <c r="B162" s="1203" t="s">
        <v>2364</v>
      </c>
      <c r="C162" s="1203">
        <v>6900</v>
      </c>
      <c r="D162" s="1203">
        <v>6870</v>
      </c>
      <c r="E162" s="1203">
        <v>7500</v>
      </c>
      <c r="F162" s="1236">
        <v>1390</v>
      </c>
    </row>
    <row r="163" spans="1:6" s="1225" customFormat="1" ht="14.25" customHeight="1">
      <c r="A163" s="1199" t="s">
        <v>280</v>
      </c>
      <c r="B163" s="1203" t="s">
        <v>2375</v>
      </c>
      <c r="C163" s="1203">
        <v>7120</v>
      </c>
      <c r="D163" s="1203">
        <v>7090</v>
      </c>
      <c r="E163" s="1203">
        <v>7690</v>
      </c>
      <c r="F163" s="1236">
        <v>1230</v>
      </c>
    </row>
    <row r="164" spans="1:6" s="1225" customFormat="1" ht="14.25" customHeight="1">
      <c r="A164" s="1199" t="s">
        <v>280</v>
      </c>
      <c r="B164" s="1203" t="s">
        <v>2386</v>
      </c>
      <c r="C164" s="1203">
        <v>6560</v>
      </c>
      <c r="D164" s="1203">
        <v>6530</v>
      </c>
      <c r="E164" s="1203">
        <v>7110</v>
      </c>
      <c r="F164" s="1236">
        <v>1340</v>
      </c>
    </row>
    <row r="165" spans="1:6" s="1225" customFormat="1" ht="14.25" customHeight="1">
      <c r="A165" s="1199" t="s">
        <v>280</v>
      </c>
      <c r="B165" s="1203" t="s">
        <v>2397</v>
      </c>
      <c r="C165" s="1203">
        <v>7450</v>
      </c>
      <c r="D165" s="1203">
        <v>7430</v>
      </c>
      <c r="E165" s="1203">
        <v>8110</v>
      </c>
      <c r="F165" s="1236">
        <v>1290</v>
      </c>
    </row>
    <row r="166" spans="1:6" s="1225" customFormat="1" ht="14.25" customHeight="1">
      <c r="A166" s="1199" t="s">
        <v>280</v>
      </c>
      <c r="B166" s="1203" t="s">
        <v>2407</v>
      </c>
      <c r="C166" s="1203">
        <v>7490</v>
      </c>
      <c r="D166" s="1203">
        <v>7460</v>
      </c>
      <c r="E166" s="1203">
        <v>8150</v>
      </c>
      <c r="F166" s="1236">
        <v>1350</v>
      </c>
    </row>
    <row r="167" spans="1:6" s="1225" customFormat="1" ht="14.25" customHeight="1">
      <c r="A167" s="1199" t="s">
        <v>280</v>
      </c>
      <c r="B167" s="1203" t="s">
        <v>2417</v>
      </c>
      <c r="C167" s="1203">
        <v>7540</v>
      </c>
      <c r="D167" s="1203">
        <v>7510</v>
      </c>
      <c r="E167" s="1203">
        <v>8030</v>
      </c>
      <c r="F167" s="1239"/>
    </row>
    <row r="168" spans="1:6" s="1225" customFormat="1" ht="14.25" customHeight="1">
      <c r="A168" s="1199" t="s">
        <v>280</v>
      </c>
      <c r="B168" s="1203" t="s">
        <v>2427</v>
      </c>
      <c r="C168" s="1203">
        <v>7210</v>
      </c>
      <c r="D168" s="1203">
        <v>7180</v>
      </c>
      <c r="E168" s="1203">
        <v>7830</v>
      </c>
      <c r="F168" s="1239"/>
    </row>
    <row r="169" spans="1:6" s="1225" customFormat="1" ht="14.25" customHeight="1">
      <c r="A169" s="1199" t="s">
        <v>280</v>
      </c>
      <c r="B169" s="1203" t="s">
        <v>2437</v>
      </c>
      <c r="C169" s="1203">
        <v>7040</v>
      </c>
      <c r="D169" s="1203">
        <v>7020</v>
      </c>
      <c r="E169" s="1203">
        <v>7670</v>
      </c>
      <c r="F169" s="1239"/>
    </row>
    <row r="170" spans="1:6" s="1225" customFormat="1" ht="14.25" customHeight="1">
      <c r="A170" s="1199" t="s">
        <v>280</v>
      </c>
      <c r="B170" s="1203" t="s">
        <v>2447</v>
      </c>
      <c r="C170" s="1203">
        <v>8040</v>
      </c>
      <c r="D170" s="1203">
        <v>7190</v>
      </c>
      <c r="E170" s="1203">
        <v>7850</v>
      </c>
      <c r="F170" s="1239"/>
    </row>
    <row r="171" spans="1:6" s="1225" customFormat="1" ht="14.25" customHeight="1">
      <c r="A171" s="1199" t="s">
        <v>280</v>
      </c>
      <c r="B171" s="1203" t="s">
        <v>2457</v>
      </c>
      <c r="C171" s="1203">
        <v>7860</v>
      </c>
      <c r="D171" s="1203">
        <v>7720</v>
      </c>
      <c r="E171" s="1203">
        <v>8150</v>
      </c>
      <c r="F171" s="1236">
        <v>1110</v>
      </c>
    </row>
    <row r="172" spans="1:6" s="1225" customFormat="1" ht="14.25" customHeight="1">
      <c r="A172" s="1199" t="s">
        <v>280</v>
      </c>
      <c r="B172" s="1203" t="s">
        <v>2467</v>
      </c>
      <c r="C172" s="1203">
        <v>7210</v>
      </c>
      <c r="D172" s="1203">
        <v>7170</v>
      </c>
      <c r="E172" s="1203">
        <v>7320</v>
      </c>
      <c r="F172" s="1239"/>
    </row>
    <row r="173" spans="1:6" s="1225" customFormat="1" ht="14.25" customHeight="1">
      <c r="A173" s="1199" t="s">
        <v>280</v>
      </c>
      <c r="B173" s="1203" t="s">
        <v>2477</v>
      </c>
      <c r="C173" s="1203">
        <v>6860</v>
      </c>
      <c r="D173" s="1203">
        <v>6810</v>
      </c>
      <c r="E173" s="1203">
        <v>7440</v>
      </c>
      <c r="F173" s="1239"/>
    </row>
    <row r="174" spans="1:6" s="1225" customFormat="1" ht="14.25" customHeight="1">
      <c r="A174" s="1199" t="s">
        <v>280</v>
      </c>
      <c r="B174" s="1203" t="s">
        <v>2487</v>
      </c>
      <c r="C174" s="1203">
        <v>7120</v>
      </c>
      <c r="D174" s="1203">
        <v>7090</v>
      </c>
      <c r="E174" s="1203">
        <v>7500</v>
      </c>
      <c r="F174" s="1236">
        <v>1490</v>
      </c>
    </row>
    <row r="175" spans="1:6" s="1225" customFormat="1" ht="14.25" customHeight="1">
      <c r="A175" s="1199" t="s">
        <v>280</v>
      </c>
      <c r="B175" s="1203" t="s">
        <v>2497</v>
      </c>
      <c r="C175" s="1203">
        <v>7850</v>
      </c>
      <c r="D175" s="1203">
        <v>7820</v>
      </c>
      <c r="E175" s="1203">
        <v>8120</v>
      </c>
      <c r="F175" s="1236">
        <v>1530</v>
      </c>
    </row>
    <row r="176" spans="1:6" s="1225" customFormat="1" ht="14.25" customHeight="1">
      <c r="A176" s="1199" t="s">
        <v>280</v>
      </c>
      <c r="B176" s="1203" t="s">
        <v>2507</v>
      </c>
      <c r="C176" s="1203">
        <v>7620</v>
      </c>
      <c r="D176" s="1203">
        <v>7570</v>
      </c>
      <c r="E176" s="1203">
        <v>7990</v>
      </c>
      <c r="F176" s="1236">
        <v>1480</v>
      </c>
    </row>
    <row r="177" spans="1:6" s="1225" customFormat="1" ht="14.25" customHeight="1">
      <c r="A177" s="1199" t="s">
        <v>280</v>
      </c>
      <c r="B177" s="1203" t="s">
        <v>2516</v>
      </c>
      <c r="C177" s="1203">
        <v>8590</v>
      </c>
      <c r="D177" s="1203">
        <v>8570</v>
      </c>
      <c r="E177" s="1203">
        <v>8740</v>
      </c>
      <c r="F177" s="1236">
        <v>1540</v>
      </c>
    </row>
    <row r="178" spans="1:6" s="1225" customFormat="1" ht="14.25" customHeight="1">
      <c r="A178" s="1199" t="s">
        <v>280</v>
      </c>
      <c r="B178" s="1203" t="s">
        <v>2524</v>
      </c>
      <c r="C178" s="1203">
        <v>7510</v>
      </c>
      <c r="D178" s="1203">
        <v>7470</v>
      </c>
      <c r="E178" s="1203">
        <v>8090</v>
      </c>
      <c r="F178" s="1236">
        <v>1320</v>
      </c>
    </row>
    <row r="179" spans="1:6" s="1225" customFormat="1" ht="14.25" customHeight="1">
      <c r="A179" s="1199" t="s">
        <v>280</v>
      </c>
      <c r="B179" s="1203" t="s">
        <v>2532</v>
      </c>
      <c r="C179" s="1203">
        <v>6380</v>
      </c>
      <c r="D179" s="1203">
        <v>6340</v>
      </c>
      <c r="E179" s="1203">
        <v>6810</v>
      </c>
      <c r="F179" s="1239"/>
    </row>
    <row r="180" spans="1:6" s="1225" customFormat="1" ht="14.25" customHeight="1">
      <c r="A180" s="1199" t="s">
        <v>280</v>
      </c>
      <c r="B180" s="1203" t="s">
        <v>2539</v>
      </c>
      <c r="C180" s="1203">
        <v>7830</v>
      </c>
      <c r="D180" s="1203">
        <v>7800</v>
      </c>
      <c r="E180" s="1203">
        <v>7780</v>
      </c>
      <c r="F180" s="1236">
        <v>1440</v>
      </c>
    </row>
    <row r="181" spans="1:6" s="1225" customFormat="1" ht="14.25" customHeight="1">
      <c r="A181" s="1199" t="s">
        <v>280</v>
      </c>
      <c r="B181" s="1203" t="s">
        <v>2546</v>
      </c>
      <c r="C181" s="1203">
        <v>7110</v>
      </c>
      <c r="D181" s="1203">
        <v>7080</v>
      </c>
      <c r="E181" s="1203">
        <v>7730</v>
      </c>
      <c r="F181" s="1236">
        <v>1350</v>
      </c>
    </row>
    <row r="182" spans="1:6" s="1225" customFormat="1" ht="14.25" customHeight="1">
      <c r="A182" s="1199" t="s">
        <v>280</v>
      </c>
      <c r="B182" s="1203" t="s">
        <v>2553</v>
      </c>
      <c r="C182" s="1203">
        <v>7310</v>
      </c>
      <c r="D182" s="1203">
        <v>7280</v>
      </c>
      <c r="E182" s="1203">
        <v>7950</v>
      </c>
      <c r="F182" s="1236">
        <v>1220</v>
      </c>
    </row>
    <row r="183" spans="1:6" s="1225" customFormat="1" ht="14.25" customHeight="1">
      <c r="A183" s="1199" t="s">
        <v>280</v>
      </c>
      <c r="B183" s="1203" t="s">
        <v>2560</v>
      </c>
      <c r="C183" s="1203">
        <v>7470</v>
      </c>
      <c r="D183" s="1203">
        <v>7440</v>
      </c>
      <c r="E183" s="1203">
        <v>7880</v>
      </c>
      <c r="F183" s="1239"/>
    </row>
    <row r="184" spans="1:6" s="1225" customFormat="1" ht="14.25" customHeight="1">
      <c r="A184" s="1199" t="s">
        <v>280</v>
      </c>
      <c r="B184" s="1203" t="s">
        <v>2567</v>
      </c>
      <c r="C184" s="1203">
        <v>6960</v>
      </c>
      <c r="D184" s="1203">
        <v>6930</v>
      </c>
      <c r="E184" s="1203">
        <v>7570</v>
      </c>
      <c r="F184" s="1239"/>
    </row>
    <row r="185" spans="1:6" s="1225" customFormat="1" ht="14.25" customHeight="1">
      <c r="A185" s="1199" t="s">
        <v>280</v>
      </c>
      <c r="B185" s="1203" t="s">
        <v>2572</v>
      </c>
      <c r="C185" s="1203">
        <v>7260</v>
      </c>
      <c r="D185" s="1203">
        <v>7230</v>
      </c>
      <c r="E185" s="1203">
        <v>7710</v>
      </c>
      <c r="F185" s="1236">
        <v>1360</v>
      </c>
    </row>
    <row r="186" spans="1:6" s="1225" customFormat="1" ht="14.25" customHeight="1">
      <c r="A186" s="1199" t="s">
        <v>280</v>
      </c>
      <c r="B186" s="1203" t="s">
        <v>2577</v>
      </c>
      <c r="C186" s="1203"/>
      <c r="D186" s="1203"/>
      <c r="E186" s="1203"/>
      <c r="F186" s="1236">
        <v>1560</v>
      </c>
    </row>
    <row r="187" spans="1:6" s="1225" customFormat="1" ht="14.25" customHeight="1">
      <c r="A187" s="1199" t="s">
        <v>280</v>
      </c>
      <c r="B187" s="1203" t="s">
        <v>2582</v>
      </c>
      <c r="C187" s="1203"/>
      <c r="D187" s="1203"/>
      <c r="E187" s="1203"/>
      <c r="F187" s="1236">
        <v>1560</v>
      </c>
    </row>
    <row r="188" spans="1:6" s="1225" customFormat="1" ht="14.25" customHeight="1">
      <c r="A188" s="1199" t="s">
        <v>280</v>
      </c>
      <c r="B188" s="1203" t="s">
        <v>2587</v>
      </c>
      <c r="C188" s="1203"/>
      <c r="D188" s="1203"/>
      <c r="E188" s="1203"/>
      <c r="F188" s="1236">
        <v>1560</v>
      </c>
    </row>
    <row r="189" spans="1:6" s="1225" customFormat="1" ht="14.25" customHeight="1">
      <c r="A189" s="1199" t="s">
        <v>280</v>
      </c>
      <c r="B189" s="1203" t="s">
        <v>2592</v>
      </c>
      <c r="C189" s="1203"/>
      <c r="D189" s="1203"/>
      <c r="E189" s="1203"/>
      <c r="F189" s="1236">
        <v>1320</v>
      </c>
    </row>
    <row r="190" spans="1:6" s="1225" customFormat="1" ht="14.25" customHeight="1">
      <c r="A190" s="1199" t="s">
        <v>280</v>
      </c>
      <c r="B190" s="1203" t="s">
        <v>2597</v>
      </c>
      <c r="C190" s="1203"/>
      <c r="D190" s="1203"/>
      <c r="E190" s="1203"/>
      <c r="F190" s="1236">
        <v>1320</v>
      </c>
    </row>
    <row r="191" spans="1:6" s="1225" customFormat="1" ht="14.25" customHeight="1">
      <c r="A191" s="1199" t="s">
        <v>280</v>
      </c>
      <c r="B191" s="1203" t="s">
        <v>2602</v>
      </c>
      <c r="C191" s="1203"/>
      <c r="D191" s="1203"/>
      <c r="E191" s="1203"/>
      <c r="F191" s="1236">
        <v>1320</v>
      </c>
    </row>
    <row r="192" spans="1:6" s="1225" customFormat="1" ht="14.25" customHeight="1">
      <c r="A192" s="1199" t="s">
        <v>280</v>
      </c>
      <c r="B192" s="1203" t="s">
        <v>2606</v>
      </c>
      <c r="C192" s="1203"/>
      <c r="D192" s="1203"/>
      <c r="E192" s="1203"/>
      <c r="F192" s="1236">
        <v>1100</v>
      </c>
    </row>
    <row r="193" spans="1:6" s="1225" customFormat="1" ht="14.25" customHeight="1">
      <c r="A193" s="1199" t="s">
        <v>280</v>
      </c>
      <c r="B193" s="1203" t="s">
        <v>2610</v>
      </c>
      <c r="C193" s="1203"/>
      <c r="D193" s="1203"/>
      <c r="E193" s="1203"/>
      <c r="F193" s="1236">
        <v>1100</v>
      </c>
    </row>
    <row r="194" spans="1:6" s="1225" customFormat="1" ht="14.25" customHeight="1">
      <c r="A194" s="1199" t="s">
        <v>280</v>
      </c>
      <c r="B194" s="1203" t="s">
        <v>2614</v>
      </c>
      <c r="C194" s="1203"/>
      <c r="D194" s="1203"/>
      <c r="E194" s="1203"/>
      <c r="F194" s="1236">
        <v>1080</v>
      </c>
    </row>
    <row r="195" spans="1:6" s="1225" customFormat="1" ht="14.25" customHeight="1">
      <c r="A195" s="1199" t="s">
        <v>280</v>
      </c>
      <c r="B195" s="1203" t="s">
        <v>2618</v>
      </c>
      <c r="C195" s="1203"/>
      <c r="D195" s="1203"/>
      <c r="E195" s="1203"/>
      <c r="F195" s="1236">
        <v>1270</v>
      </c>
    </row>
    <row r="196" spans="1:6" s="1225" customFormat="1" ht="14.25" customHeight="1">
      <c r="A196" s="1199" t="s">
        <v>280</v>
      </c>
      <c r="B196" s="1203" t="s">
        <v>2622</v>
      </c>
      <c r="C196" s="1203"/>
      <c r="D196" s="1203"/>
      <c r="E196" s="1203"/>
      <c r="F196" s="1236">
        <v>1150</v>
      </c>
    </row>
    <row r="197" spans="1:6" s="1225" customFormat="1" ht="14.25" customHeight="1">
      <c r="A197" s="1199" t="s">
        <v>280</v>
      </c>
      <c r="B197" s="1203" t="s">
        <v>2626</v>
      </c>
      <c r="C197" s="1203"/>
      <c r="D197" s="1203"/>
      <c r="E197" s="1203"/>
      <c r="F197" s="1236">
        <v>1330</v>
      </c>
    </row>
    <row r="198" spans="1:6" s="1225" customFormat="1" ht="14.25" customHeight="1">
      <c r="A198" s="1199" t="s">
        <v>280</v>
      </c>
      <c r="B198" s="1203" t="s">
        <v>2629</v>
      </c>
      <c r="C198" s="1203"/>
      <c r="D198" s="1203"/>
      <c r="E198" s="1203"/>
      <c r="F198" s="1236">
        <v>1170</v>
      </c>
    </row>
    <row r="199" spans="1:6" s="1225" customFormat="1" ht="14.25" customHeight="1">
      <c r="A199" s="1199" t="s">
        <v>280</v>
      </c>
      <c r="B199" s="1203" t="s">
        <v>2632</v>
      </c>
      <c r="C199" s="1203"/>
      <c r="D199" s="1203"/>
      <c r="E199" s="1203"/>
      <c r="F199" s="1236">
        <v>1120</v>
      </c>
    </row>
    <row r="200" spans="1:6" s="1225" customFormat="1" ht="14.25" customHeight="1">
      <c r="A200" s="1199" t="s">
        <v>280</v>
      </c>
      <c r="B200" s="1203" t="s">
        <v>2635</v>
      </c>
      <c r="C200" s="1203"/>
      <c r="D200" s="1203"/>
      <c r="E200" s="1203"/>
      <c r="F200" s="1236">
        <v>1120</v>
      </c>
    </row>
    <row r="201" spans="1:6" s="1225" customFormat="1" ht="14.25" customHeight="1">
      <c r="A201" s="1199" t="s">
        <v>280</v>
      </c>
      <c r="B201" s="1203" t="s">
        <v>2638</v>
      </c>
      <c r="C201" s="1203"/>
      <c r="D201" s="1203"/>
      <c r="E201" s="1203"/>
      <c r="F201" s="1236">
        <v>1540</v>
      </c>
    </row>
    <row r="202" spans="1:6" s="1225" customFormat="1" ht="14.25" customHeight="1">
      <c r="A202" s="1199" t="s">
        <v>280</v>
      </c>
      <c r="B202" s="1203" t="s">
        <v>2641</v>
      </c>
      <c r="C202" s="1203"/>
      <c r="D202" s="1203"/>
      <c r="E202" s="1203"/>
      <c r="F202" s="1236">
        <v>1310</v>
      </c>
    </row>
    <row r="203" spans="1:6" s="1225" customFormat="1" ht="14.25" customHeight="1">
      <c r="A203" s="1199" t="s">
        <v>280</v>
      </c>
      <c r="B203" s="1203" t="s">
        <v>2644</v>
      </c>
      <c r="C203" s="1203"/>
      <c r="D203" s="1203"/>
      <c r="E203" s="1203"/>
      <c r="F203" s="1236">
        <v>1310</v>
      </c>
    </row>
    <row r="204" spans="1:6" s="1225" customFormat="1" ht="14.25" customHeight="1">
      <c r="A204" s="1199" t="s">
        <v>280</v>
      </c>
      <c r="B204" s="1203" t="s">
        <v>2646</v>
      </c>
      <c r="C204" s="1203"/>
      <c r="D204" s="1203"/>
      <c r="E204" s="1203"/>
      <c r="F204" s="1236">
        <v>1080</v>
      </c>
    </row>
    <row r="205" spans="1:6" s="1225" customFormat="1" ht="14.25" customHeight="1">
      <c r="A205" s="1199" t="s">
        <v>280</v>
      </c>
      <c r="B205" s="1203" t="s">
        <v>2648</v>
      </c>
      <c r="C205" s="1203"/>
      <c r="D205" s="1203"/>
      <c r="E205" s="1203"/>
      <c r="F205" s="1236">
        <v>1080</v>
      </c>
    </row>
    <row r="206" spans="1:6" s="1225" customFormat="1" ht="14.25" customHeight="1">
      <c r="A206" s="1199" t="s">
        <v>285</v>
      </c>
      <c r="B206" s="1200" t="s">
        <v>2315</v>
      </c>
      <c r="C206" s="1200">
        <v>5450</v>
      </c>
      <c r="D206" s="1200">
        <v>5430</v>
      </c>
      <c r="E206" s="1200">
        <v>5700</v>
      </c>
      <c r="F206" s="1233">
        <v>1020</v>
      </c>
    </row>
    <row r="207" spans="1:6" s="1225" customFormat="1" ht="14.25" customHeight="1">
      <c r="A207" s="1199" t="s">
        <v>285</v>
      </c>
      <c r="B207" s="1203" t="s">
        <v>2327</v>
      </c>
      <c r="C207" s="1203">
        <v>5860</v>
      </c>
      <c r="D207" s="1203">
        <v>5820</v>
      </c>
      <c r="E207" s="1203">
        <v>6050</v>
      </c>
      <c r="F207" s="1236">
        <v>1080</v>
      </c>
    </row>
    <row r="208" spans="1:6" s="1225" customFormat="1" ht="14.25" customHeight="1">
      <c r="A208" s="1199" t="s">
        <v>285</v>
      </c>
      <c r="B208" s="1203" t="s">
        <v>2341</v>
      </c>
      <c r="C208" s="1203">
        <v>4630</v>
      </c>
      <c r="D208" s="1203">
        <v>4600</v>
      </c>
      <c r="E208" s="1203">
        <v>4840</v>
      </c>
      <c r="F208" s="1236">
        <v>900</v>
      </c>
    </row>
    <row r="209" spans="1:6" s="1225" customFormat="1" ht="14.25" customHeight="1">
      <c r="A209" s="1199" t="s">
        <v>285</v>
      </c>
      <c r="B209" s="1203" t="s">
        <v>2353</v>
      </c>
      <c r="C209" s="1203">
        <v>5320</v>
      </c>
      <c r="D209" s="1203">
        <v>5270</v>
      </c>
      <c r="E209" s="1203">
        <v>5540</v>
      </c>
      <c r="F209" s="1236">
        <v>980</v>
      </c>
    </row>
    <row r="210" spans="1:6" s="1225" customFormat="1" ht="14.25" customHeight="1">
      <c r="A210" s="1199" t="s">
        <v>285</v>
      </c>
      <c r="B210" s="1203" t="s">
        <v>2365</v>
      </c>
      <c r="C210" s="1203">
        <v>5760</v>
      </c>
      <c r="D210" s="1203">
        <v>5710</v>
      </c>
      <c r="E210" s="1203">
        <v>6010</v>
      </c>
      <c r="F210" s="1236">
        <v>870</v>
      </c>
    </row>
    <row r="211" spans="1:6" s="1225" customFormat="1" ht="14.25" customHeight="1">
      <c r="A211" s="1199" t="s">
        <v>285</v>
      </c>
      <c r="B211" s="1203" t="s">
        <v>2376</v>
      </c>
      <c r="C211" s="1203">
        <v>4160</v>
      </c>
      <c r="D211" s="1203">
        <v>4100</v>
      </c>
      <c r="E211" s="1203">
        <v>4270</v>
      </c>
      <c r="F211" s="1236">
        <v>790</v>
      </c>
    </row>
    <row r="212" spans="1:6" s="1225" customFormat="1" ht="14.25" customHeight="1">
      <c r="A212" s="1199" t="s">
        <v>285</v>
      </c>
      <c r="B212" s="1203" t="s">
        <v>2387</v>
      </c>
      <c r="C212" s="1203">
        <v>4880</v>
      </c>
      <c r="D212" s="1203">
        <v>4850</v>
      </c>
      <c r="E212" s="1203">
        <v>5110</v>
      </c>
      <c r="F212" s="1236">
        <v>940</v>
      </c>
    </row>
    <row r="213" spans="1:6" s="1225" customFormat="1" ht="14.25" customHeight="1">
      <c r="A213" s="1199" t="s">
        <v>285</v>
      </c>
      <c r="B213" s="1203" t="s">
        <v>2398</v>
      </c>
      <c r="C213" s="1203">
        <v>4640</v>
      </c>
      <c r="D213" s="1203">
        <v>4590</v>
      </c>
      <c r="E213" s="1203">
        <v>4700</v>
      </c>
      <c r="F213" s="1236">
        <v>1030</v>
      </c>
    </row>
    <row r="214" spans="1:6" s="1225" customFormat="1" ht="14.25" customHeight="1">
      <c r="A214" s="1199" t="s">
        <v>285</v>
      </c>
      <c r="B214" s="1203" t="s">
        <v>2408</v>
      </c>
      <c r="C214" s="1203">
        <v>4540</v>
      </c>
      <c r="D214" s="1203">
        <v>4490</v>
      </c>
      <c r="E214" s="1203">
        <v>4610</v>
      </c>
      <c r="F214" s="1239"/>
    </row>
    <row r="215" spans="1:6" s="1225" customFormat="1" ht="14.25" customHeight="1">
      <c r="A215" s="1199" t="s">
        <v>285</v>
      </c>
      <c r="B215" s="1203" t="s">
        <v>2418</v>
      </c>
      <c r="C215" s="1203">
        <v>5280</v>
      </c>
      <c r="D215" s="1203">
        <v>5250</v>
      </c>
      <c r="E215" s="1203">
        <v>5520</v>
      </c>
      <c r="F215" s="1236">
        <v>1000</v>
      </c>
    </row>
    <row r="216" spans="1:6" s="1225" customFormat="1" ht="14.25" customHeight="1">
      <c r="A216" s="1199" t="s">
        <v>285</v>
      </c>
      <c r="B216" s="1203" t="s">
        <v>2428</v>
      </c>
      <c r="C216" s="1203">
        <v>5100</v>
      </c>
      <c r="D216" s="1203">
        <v>5050</v>
      </c>
      <c r="E216" s="1203">
        <v>5300</v>
      </c>
      <c r="F216" s="1236">
        <v>950</v>
      </c>
    </row>
    <row r="217" spans="1:6" s="1225" customFormat="1" ht="14.25" customHeight="1">
      <c r="A217" s="1199" t="s">
        <v>285</v>
      </c>
      <c r="B217" s="1203" t="s">
        <v>2438</v>
      </c>
      <c r="C217" s="1203">
        <v>5370</v>
      </c>
      <c r="D217" s="1203">
        <v>5320</v>
      </c>
      <c r="E217" s="1203">
        <v>5410</v>
      </c>
      <c r="F217" s="1236">
        <v>950</v>
      </c>
    </row>
    <row r="218" spans="1:6" s="1225" customFormat="1" ht="14.25" customHeight="1">
      <c r="A218" s="1199" t="s">
        <v>285</v>
      </c>
      <c r="B218" s="1203" t="s">
        <v>2448</v>
      </c>
      <c r="C218" s="1203">
        <v>5540</v>
      </c>
      <c r="D218" s="1203">
        <v>5480</v>
      </c>
      <c r="E218" s="1203">
        <v>5740</v>
      </c>
      <c r="F218" s="1236">
        <v>1020</v>
      </c>
    </row>
    <row r="219" spans="1:6" s="1225" customFormat="1" ht="14.25" customHeight="1">
      <c r="A219" s="1199" t="s">
        <v>285</v>
      </c>
      <c r="B219" s="1203" t="s">
        <v>2458</v>
      </c>
      <c r="C219" s="1203">
        <v>5140</v>
      </c>
      <c r="D219" s="1203">
        <v>5100</v>
      </c>
      <c r="E219" s="1203">
        <v>5350</v>
      </c>
      <c r="F219" s="1236">
        <v>1120</v>
      </c>
    </row>
    <row r="220" spans="1:6" s="1225" customFormat="1" ht="14.25" customHeight="1">
      <c r="A220" s="1199" t="s">
        <v>285</v>
      </c>
      <c r="B220" s="1203" t="s">
        <v>2468</v>
      </c>
      <c r="C220" s="1203">
        <v>5040</v>
      </c>
      <c r="D220" s="1203">
        <v>5000</v>
      </c>
      <c r="E220" s="1203">
        <v>5240</v>
      </c>
      <c r="F220" s="1236">
        <v>980</v>
      </c>
    </row>
    <row r="221" spans="1:6" s="1225" customFormat="1" ht="14.25" customHeight="1">
      <c r="A221" s="1199" t="s">
        <v>285</v>
      </c>
      <c r="B221" s="1203" t="s">
        <v>2478</v>
      </c>
      <c r="C221" s="1242"/>
      <c r="D221" s="1242"/>
      <c r="E221" s="1242"/>
      <c r="F221" s="1236">
        <v>1070</v>
      </c>
    </row>
    <row r="222" spans="1:6" s="1225" customFormat="1" ht="14.25" customHeight="1">
      <c r="A222" s="1199" t="s">
        <v>285</v>
      </c>
      <c r="B222" s="1203" t="s">
        <v>2488</v>
      </c>
      <c r="C222" s="1242"/>
      <c r="D222" s="1242"/>
      <c r="E222" s="1242"/>
      <c r="F222" s="1236">
        <v>870</v>
      </c>
    </row>
    <row r="223" spans="1:6" s="1225" customFormat="1" ht="14.25" customHeight="1">
      <c r="A223" s="1199" t="s">
        <v>285</v>
      </c>
      <c r="B223" s="1203" t="s">
        <v>2498</v>
      </c>
      <c r="C223" s="1242"/>
      <c r="D223" s="1242"/>
      <c r="E223" s="1242"/>
      <c r="F223" s="1236">
        <v>940</v>
      </c>
    </row>
    <row r="224" spans="1:6" s="1225" customFormat="1" ht="14.25" customHeight="1">
      <c r="A224" s="1199" t="s">
        <v>285</v>
      </c>
      <c r="B224" s="1203" t="s">
        <v>2508</v>
      </c>
      <c r="C224" s="1242"/>
      <c r="D224" s="1242"/>
      <c r="E224" s="1242"/>
      <c r="F224" s="1236">
        <v>990</v>
      </c>
    </row>
    <row r="225" spans="1:6" s="1225" customFormat="1" ht="14.25" customHeight="1">
      <c r="A225" s="1199" t="s">
        <v>285</v>
      </c>
      <c r="B225" s="1203" t="s">
        <v>2517</v>
      </c>
      <c r="C225" s="1203">
        <v>5730</v>
      </c>
      <c r="D225" s="1203">
        <v>5680</v>
      </c>
      <c r="E225" s="1203">
        <v>6020</v>
      </c>
      <c r="F225" s="1236">
        <v>1000</v>
      </c>
    </row>
    <row r="226" spans="1:6" s="1225" customFormat="1" ht="14.25" customHeight="1">
      <c r="A226" s="1199" t="s">
        <v>285</v>
      </c>
      <c r="B226" s="1203" t="s">
        <v>2525</v>
      </c>
      <c r="C226" s="1203">
        <v>4970</v>
      </c>
      <c r="D226" s="1203">
        <v>4940</v>
      </c>
      <c r="E226" s="1203">
        <v>5180</v>
      </c>
      <c r="F226" s="1236">
        <v>960</v>
      </c>
    </row>
    <row r="227" spans="1:6" s="1225" customFormat="1" ht="14.25" customHeight="1">
      <c r="A227" s="1199" t="s">
        <v>285</v>
      </c>
      <c r="B227" s="1203" t="s">
        <v>2533</v>
      </c>
      <c r="C227" s="1203">
        <v>5550</v>
      </c>
      <c r="D227" s="1203">
        <v>5500</v>
      </c>
      <c r="E227" s="1203">
        <v>5780</v>
      </c>
      <c r="F227" s="1236">
        <v>940</v>
      </c>
    </row>
    <row r="228" spans="1:6" s="1225" customFormat="1" ht="14.25" customHeight="1">
      <c r="A228" s="1199" t="s">
        <v>285</v>
      </c>
      <c r="B228" s="1203" t="s">
        <v>2540</v>
      </c>
      <c r="C228" s="1203">
        <v>5460</v>
      </c>
      <c r="D228" s="1203">
        <v>5420</v>
      </c>
      <c r="E228" s="1203">
        <v>5690</v>
      </c>
      <c r="F228" s="1236">
        <v>910</v>
      </c>
    </row>
    <row r="229" spans="1:6" s="1225" customFormat="1" ht="14.25" customHeight="1">
      <c r="A229" s="1199" t="s">
        <v>285</v>
      </c>
      <c r="B229" s="1203" t="s">
        <v>2547</v>
      </c>
      <c r="C229" s="1203">
        <v>5310</v>
      </c>
      <c r="D229" s="1203">
        <v>5270</v>
      </c>
      <c r="E229" s="1203">
        <v>5510</v>
      </c>
      <c r="F229" s="1239"/>
    </row>
    <row r="230" spans="1:6" s="1225" customFormat="1" ht="14.25" customHeight="1">
      <c r="A230" s="1199" t="s">
        <v>285</v>
      </c>
      <c r="B230" s="1203" t="s">
        <v>2554</v>
      </c>
      <c r="C230" s="1203">
        <v>4540</v>
      </c>
      <c r="D230" s="1203">
        <v>4500</v>
      </c>
      <c r="E230" s="1203">
        <v>4730</v>
      </c>
      <c r="F230" s="1239"/>
    </row>
    <row r="231" spans="1:6" s="1225" customFormat="1" ht="14.25" customHeight="1">
      <c r="A231" s="1199" t="s">
        <v>285</v>
      </c>
      <c r="B231" s="1203" t="s">
        <v>2561</v>
      </c>
      <c r="C231" s="1203">
        <v>4480</v>
      </c>
      <c r="D231" s="1203">
        <v>4410</v>
      </c>
      <c r="E231" s="1203">
        <v>4640</v>
      </c>
      <c r="F231" s="1239"/>
    </row>
    <row r="232" spans="1:6" s="1225" customFormat="1" ht="14.25" customHeight="1">
      <c r="A232" s="1199" t="s">
        <v>285</v>
      </c>
      <c r="B232" s="1203" t="s">
        <v>2568</v>
      </c>
      <c r="C232" s="1203">
        <v>5670</v>
      </c>
      <c r="D232" s="1203">
        <v>5600</v>
      </c>
      <c r="E232" s="1203">
        <v>5890</v>
      </c>
      <c r="F232" s="1236">
        <v>1150</v>
      </c>
    </row>
    <row r="233" spans="1:6" s="1225" customFormat="1" ht="14.25" customHeight="1">
      <c r="A233" s="1199" t="s">
        <v>285</v>
      </c>
      <c r="B233" s="1203" t="s">
        <v>2573</v>
      </c>
      <c r="C233" s="1203">
        <v>4590</v>
      </c>
      <c r="D233" s="1203">
        <v>4500</v>
      </c>
      <c r="E233" s="1203">
        <v>4600</v>
      </c>
      <c r="F233" s="1239"/>
    </row>
    <row r="234" spans="1:6" s="1225" customFormat="1" ht="14.25" customHeight="1">
      <c r="A234" s="1199" t="s">
        <v>285</v>
      </c>
      <c r="B234" s="1203" t="s">
        <v>2578</v>
      </c>
      <c r="C234" s="1203">
        <v>3990</v>
      </c>
      <c r="D234" s="1203">
        <v>3950</v>
      </c>
      <c r="E234" s="1203">
        <v>4180</v>
      </c>
      <c r="F234" s="1239"/>
    </row>
    <row r="235" spans="1:6" s="1225" customFormat="1" ht="14.25" customHeight="1">
      <c r="A235" s="1199" t="s">
        <v>285</v>
      </c>
      <c r="B235" s="1203" t="s">
        <v>2583</v>
      </c>
      <c r="C235" s="1203">
        <v>5590</v>
      </c>
      <c r="D235" s="1203">
        <v>5540</v>
      </c>
      <c r="E235" s="1203">
        <v>5810</v>
      </c>
      <c r="F235" s="1236">
        <v>970</v>
      </c>
    </row>
    <row r="236" spans="1:6" s="1225" customFormat="1" ht="14.25" customHeight="1">
      <c r="A236" s="1199" t="s">
        <v>285</v>
      </c>
      <c r="B236" s="1203" t="s">
        <v>2588</v>
      </c>
      <c r="C236" s="1203"/>
      <c r="D236" s="1203"/>
      <c r="E236" s="1203"/>
      <c r="F236" s="1236">
        <v>1020</v>
      </c>
    </row>
    <row r="237" spans="1:6" s="1225" customFormat="1" ht="14.25" customHeight="1">
      <c r="A237" s="1199" t="s">
        <v>285</v>
      </c>
      <c r="B237" s="1203" t="s">
        <v>2593</v>
      </c>
      <c r="C237" s="1203"/>
      <c r="D237" s="1203"/>
      <c r="E237" s="1203"/>
      <c r="F237" s="1236">
        <v>960</v>
      </c>
    </row>
    <row r="238" spans="1:6" s="1225" customFormat="1" ht="14.25" customHeight="1">
      <c r="A238" s="1199" t="s">
        <v>285</v>
      </c>
      <c r="B238" s="1203" t="s">
        <v>2598</v>
      </c>
      <c r="C238" s="1203"/>
      <c r="D238" s="1203"/>
      <c r="E238" s="1203"/>
      <c r="F238" s="1236">
        <v>960</v>
      </c>
    </row>
    <row r="239" spans="1:6" s="1225" customFormat="1" ht="14.25" customHeight="1">
      <c r="A239" s="1199" t="s">
        <v>285</v>
      </c>
      <c r="B239" s="1203" t="s">
        <v>2603</v>
      </c>
      <c r="C239" s="1203"/>
      <c r="D239" s="1203"/>
      <c r="E239" s="1203"/>
      <c r="F239" s="1236">
        <v>960</v>
      </c>
    </row>
    <row r="240" spans="1:6" s="1225" customFormat="1" ht="14.25" customHeight="1">
      <c r="A240" s="1199" t="s">
        <v>285</v>
      </c>
      <c r="B240" s="1203" t="s">
        <v>2607</v>
      </c>
      <c r="C240" s="1203"/>
      <c r="D240" s="1203"/>
      <c r="E240" s="1203"/>
      <c r="F240" s="1236">
        <v>990</v>
      </c>
    </row>
    <row r="241" spans="1:6" s="1225" customFormat="1" ht="14.25" customHeight="1">
      <c r="A241" s="1199" t="s">
        <v>285</v>
      </c>
      <c r="B241" s="1203" t="s">
        <v>2611</v>
      </c>
      <c r="C241" s="1203"/>
      <c r="D241" s="1203"/>
      <c r="E241" s="1203"/>
      <c r="F241" s="1236">
        <v>1000</v>
      </c>
    </row>
    <row r="242" spans="1:6" s="1225" customFormat="1" ht="14.25" customHeight="1">
      <c r="A242" s="1199" t="s">
        <v>285</v>
      </c>
      <c r="B242" s="1203" t="s">
        <v>2615</v>
      </c>
      <c r="C242" s="1203"/>
      <c r="D242" s="1203"/>
      <c r="E242" s="1203"/>
      <c r="F242" s="1236">
        <v>980</v>
      </c>
    </row>
    <row r="243" spans="1:6" s="1225" customFormat="1" ht="14.25" customHeight="1">
      <c r="A243" s="1199" t="s">
        <v>285</v>
      </c>
      <c r="B243" s="1203" t="s">
        <v>2619</v>
      </c>
      <c r="C243" s="1203"/>
      <c r="D243" s="1203"/>
      <c r="E243" s="1203"/>
      <c r="F243" s="1236">
        <v>970</v>
      </c>
    </row>
    <row r="244" spans="1:6" s="1225" customFormat="1" ht="14.25" customHeight="1">
      <c r="A244" s="1199" t="s">
        <v>285</v>
      </c>
      <c r="B244" s="1214" t="s">
        <v>2623</v>
      </c>
      <c r="C244" s="1214"/>
      <c r="D244" s="1214"/>
      <c r="E244" s="1214"/>
      <c r="F244" s="1238">
        <v>970</v>
      </c>
    </row>
    <row r="245" spans="1:6" s="1225" customFormat="1" ht="14.25" customHeight="1">
      <c r="A245" s="1199" t="s">
        <v>288</v>
      </c>
      <c r="B245" s="1200" t="s">
        <v>2316</v>
      </c>
      <c r="C245" s="1200">
        <v>4050</v>
      </c>
      <c r="D245" s="1200">
        <v>4020</v>
      </c>
      <c r="E245" s="1200">
        <v>4160</v>
      </c>
      <c r="F245" s="1233">
        <v>840</v>
      </c>
    </row>
    <row r="246" spans="1:6" s="1225" customFormat="1" ht="14.25" customHeight="1">
      <c r="A246" s="1199" t="s">
        <v>288</v>
      </c>
      <c r="B246" s="1203" t="s">
        <v>2328</v>
      </c>
      <c r="C246" s="1203">
        <v>4010</v>
      </c>
      <c r="D246" s="1203">
        <v>3960</v>
      </c>
      <c r="E246" s="1203">
        <v>4130</v>
      </c>
      <c r="F246" s="1236">
        <v>840</v>
      </c>
    </row>
    <row r="247" spans="1:6" s="1225" customFormat="1" ht="14.25" customHeight="1">
      <c r="A247" s="1199" t="s">
        <v>288</v>
      </c>
      <c r="B247" s="1203" t="s">
        <v>2342</v>
      </c>
      <c r="C247" s="1203">
        <v>3170</v>
      </c>
      <c r="D247" s="1203">
        <v>3140</v>
      </c>
      <c r="E247" s="1203">
        <v>3270</v>
      </c>
      <c r="F247" s="1236">
        <v>640</v>
      </c>
    </row>
    <row r="248" spans="1:6" s="1225" customFormat="1" ht="14.25" customHeight="1">
      <c r="A248" s="1199" t="s">
        <v>288</v>
      </c>
      <c r="B248" s="1203" t="s">
        <v>2354</v>
      </c>
      <c r="C248" s="1203">
        <v>3140</v>
      </c>
      <c r="D248" s="1203">
        <v>3120</v>
      </c>
      <c r="E248" s="1203">
        <v>3240</v>
      </c>
      <c r="F248" s="1236">
        <v>620</v>
      </c>
    </row>
    <row r="249" spans="1:6" s="1225" customFormat="1" ht="14.25" customHeight="1">
      <c r="A249" s="1199" t="s">
        <v>288</v>
      </c>
      <c r="B249" s="1203" t="s">
        <v>2366</v>
      </c>
      <c r="C249" s="1203">
        <v>3200</v>
      </c>
      <c r="D249" s="1203">
        <v>3100</v>
      </c>
      <c r="E249" s="1203">
        <v>3230</v>
      </c>
      <c r="F249" s="1236">
        <v>750</v>
      </c>
    </row>
    <row r="250" spans="1:6" s="1225" customFormat="1" ht="14.25" customHeight="1">
      <c r="A250" s="1199" t="s">
        <v>288</v>
      </c>
      <c r="B250" s="1203" t="s">
        <v>2377</v>
      </c>
      <c r="C250" s="1203">
        <v>4060</v>
      </c>
      <c r="D250" s="1203">
        <v>4000</v>
      </c>
      <c r="E250" s="1203">
        <v>4140</v>
      </c>
      <c r="F250" s="1236">
        <v>790</v>
      </c>
    </row>
    <row r="251" spans="1:6" s="1225" customFormat="1" ht="14.25" customHeight="1">
      <c r="A251" s="1199" t="s">
        <v>288</v>
      </c>
      <c r="B251" s="1203" t="s">
        <v>2388</v>
      </c>
      <c r="C251" s="1203">
        <v>3990</v>
      </c>
      <c r="D251" s="1203">
        <v>3970</v>
      </c>
      <c r="E251" s="1203">
        <v>4110</v>
      </c>
      <c r="F251" s="1236">
        <v>730</v>
      </c>
    </row>
    <row r="252" spans="1:6" s="1225" customFormat="1" ht="14.25" customHeight="1">
      <c r="A252" s="1199" t="s">
        <v>288</v>
      </c>
      <c r="B252" s="1203" t="s">
        <v>2399</v>
      </c>
      <c r="C252" s="1203">
        <v>3560</v>
      </c>
      <c r="D252" s="1203">
        <v>3530</v>
      </c>
      <c r="E252" s="1203">
        <v>3650</v>
      </c>
      <c r="F252" s="1236">
        <v>750</v>
      </c>
    </row>
    <row r="253" spans="1:6" s="1225" customFormat="1" ht="14.25" customHeight="1">
      <c r="A253" s="1199" t="s">
        <v>288</v>
      </c>
      <c r="B253" s="1203" t="s">
        <v>2409</v>
      </c>
      <c r="C253" s="1203">
        <v>3780</v>
      </c>
      <c r="D253" s="1203">
        <v>3750</v>
      </c>
      <c r="E253" s="1203">
        <v>3870</v>
      </c>
      <c r="F253" s="1236">
        <v>770</v>
      </c>
    </row>
    <row r="254" spans="1:6" s="1225" customFormat="1" ht="14.25" customHeight="1">
      <c r="A254" s="1199" t="s">
        <v>288</v>
      </c>
      <c r="B254" s="1203" t="s">
        <v>2419</v>
      </c>
      <c r="C254" s="1242"/>
      <c r="D254" s="1242"/>
      <c r="E254" s="1242"/>
      <c r="F254" s="1236">
        <v>740</v>
      </c>
    </row>
    <row r="255" spans="1:6" s="1225" customFormat="1" ht="14.25" customHeight="1">
      <c r="A255" s="1199" t="s">
        <v>288</v>
      </c>
      <c r="B255" s="1203" t="s">
        <v>2429</v>
      </c>
      <c r="C255" s="1242"/>
      <c r="D255" s="1242"/>
      <c r="E255" s="1242"/>
      <c r="F255" s="1236">
        <v>760</v>
      </c>
    </row>
    <row r="256" spans="1:6" s="1225" customFormat="1" ht="14.25" customHeight="1">
      <c r="A256" s="1199" t="s">
        <v>288</v>
      </c>
      <c r="B256" s="1203" t="s">
        <v>2439</v>
      </c>
      <c r="C256" s="1203">
        <v>3760</v>
      </c>
      <c r="D256" s="1203">
        <v>3730</v>
      </c>
      <c r="E256" s="1203">
        <v>3870</v>
      </c>
      <c r="F256" s="1236">
        <v>830</v>
      </c>
    </row>
    <row r="257" spans="1:6" s="1225" customFormat="1" ht="14.25" customHeight="1">
      <c r="A257" s="1199" t="s">
        <v>288</v>
      </c>
      <c r="B257" s="1203" t="s">
        <v>2449</v>
      </c>
      <c r="C257" s="1203">
        <v>3570</v>
      </c>
      <c r="D257" s="1203">
        <v>3540</v>
      </c>
      <c r="E257" s="1203">
        <v>3650</v>
      </c>
      <c r="F257" s="1236">
        <v>790</v>
      </c>
    </row>
    <row r="258" spans="1:6" s="1225" customFormat="1" ht="14.25" customHeight="1">
      <c r="A258" s="1199" t="s">
        <v>288</v>
      </c>
      <c r="B258" s="1203" t="s">
        <v>2459</v>
      </c>
      <c r="C258" s="1203">
        <v>3410</v>
      </c>
      <c r="D258" s="1203">
        <v>3380</v>
      </c>
      <c r="E258" s="1203">
        <v>3500</v>
      </c>
      <c r="F258" s="1236">
        <v>830</v>
      </c>
    </row>
    <row r="259" spans="1:6" s="1225" customFormat="1" ht="14.25" customHeight="1">
      <c r="A259" s="1199" t="s">
        <v>288</v>
      </c>
      <c r="B259" s="1203" t="s">
        <v>2469</v>
      </c>
      <c r="C259" s="1203">
        <v>3870</v>
      </c>
      <c r="D259" s="1203">
        <v>3840</v>
      </c>
      <c r="E259" s="1203">
        <v>3970</v>
      </c>
      <c r="F259" s="1236">
        <v>830</v>
      </c>
    </row>
    <row r="260" spans="1:6" s="1225" customFormat="1" ht="14.25" customHeight="1">
      <c r="A260" s="1199" t="s">
        <v>288</v>
      </c>
      <c r="B260" s="1203" t="s">
        <v>2479</v>
      </c>
      <c r="C260" s="1203">
        <v>3700</v>
      </c>
      <c r="D260" s="1203">
        <v>3660</v>
      </c>
      <c r="E260" s="1203">
        <v>3810</v>
      </c>
      <c r="F260" s="1236">
        <v>790</v>
      </c>
    </row>
    <row r="261" spans="1:6" s="1225" customFormat="1" ht="14.25" customHeight="1">
      <c r="A261" s="1199" t="s">
        <v>288</v>
      </c>
      <c r="B261" s="1203" t="s">
        <v>2489</v>
      </c>
      <c r="C261" s="1203">
        <v>3470</v>
      </c>
      <c r="D261" s="1203">
        <v>3430</v>
      </c>
      <c r="E261" s="1203">
        <v>3640</v>
      </c>
      <c r="F261" s="1236">
        <v>760</v>
      </c>
    </row>
    <row r="262" spans="1:6" s="1225" customFormat="1" ht="14.25" customHeight="1">
      <c r="A262" s="1199" t="s">
        <v>288</v>
      </c>
      <c r="B262" s="1203" t="s">
        <v>2499</v>
      </c>
      <c r="C262" s="1203">
        <v>3510</v>
      </c>
      <c r="D262" s="1203">
        <v>3470</v>
      </c>
      <c r="E262" s="1203">
        <v>3680</v>
      </c>
      <c r="F262" s="1239"/>
    </row>
    <row r="263" spans="1:6" s="1225" customFormat="1" ht="14.25" customHeight="1">
      <c r="A263" s="1199" t="s">
        <v>288</v>
      </c>
      <c r="B263" s="1203" t="s">
        <v>2509</v>
      </c>
      <c r="C263" s="1203">
        <v>3960</v>
      </c>
      <c r="D263" s="1203">
        <v>3930</v>
      </c>
      <c r="E263" s="1203">
        <v>4070</v>
      </c>
      <c r="F263" s="1236">
        <v>830</v>
      </c>
    </row>
    <row r="264" spans="1:6" s="1225" customFormat="1" ht="14.25" customHeight="1">
      <c r="A264" s="1199" t="s">
        <v>288</v>
      </c>
      <c r="B264" s="1203" t="s">
        <v>2518</v>
      </c>
      <c r="C264" s="1203">
        <v>4010</v>
      </c>
      <c r="D264" s="1203">
        <v>3980</v>
      </c>
      <c r="E264" s="1203">
        <v>4150</v>
      </c>
      <c r="F264" s="1236">
        <v>760</v>
      </c>
    </row>
    <row r="265" spans="1:6" s="1225" customFormat="1" ht="14.25" customHeight="1">
      <c r="A265" s="1199" t="s">
        <v>288</v>
      </c>
      <c r="B265" s="1203" t="s">
        <v>2526</v>
      </c>
      <c r="C265" s="1203">
        <v>3910</v>
      </c>
      <c r="D265" s="1203">
        <v>3890</v>
      </c>
      <c r="E265" s="1203">
        <v>4040</v>
      </c>
      <c r="F265" s="1236">
        <v>780</v>
      </c>
    </row>
    <row r="266" spans="1:6" s="1225" customFormat="1" ht="14.25" customHeight="1">
      <c r="A266" s="1199" t="s">
        <v>288</v>
      </c>
      <c r="B266" s="1203" t="s">
        <v>2534</v>
      </c>
      <c r="C266" s="1203">
        <v>3930</v>
      </c>
      <c r="D266" s="1203">
        <v>3900</v>
      </c>
      <c r="E266" s="1203">
        <v>4080</v>
      </c>
      <c r="F266" s="1236">
        <v>770</v>
      </c>
    </row>
    <row r="267" spans="1:6" s="1225" customFormat="1" ht="14.25" customHeight="1">
      <c r="A267" s="1199" t="s">
        <v>288</v>
      </c>
      <c r="B267" s="1203" t="s">
        <v>2541</v>
      </c>
      <c r="C267" s="1203">
        <v>3800</v>
      </c>
      <c r="D267" s="1203">
        <v>3780</v>
      </c>
      <c r="E267" s="1203">
        <v>3930</v>
      </c>
      <c r="F267" s="1239"/>
    </row>
    <row r="268" spans="1:6" s="1225" customFormat="1" ht="14.25" customHeight="1">
      <c r="A268" s="1199" t="s">
        <v>288</v>
      </c>
      <c r="B268" s="1203" t="s">
        <v>2548</v>
      </c>
      <c r="C268" s="1203">
        <v>3460</v>
      </c>
      <c r="D268" s="1203">
        <v>3430</v>
      </c>
      <c r="E268" s="1203">
        <v>3560</v>
      </c>
      <c r="F268" s="1236">
        <v>840</v>
      </c>
    </row>
    <row r="269" spans="1:6" s="1225" customFormat="1" ht="14.25" customHeight="1">
      <c r="A269" s="1199" t="s">
        <v>288</v>
      </c>
      <c r="B269" s="1203" t="s">
        <v>2555</v>
      </c>
      <c r="C269" s="1203">
        <v>3210</v>
      </c>
      <c r="D269" s="1203">
        <v>3190</v>
      </c>
      <c r="E269" s="1203">
        <v>3310</v>
      </c>
      <c r="F269" s="1236">
        <v>730</v>
      </c>
    </row>
    <row r="270" spans="1:6" s="1225" customFormat="1" ht="14.25" customHeight="1">
      <c r="A270" s="1199" t="s">
        <v>288</v>
      </c>
      <c r="B270" s="1203" t="s">
        <v>2562</v>
      </c>
      <c r="C270" s="1203">
        <v>3240</v>
      </c>
      <c r="D270" s="1203">
        <v>3210</v>
      </c>
      <c r="E270" s="1203">
        <v>3390</v>
      </c>
      <c r="F270" s="1236">
        <v>820</v>
      </c>
    </row>
    <row r="271" spans="1:6" s="1225" customFormat="1" ht="14.25" customHeight="1">
      <c r="A271" s="1199" t="s">
        <v>288</v>
      </c>
      <c r="B271" s="1203" t="s">
        <v>2569</v>
      </c>
      <c r="C271" s="1203">
        <v>3300</v>
      </c>
      <c r="D271" s="1203">
        <v>3270</v>
      </c>
      <c r="E271" s="1203">
        <v>3380</v>
      </c>
      <c r="F271" s="1236">
        <v>750</v>
      </c>
    </row>
    <row r="272" spans="1:6" s="1225" customFormat="1" ht="14.25" customHeight="1">
      <c r="A272" s="1199" t="s">
        <v>288</v>
      </c>
      <c r="B272" s="1203" t="s">
        <v>2574</v>
      </c>
      <c r="C272" s="1242"/>
      <c r="D272" s="1242"/>
      <c r="E272" s="1242"/>
      <c r="F272" s="1236">
        <v>740</v>
      </c>
    </row>
    <row r="273" spans="1:6" s="1225" customFormat="1" ht="14.25" customHeight="1">
      <c r="A273" s="1199" t="s">
        <v>288</v>
      </c>
      <c r="B273" s="1203" t="s">
        <v>2579</v>
      </c>
      <c r="C273" s="1203">
        <v>3130</v>
      </c>
      <c r="D273" s="1203">
        <v>3100</v>
      </c>
      <c r="E273" s="1203">
        <v>3230</v>
      </c>
      <c r="F273" s="1236">
        <v>700</v>
      </c>
    </row>
    <row r="274" spans="1:6" s="1225" customFormat="1" ht="14.25" customHeight="1">
      <c r="A274" s="1199" t="s">
        <v>288</v>
      </c>
      <c r="B274" s="1203" t="s">
        <v>2584</v>
      </c>
      <c r="C274" s="1203">
        <v>3460</v>
      </c>
      <c r="D274" s="1203">
        <v>3430</v>
      </c>
      <c r="E274" s="1203">
        <v>3560</v>
      </c>
      <c r="F274" s="1236">
        <v>690</v>
      </c>
    </row>
    <row r="275" spans="1:6" s="1225" customFormat="1" ht="14.25" customHeight="1">
      <c r="A275" s="1199" t="s">
        <v>288</v>
      </c>
      <c r="B275" s="1203" t="s">
        <v>2589</v>
      </c>
      <c r="C275" s="1203">
        <v>4040</v>
      </c>
      <c r="D275" s="1203">
        <v>4020</v>
      </c>
      <c r="E275" s="1203">
        <v>4160</v>
      </c>
      <c r="F275" s="1236">
        <v>820</v>
      </c>
    </row>
    <row r="276" spans="1:6" s="1225" customFormat="1" ht="14.25" customHeight="1">
      <c r="A276" s="1199" t="s">
        <v>288</v>
      </c>
      <c r="B276" s="1203" t="s">
        <v>2594</v>
      </c>
      <c r="C276" s="1203">
        <v>3270</v>
      </c>
      <c r="D276" s="1203">
        <v>3240</v>
      </c>
      <c r="E276" s="1203">
        <v>3350</v>
      </c>
      <c r="F276" s="1236">
        <v>680</v>
      </c>
    </row>
    <row r="277" spans="1:6" s="1225" customFormat="1" ht="14.25" customHeight="1">
      <c r="A277" s="1199" t="s">
        <v>288</v>
      </c>
      <c r="B277" s="1203" t="s">
        <v>2599</v>
      </c>
      <c r="C277" s="1203">
        <v>2930</v>
      </c>
      <c r="D277" s="1203">
        <v>2900</v>
      </c>
      <c r="E277" s="1203">
        <v>3000</v>
      </c>
      <c r="F277" s="1236">
        <v>640</v>
      </c>
    </row>
    <row r="278" spans="1:6" s="1225" customFormat="1" ht="14.25" customHeight="1">
      <c r="A278" s="1199" t="s">
        <v>288</v>
      </c>
      <c r="B278" s="1203" t="s">
        <v>2604</v>
      </c>
      <c r="C278" s="1203">
        <v>4080</v>
      </c>
      <c r="D278" s="1203">
        <v>4030</v>
      </c>
      <c r="E278" s="1203">
        <v>4140</v>
      </c>
      <c r="F278" s="1236">
        <v>850</v>
      </c>
    </row>
    <row r="279" spans="1:6" s="1225" customFormat="1" ht="14.25" customHeight="1">
      <c r="A279" s="1199" t="s">
        <v>288</v>
      </c>
      <c r="B279" s="1203" t="s">
        <v>2608</v>
      </c>
      <c r="C279" s="1203"/>
      <c r="D279" s="1203"/>
      <c r="E279" s="1203"/>
      <c r="F279" s="1236">
        <v>760</v>
      </c>
    </row>
    <row r="280" spans="1:6" s="1225" customFormat="1" ht="14.25" customHeight="1">
      <c r="A280" s="1199" t="s">
        <v>288</v>
      </c>
      <c r="B280" s="1203" t="s">
        <v>2612</v>
      </c>
      <c r="C280" s="1203"/>
      <c r="D280" s="1203"/>
      <c r="E280" s="1203"/>
      <c r="F280" s="1236">
        <v>760</v>
      </c>
    </row>
    <row r="281" spans="1:6" s="1225" customFormat="1" ht="14.25" customHeight="1">
      <c r="A281" s="1199" t="s">
        <v>288</v>
      </c>
      <c r="B281" s="1203" t="s">
        <v>2616</v>
      </c>
      <c r="C281" s="1203"/>
      <c r="D281" s="1203"/>
      <c r="E281" s="1203"/>
      <c r="F281" s="1236">
        <v>780</v>
      </c>
    </row>
    <row r="282" spans="1:6" s="1225" customFormat="1" ht="14.25" customHeight="1">
      <c r="A282" s="1199" t="s">
        <v>288</v>
      </c>
      <c r="B282" s="1203" t="s">
        <v>2620</v>
      </c>
      <c r="C282" s="1203"/>
      <c r="D282" s="1203"/>
      <c r="E282" s="1203"/>
      <c r="F282" s="1236">
        <v>730</v>
      </c>
    </row>
    <row r="283" spans="1:6" s="1225" customFormat="1" ht="14.25" customHeight="1">
      <c r="A283" s="1199" t="s">
        <v>288</v>
      </c>
      <c r="B283" s="1203" t="s">
        <v>2624</v>
      </c>
      <c r="C283" s="1203"/>
      <c r="D283" s="1203"/>
      <c r="E283" s="1203"/>
      <c r="F283" s="1236">
        <v>770</v>
      </c>
    </row>
    <row r="284" spans="1:6" s="1225" customFormat="1" ht="14.25" customHeight="1">
      <c r="A284" s="1199" t="s">
        <v>288</v>
      </c>
      <c r="B284" s="1203" t="s">
        <v>2627</v>
      </c>
      <c r="C284" s="1203"/>
      <c r="D284" s="1203"/>
      <c r="E284" s="1203"/>
      <c r="F284" s="1236">
        <v>640</v>
      </c>
    </row>
    <row r="285" spans="1:6" s="1225" customFormat="1" ht="14.25" customHeight="1">
      <c r="A285" s="1199" t="s">
        <v>288</v>
      </c>
      <c r="B285" s="1203" t="s">
        <v>2630</v>
      </c>
      <c r="C285" s="1203"/>
      <c r="D285" s="1203"/>
      <c r="E285" s="1203"/>
      <c r="F285" s="1236">
        <v>640</v>
      </c>
    </row>
    <row r="286" spans="1:6" s="1225" customFormat="1" ht="14.25" customHeight="1">
      <c r="A286" s="1199" t="s">
        <v>288</v>
      </c>
      <c r="B286" s="1203" t="s">
        <v>2633</v>
      </c>
      <c r="C286" s="1203"/>
      <c r="D286" s="1203"/>
      <c r="E286" s="1203"/>
      <c r="F286" s="1236">
        <v>850</v>
      </c>
    </row>
    <row r="287" spans="1:6" s="1225" customFormat="1" ht="14.25" customHeight="1">
      <c r="A287" s="1199" t="s">
        <v>288</v>
      </c>
      <c r="B287" s="1203" t="s">
        <v>2636</v>
      </c>
      <c r="C287" s="1203"/>
      <c r="D287" s="1203"/>
      <c r="E287" s="1203"/>
      <c r="F287" s="1236">
        <v>760</v>
      </c>
    </row>
    <row r="288" spans="1:6" s="1225" customFormat="1" ht="14.25" customHeight="1">
      <c r="A288" s="1199" t="s">
        <v>288</v>
      </c>
      <c r="B288" s="1203" t="s">
        <v>2639</v>
      </c>
      <c r="C288" s="1203"/>
      <c r="D288" s="1203"/>
      <c r="E288" s="1203"/>
      <c r="F288" s="1236">
        <v>830</v>
      </c>
    </row>
    <row r="289" spans="1:6" s="1225" customFormat="1" ht="14.25" customHeight="1">
      <c r="A289" s="1199" t="s">
        <v>288</v>
      </c>
      <c r="B289" s="1214" t="s">
        <v>2642</v>
      </c>
      <c r="C289" s="1214"/>
      <c r="D289" s="1214"/>
      <c r="E289" s="1214"/>
      <c r="F289" s="1238">
        <v>680</v>
      </c>
    </row>
    <row r="290" spans="1:6" s="1225" customFormat="1" ht="14.25" customHeight="1">
      <c r="A290" s="1199" t="s">
        <v>291</v>
      </c>
      <c r="B290" s="1200" t="s">
        <v>2317</v>
      </c>
      <c r="C290" s="1200">
        <v>2770</v>
      </c>
      <c r="D290" s="1200">
        <v>2740</v>
      </c>
      <c r="E290" s="1200">
        <v>2720</v>
      </c>
      <c r="F290" s="1243"/>
    </row>
    <row r="291" spans="1:6" s="1225" customFormat="1" ht="14.25" customHeight="1">
      <c r="A291" s="1199" t="s">
        <v>291</v>
      </c>
      <c r="B291" s="1203" t="s">
        <v>2329</v>
      </c>
      <c r="C291" s="1203">
        <v>2670</v>
      </c>
      <c r="D291" s="1203">
        <v>2640</v>
      </c>
      <c r="E291" s="1203">
        <v>2620</v>
      </c>
      <c r="F291" s="1239"/>
    </row>
    <row r="292" spans="1:6" s="1225" customFormat="1" ht="14.25" customHeight="1">
      <c r="A292" s="1199" t="s">
        <v>291</v>
      </c>
      <c r="B292" s="1203" t="s">
        <v>2343</v>
      </c>
      <c r="C292" s="1203">
        <v>2180</v>
      </c>
      <c r="D292" s="1203">
        <v>2140</v>
      </c>
      <c r="E292" s="1203">
        <v>2120</v>
      </c>
      <c r="F292" s="1236">
        <v>490</v>
      </c>
    </row>
    <row r="293" spans="1:6" s="1225" customFormat="1" ht="14.25" customHeight="1">
      <c r="A293" s="1199" t="s">
        <v>291</v>
      </c>
      <c r="B293" s="1203" t="s">
        <v>2649</v>
      </c>
      <c r="C293" s="1203"/>
      <c r="D293" s="1203"/>
      <c r="E293" s="1203"/>
      <c r="F293" s="1236">
        <v>470</v>
      </c>
    </row>
    <row r="294" spans="1:6" s="1225" customFormat="1" ht="14.25" customHeight="1">
      <c r="A294" s="1199" t="s">
        <v>291</v>
      </c>
      <c r="B294" s="1203" t="s">
        <v>2355</v>
      </c>
      <c r="C294" s="1203">
        <v>2730</v>
      </c>
      <c r="D294" s="1203">
        <v>2700</v>
      </c>
      <c r="E294" s="1203">
        <v>2680</v>
      </c>
      <c r="F294" s="1236">
        <v>490</v>
      </c>
    </row>
    <row r="295" spans="1:6" s="1225" customFormat="1" ht="14.25" customHeight="1">
      <c r="A295" s="1199" t="s">
        <v>291</v>
      </c>
      <c r="B295" s="1203" t="s">
        <v>2367</v>
      </c>
      <c r="C295" s="1203">
        <v>2380</v>
      </c>
      <c r="D295" s="1203">
        <v>2350</v>
      </c>
      <c r="E295" s="1203">
        <v>2330</v>
      </c>
      <c r="F295" s="1236">
        <v>530</v>
      </c>
    </row>
    <row r="296" spans="1:6" s="1225" customFormat="1" ht="14.25" customHeight="1">
      <c r="A296" s="1199" t="s">
        <v>291</v>
      </c>
      <c r="B296" s="1203" t="s">
        <v>2378</v>
      </c>
      <c r="C296" s="1203">
        <v>2650</v>
      </c>
      <c r="D296" s="1203">
        <v>2620</v>
      </c>
      <c r="E296" s="1203">
        <v>2590</v>
      </c>
      <c r="F296" s="1236">
        <v>590</v>
      </c>
    </row>
    <row r="297" spans="1:6" s="1225" customFormat="1" ht="14.25" customHeight="1">
      <c r="A297" s="1199" t="s">
        <v>291</v>
      </c>
      <c r="B297" s="1203" t="s">
        <v>2389</v>
      </c>
      <c r="C297" s="1203">
        <v>2700</v>
      </c>
      <c r="D297" s="1203">
        <v>2670</v>
      </c>
      <c r="E297" s="1203">
        <v>2650</v>
      </c>
      <c r="F297" s="1236">
        <v>630</v>
      </c>
    </row>
    <row r="298" spans="1:6" s="1225" customFormat="1" ht="14.25" customHeight="1">
      <c r="A298" s="1199" t="s">
        <v>291</v>
      </c>
      <c r="B298" s="1203" t="s">
        <v>2400</v>
      </c>
      <c r="C298" s="1203">
        <v>2650</v>
      </c>
      <c r="D298" s="1203">
        <v>2620</v>
      </c>
      <c r="E298" s="1203">
        <v>2590</v>
      </c>
      <c r="F298" s="1236">
        <v>640</v>
      </c>
    </row>
    <row r="299" spans="1:6" s="1225" customFormat="1" ht="14.25" customHeight="1">
      <c r="A299" s="1199" t="s">
        <v>291</v>
      </c>
      <c r="B299" s="1203" t="s">
        <v>2410</v>
      </c>
      <c r="C299" s="1203">
        <v>2500</v>
      </c>
      <c r="D299" s="1203">
        <v>2480</v>
      </c>
      <c r="E299" s="1203">
        <v>2460</v>
      </c>
      <c r="F299" s="1239"/>
    </row>
    <row r="300" spans="1:6" s="1225" customFormat="1" ht="14.25" customHeight="1">
      <c r="A300" s="1199" t="s">
        <v>291</v>
      </c>
      <c r="B300" s="1203" t="s">
        <v>2420</v>
      </c>
      <c r="C300" s="1203">
        <v>2760</v>
      </c>
      <c r="D300" s="1203">
        <v>2730</v>
      </c>
      <c r="E300" s="1203">
        <v>2700</v>
      </c>
      <c r="F300" s="1236">
        <v>630</v>
      </c>
    </row>
    <row r="301" spans="1:6" s="1225" customFormat="1" ht="14.25" customHeight="1">
      <c r="A301" s="1199" t="s">
        <v>291</v>
      </c>
      <c r="B301" s="1203" t="s">
        <v>2430</v>
      </c>
      <c r="C301" s="1203">
        <v>2510</v>
      </c>
      <c r="D301" s="1203">
        <v>2480</v>
      </c>
      <c r="E301" s="1203">
        <v>2460</v>
      </c>
      <c r="F301" s="1239"/>
    </row>
    <row r="302" spans="1:6" s="1225" customFormat="1" ht="14.25" customHeight="1">
      <c r="A302" s="1199" t="s">
        <v>291</v>
      </c>
      <c r="B302" s="1203" t="s">
        <v>2440</v>
      </c>
      <c r="C302" s="1203">
        <v>2480</v>
      </c>
      <c r="D302" s="1203">
        <v>2450</v>
      </c>
      <c r="E302" s="1203">
        <v>2420</v>
      </c>
      <c r="F302" s="1236">
        <v>600</v>
      </c>
    </row>
    <row r="303" spans="1:6" s="1225" customFormat="1" ht="14.25" customHeight="1">
      <c r="A303" s="1199" t="s">
        <v>291</v>
      </c>
      <c r="B303" s="1203" t="s">
        <v>2450</v>
      </c>
      <c r="C303" s="1203">
        <v>2270</v>
      </c>
      <c r="D303" s="1203">
        <v>2240</v>
      </c>
      <c r="E303" s="1203">
        <v>2210</v>
      </c>
      <c r="F303" s="1236">
        <v>540</v>
      </c>
    </row>
    <row r="304" spans="1:6" s="1225" customFormat="1" ht="14.25" customHeight="1">
      <c r="A304" s="1199" t="s">
        <v>291</v>
      </c>
      <c r="B304" s="1203" t="s">
        <v>2460</v>
      </c>
      <c r="C304" s="1203">
        <v>2310</v>
      </c>
      <c r="D304" s="1203">
        <v>2290</v>
      </c>
      <c r="E304" s="1203">
        <v>2270</v>
      </c>
      <c r="F304" s="1239"/>
    </row>
    <row r="305" spans="1:6" s="1225" customFormat="1" ht="14.25" customHeight="1">
      <c r="A305" s="1199" t="s">
        <v>291</v>
      </c>
      <c r="B305" s="1203" t="s">
        <v>2470</v>
      </c>
      <c r="C305" s="1203">
        <v>2490</v>
      </c>
      <c r="D305" s="1203">
        <v>2470</v>
      </c>
      <c r="E305" s="1203">
        <v>2440</v>
      </c>
      <c r="F305" s="1236">
        <v>560</v>
      </c>
    </row>
    <row r="306" spans="1:6" s="1225" customFormat="1" ht="14.25" customHeight="1">
      <c r="A306" s="1199" t="s">
        <v>291</v>
      </c>
      <c r="B306" s="1203" t="s">
        <v>2480</v>
      </c>
      <c r="C306" s="1203">
        <v>2420</v>
      </c>
      <c r="D306" s="1203">
        <v>2400</v>
      </c>
      <c r="E306" s="1203">
        <v>2380</v>
      </c>
      <c r="F306" s="1239"/>
    </row>
    <row r="307" spans="1:6" s="1225" customFormat="1" ht="14.25" customHeight="1">
      <c r="A307" s="1199" t="s">
        <v>291</v>
      </c>
      <c r="B307" s="1203" t="s">
        <v>2490</v>
      </c>
      <c r="C307" s="1203">
        <v>2770</v>
      </c>
      <c r="D307" s="1203">
        <v>2740</v>
      </c>
      <c r="E307" s="1203">
        <v>2710</v>
      </c>
      <c r="F307" s="1236">
        <v>650</v>
      </c>
    </row>
    <row r="308" spans="1:6" s="1225" customFormat="1" ht="14.25" customHeight="1">
      <c r="A308" s="1199" t="s">
        <v>291</v>
      </c>
      <c r="B308" s="1203" t="s">
        <v>2500</v>
      </c>
      <c r="C308" s="1203">
        <v>2610</v>
      </c>
      <c r="D308" s="1203">
        <v>2580</v>
      </c>
      <c r="E308" s="1203">
        <v>2550</v>
      </c>
      <c r="F308" s="1236">
        <v>580</v>
      </c>
    </row>
    <row r="309" spans="1:6" s="1225" customFormat="1" ht="14.25" customHeight="1">
      <c r="A309" s="1199" t="s">
        <v>291</v>
      </c>
      <c r="B309" s="1203" t="s">
        <v>2510</v>
      </c>
      <c r="C309" s="1203">
        <v>2690</v>
      </c>
      <c r="D309" s="1203">
        <v>2670</v>
      </c>
      <c r="E309" s="1203">
        <v>2650</v>
      </c>
      <c r="F309" s="1239"/>
    </row>
    <row r="310" spans="1:6" s="1225" customFormat="1" ht="14.25" customHeight="1">
      <c r="A310" s="1199" t="s">
        <v>291</v>
      </c>
      <c r="B310" s="1203" t="s">
        <v>2519</v>
      </c>
      <c r="C310" s="1203">
        <v>2360</v>
      </c>
      <c r="D310" s="1203">
        <v>2330</v>
      </c>
      <c r="E310" s="1203">
        <v>2310</v>
      </c>
      <c r="F310" s="1236">
        <v>560</v>
      </c>
    </row>
    <row r="311" spans="1:6" s="1225" customFormat="1" ht="14.25" customHeight="1">
      <c r="A311" s="1199" t="s">
        <v>291</v>
      </c>
      <c r="B311" s="1203" t="s">
        <v>2527</v>
      </c>
      <c r="C311" s="1203">
        <v>1970</v>
      </c>
      <c r="D311" s="1203">
        <v>1950</v>
      </c>
      <c r="E311" s="1203">
        <v>1920</v>
      </c>
      <c r="F311" s="1236">
        <v>470</v>
      </c>
    </row>
    <row r="312" spans="1:6" s="1225" customFormat="1" ht="14.25" customHeight="1">
      <c r="A312" s="1199" t="s">
        <v>291</v>
      </c>
      <c r="B312" s="1203" t="s">
        <v>2535</v>
      </c>
      <c r="C312" s="1203">
        <v>2230</v>
      </c>
      <c r="D312" s="1203">
        <v>2200</v>
      </c>
      <c r="E312" s="1203">
        <v>2170</v>
      </c>
      <c r="F312" s="1236">
        <v>460</v>
      </c>
    </row>
    <row r="313" spans="1:6" s="1225" customFormat="1" ht="14.25" customHeight="1">
      <c r="A313" s="1199" t="s">
        <v>291</v>
      </c>
      <c r="B313" s="1203" t="s">
        <v>2542</v>
      </c>
      <c r="C313" s="1203">
        <v>2770</v>
      </c>
      <c r="D313" s="1203">
        <v>2740</v>
      </c>
      <c r="E313" s="1203">
        <v>2710</v>
      </c>
      <c r="F313" s="1236">
        <v>610</v>
      </c>
    </row>
    <row r="314" spans="1:6" s="1225" customFormat="1" ht="14.25" customHeight="1">
      <c r="A314" s="1199" t="s">
        <v>291</v>
      </c>
      <c r="B314" s="1203" t="s">
        <v>2549</v>
      </c>
      <c r="C314" s="1203"/>
      <c r="D314" s="1203"/>
      <c r="E314" s="1203"/>
      <c r="F314" s="1236">
        <v>490</v>
      </c>
    </row>
    <row r="315" spans="1:6" s="1225" customFormat="1" ht="14.25" customHeight="1">
      <c r="A315" s="1199" t="s">
        <v>291</v>
      </c>
      <c r="B315" s="1203" t="s">
        <v>2556</v>
      </c>
      <c r="C315" s="1203"/>
      <c r="D315" s="1203"/>
      <c r="E315" s="1203"/>
      <c r="F315" s="1236">
        <v>520</v>
      </c>
    </row>
    <row r="316" spans="1:6" s="1225" customFormat="1" ht="14.25" customHeight="1">
      <c r="A316" s="1199" t="s">
        <v>291</v>
      </c>
      <c r="B316" s="1214" t="s">
        <v>2563</v>
      </c>
      <c r="C316" s="1214"/>
      <c r="D316" s="1214"/>
      <c r="E316" s="1214"/>
      <c r="F316" s="1238">
        <v>460</v>
      </c>
    </row>
    <row r="317" spans="1:6" s="1225" customFormat="1" ht="14.25" customHeight="1">
      <c r="A317" s="1199" t="s">
        <v>294</v>
      </c>
      <c r="B317" s="1200" t="s">
        <v>2318</v>
      </c>
      <c r="C317" s="1200">
        <v>1200</v>
      </c>
      <c r="D317" s="1200">
        <v>1180</v>
      </c>
      <c r="E317" s="1200">
        <v>1160</v>
      </c>
      <c r="F317" s="1233">
        <v>370</v>
      </c>
    </row>
    <row r="318" spans="1:6" s="1225" customFormat="1" ht="14.25" customHeight="1">
      <c r="A318" s="1199" t="s">
        <v>294</v>
      </c>
      <c r="B318" s="1203" t="s">
        <v>2330</v>
      </c>
      <c r="C318" s="1203">
        <v>1090</v>
      </c>
      <c r="D318" s="1203">
        <v>1060</v>
      </c>
      <c r="E318" s="1203">
        <v>1040</v>
      </c>
      <c r="F318" s="1239"/>
    </row>
    <row r="319" spans="1:6" s="1225" customFormat="1" ht="14.25" customHeight="1">
      <c r="A319" s="1199" t="s">
        <v>294</v>
      </c>
      <c r="B319" s="1203" t="s">
        <v>2344</v>
      </c>
      <c r="C319" s="1203">
        <v>1520</v>
      </c>
      <c r="D319" s="1203">
        <v>1470</v>
      </c>
      <c r="E319" s="1203">
        <v>1440</v>
      </c>
      <c r="F319" s="1236">
        <v>370</v>
      </c>
    </row>
    <row r="320" spans="1:6" s="1225" customFormat="1" ht="14.25" customHeight="1">
      <c r="A320" s="1199" t="s">
        <v>294</v>
      </c>
      <c r="B320" s="1203" t="s">
        <v>2356</v>
      </c>
      <c r="C320" s="1203">
        <v>1360</v>
      </c>
      <c r="D320" s="1203">
        <v>1300</v>
      </c>
      <c r="E320" s="1203">
        <v>1270</v>
      </c>
      <c r="F320" s="1239"/>
    </row>
    <row r="321" spans="1:6" s="1225" customFormat="1" ht="14.25" customHeight="1">
      <c r="A321" s="1199" t="s">
        <v>294</v>
      </c>
      <c r="B321" s="1203" t="s">
        <v>2368</v>
      </c>
      <c r="C321" s="1203">
        <v>1750</v>
      </c>
      <c r="D321" s="1203">
        <v>1690</v>
      </c>
      <c r="E321" s="1203">
        <v>1660</v>
      </c>
      <c r="F321" s="1239"/>
    </row>
    <row r="322" spans="1:6" s="1225" customFormat="1" ht="14.25" customHeight="1">
      <c r="A322" s="1199" t="s">
        <v>294</v>
      </c>
      <c r="B322" s="1203" t="s">
        <v>2379</v>
      </c>
      <c r="C322" s="1203">
        <v>1650</v>
      </c>
      <c r="D322" s="1203">
        <v>1610</v>
      </c>
      <c r="E322" s="1203">
        <v>1580</v>
      </c>
      <c r="F322" s="1236">
        <v>500</v>
      </c>
    </row>
    <row r="323" spans="1:6" s="1225" customFormat="1" ht="14.25" customHeight="1">
      <c r="A323" s="1199" t="s">
        <v>294</v>
      </c>
      <c r="B323" s="1203" t="s">
        <v>2390</v>
      </c>
      <c r="C323" s="1203">
        <v>1780</v>
      </c>
      <c r="D323" s="1203">
        <v>1740</v>
      </c>
      <c r="E323" s="1203">
        <v>1720</v>
      </c>
      <c r="F323" s="1239"/>
    </row>
    <row r="324" spans="1:6" s="1225" customFormat="1" ht="14.25" customHeight="1">
      <c r="A324" s="1199" t="s">
        <v>294</v>
      </c>
      <c r="B324" s="1203" t="s">
        <v>2401</v>
      </c>
      <c r="C324" s="1203">
        <v>1650</v>
      </c>
      <c r="D324" s="1203">
        <v>1610</v>
      </c>
      <c r="E324" s="1203">
        <v>1580</v>
      </c>
      <c r="F324" s="1239"/>
    </row>
    <row r="325" spans="1:6" s="1225" customFormat="1" ht="14.25" customHeight="1">
      <c r="A325" s="1199" t="s">
        <v>294</v>
      </c>
      <c r="B325" s="1203" t="s">
        <v>2411</v>
      </c>
      <c r="C325" s="1203">
        <v>1330</v>
      </c>
      <c r="D325" s="1203">
        <v>1270</v>
      </c>
      <c r="E325" s="1203">
        <v>1240</v>
      </c>
      <c r="F325" s="1236">
        <v>430</v>
      </c>
    </row>
    <row r="326" spans="1:6" s="1225" customFormat="1" ht="14.25" customHeight="1">
      <c r="A326" s="1199" t="s">
        <v>294</v>
      </c>
      <c r="B326" s="1203" t="s">
        <v>2421</v>
      </c>
      <c r="C326" s="1203">
        <v>1470</v>
      </c>
      <c r="D326" s="1203">
        <v>1430</v>
      </c>
      <c r="E326" s="1203">
        <v>1400</v>
      </c>
      <c r="F326" s="1239"/>
    </row>
    <row r="327" spans="1:6" s="1225" customFormat="1" ht="14.25" customHeight="1">
      <c r="A327" s="1199" t="s">
        <v>294</v>
      </c>
      <c r="B327" s="1203" t="s">
        <v>2431</v>
      </c>
      <c r="C327" s="1203">
        <v>1420</v>
      </c>
      <c r="D327" s="1203">
        <v>1380</v>
      </c>
      <c r="E327" s="1203">
        <v>1360</v>
      </c>
      <c r="F327" s="1236">
        <v>420</v>
      </c>
    </row>
    <row r="328" spans="1:6" s="1225" customFormat="1" ht="14.25" customHeight="1">
      <c r="A328" s="1199" t="s">
        <v>294</v>
      </c>
      <c r="B328" s="1203" t="s">
        <v>2441</v>
      </c>
      <c r="C328" s="1203">
        <v>1400</v>
      </c>
      <c r="D328" s="1203">
        <v>1360</v>
      </c>
      <c r="E328" s="1203">
        <v>1330</v>
      </c>
      <c r="F328" s="1236">
        <v>460</v>
      </c>
    </row>
    <row r="329" spans="1:6" s="1225" customFormat="1" ht="14.25" customHeight="1">
      <c r="A329" s="1199" t="s">
        <v>294</v>
      </c>
      <c r="B329" s="1203" t="s">
        <v>2451</v>
      </c>
      <c r="C329" s="1203">
        <v>1640</v>
      </c>
      <c r="D329" s="1203">
        <v>1610</v>
      </c>
      <c r="E329" s="1203">
        <v>1580</v>
      </c>
      <c r="F329" s="1236">
        <v>410</v>
      </c>
    </row>
    <row r="330" spans="1:6" s="1225" customFormat="1" ht="14.25" customHeight="1">
      <c r="A330" s="1199" t="s">
        <v>294</v>
      </c>
      <c r="B330" s="1203" t="s">
        <v>2461</v>
      </c>
      <c r="C330" s="1203">
        <v>1260</v>
      </c>
      <c r="D330" s="1203">
        <v>1220</v>
      </c>
      <c r="E330" s="1203">
        <v>1200</v>
      </c>
      <c r="F330" s="1239"/>
    </row>
    <row r="331" spans="1:6" s="1225" customFormat="1" ht="14.25" customHeight="1">
      <c r="A331" s="1199" t="s">
        <v>294</v>
      </c>
      <c r="B331" s="1203" t="s">
        <v>2471</v>
      </c>
      <c r="C331" s="1203">
        <v>1620</v>
      </c>
      <c r="D331" s="1203">
        <v>1560</v>
      </c>
      <c r="E331" s="1203">
        <v>1530</v>
      </c>
      <c r="F331" s="1236">
        <v>490</v>
      </c>
    </row>
    <row r="332" spans="1:6" s="1225" customFormat="1" ht="14.25" customHeight="1">
      <c r="A332" s="1199" t="s">
        <v>294</v>
      </c>
      <c r="B332" s="1203" t="s">
        <v>2481</v>
      </c>
      <c r="C332" s="1203">
        <v>1520</v>
      </c>
      <c r="D332" s="1203">
        <v>1470</v>
      </c>
      <c r="E332" s="1203">
        <v>1440</v>
      </c>
      <c r="F332" s="1236">
        <v>440</v>
      </c>
    </row>
    <row r="333" spans="1:6" s="1225" customFormat="1" ht="14.25" customHeight="1">
      <c r="A333" s="1199" t="s">
        <v>294</v>
      </c>
      <c r="B333" s="1203" t="s">
        <v>2491</v>
      </c>
      <c r="C333" s="1203">
        <v>1370</v>
      </c>
      <c r="D333" s="1203">
        <v>1320</v>
      </c>
      <c r="E333" s="1203">
        <v>1300</v>
      </c>
      <c r="F333" s="1236">
        <v>460</v>
      </c>
    </row>
    <row r="334" spans="1:6" s="1225" customFormat="1" ht="14.25" customHeight="1">
      <c r="A334" s="1199" t="s">
        <v>294</v>
      </c>
      <c r="B334" s="1203" t="s">
        <v>2501</v>
      </c>
      <c r="C334" s="1203">
        <v>1410</v>
      </c>
      <c r="D334" s="1203">
        <v>1340</v>
      </c>
      <c r="E334" s="1203">
        <v>1310</v>
      </c>
      <c r="F334" s="1236">
        <v>410</v>
      </c>
    </row>
    <row r="335" spans="1:6" s="1225" customFormat="1" ht="14.25" customHeight="1">
      <c r="A335" s="1199" t="s">
        <v>294</v>
      </c>
      <c r="B335" s="1203" t="s">
        <v>2511</v>
      </c>
      <c r="C335" s="1203">
        <v>1260</v>
      </c>
      <c r="D335" s="1203">
        <v>1220</v>
      </c>
      <c r="E335" s="1203">
        <v>1200</v>
      </c>
      <c r="F335" s="1239"/>
    </row>
    <row r="336" spans="1:6" s="1225" customFormat="1" ht="14.25" customHeight="1">
      <c r="A336" s="1199" t="s">
        <v>294</v>
      </c>
      <c r="B336" s="1203" t="s">
        <v>2520</v>
      </c>
      <c r="C336" s="1203">
        <v>1160</v>
      </c>
      <c r="D336" s="1203">
        <v>1140</v>
      </c>
      <c r="E336" s="1203">
        <v>1120</v>
      </c>
      <c r="F336" s="1236">
        <v>430</v>
      </c>
    </row>
    <row r="337" spans="1:6" s="1225" customFormat="1" ht="14.25" customHeight="1">
      <c r="A337" s="1199" t="s">
        <v>294</v>
      </c>
      <c r="B337" s="1214" t="s">
        <v>2528</v>
      </c>
      <c r="C337" s="1214"/>
      <c r="D337" s="1214"/>
      <c r="E337" s="1214"/>
      <c r="F337" s="1238">
        <v>380</v>
      </c>
    </row>
    <row r="338" spans="1:6" s="1225" customFormat="1" ht="14.25" customHeight="1">
      <c r="A338" s="1199" t="s">
        <v>297</v>
      </c>
      <c r="B338" s="1200" t="s">
        <v>2319</v>
      </c>
      <c r="C338" s="1200">
        <v>880</v>
      </c>
      <c r="D338" s="1200">
        <v>850</v>
      </c>
      <c r="E338" s="1200">
        <v>830</v>
      </c>
      <c r="F338" s="1243"/>
    </row>
    <row r="339" spans="1:6" s="1225" customFormat="1" ht="14.25" customHeight="1">
      <c r="A339" s="1199" t="s">
        <v>297</v>
      </c>
      <c r="B339" s="1203" t="s">
        <v>2331</v>
      </c>
      <c r="C339" s="1203">
        <v>830</v>
      </c>
      <c r="D339" s="1203">
        <v>800</v>
      </c>
      <c r="E339" s="1203">
        <v>780</v>
      </c>
      <c r="F339" s="1239"/>
    </row>
    <row r="340" spans="1:6" s="1225" customFormat="1" ht="14.25" customHeight="1">
      <c r="A340" s="1199" t="s">
        <v>297</v>
      </c>
      <c r="B340" s="1203" t="s">
        <v>2345</v>
      </c>
      <c r="C340" s="1203">
        <v>980</v>
      </c>
      <c r="D340" s="1203">
        <v>950</v>
      </c>
      <c r="E340" s="1203">
        <v>920</v>
      </c>
      <c r="F340" s="1239"/>
    </row>
    <row r="341" spans="1:6" s="1225" customFormat="1" ht="14.25" customHeight="1">
      <c r="A341" s="1199" t="s">
        <v>297</v>
      </c>
      <c r="B341" s="1203" t="s">
        <v>2357</v>
      </c>
      <c r="C341" s="1203">
        <v>760</v>
      </c>
      <c r="D341" s="1203">
        <v>720</v>
      </c>
      <c r="E341" s="1203">
        <v>690</v>
      </c>
      <c r="F341" s="1236">
        <v>350</v>
      </c>
    </row>
    <row r="342" spans="1:6" s="1225" customFormat="1" ht="14.25" customHeight="1">
      <c r="A342" s="1199" t="s">
        <v>297</v>
      </c>
      <c r="B342" s="1203" t="s">
        <v>2369</v>
      </c>
      <c r="C342" s="1203">
        <v>910</v>
      </c>
      <c r="D342" s="1203">
        <v>870</v>
      </c>
      <c r="E342" s="1203">
        <v>850</v>
      </c>
      <c r="F342" s="1236">
        <v>370</v>
      </c>
    </row>
    <row r="343" spans="1:6" s="1225" customFormat="1" ht="14.25" customHeight="1">
      <c r="A343" s="1199" t="s">
        <v>297</v>
      </c>
      <c r="B343" s="1203" t="s">
        <v>2380</v>
      </c>
      <c r="C343" s="1203">
        <v>800</v>
      </c>
      <c r="D343" s="1203">
        <v>760</v>
      </c>
      <c r="E343" s="1203">
        <v>730</v>
      </c>
      <c r="F343" s="1236">
        <v>340</v>
      </c>
    </row>
    <row r="344" spans="1:6" s="1225" customFormat="1" ht="14.25" customHeight="1">
      <c r="A344" s="1199" t="s">
        <v>297</v>
      </c>
      <c r="B344" s="1214" t="s">
        <v>2391</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1193" customWidth="1"/>
    <col min="2" max="2" width="10.21875" style="1194" customWidth="1"/>
  </cols>
  <sheetData>
    <row r="1" spans="1:6">
      <c r="A1" s="3331" t="s">
        <v>2650</v>
      </c>
      <c r="B1" s="3331"/>
    </row>
    <row r="2" spans="1:6">
      <c r="A2" s="1195"/>
      <c r="B2" s="1195"/>
    </row>
    <row r="3" spans="1:6">
      <c r="A3" s="1195"/>
      <c r="B3" s="1195"/>
      <c r="C3" s="1196" t="s">
        <v>1277</v>
      </c>
      <c r="D3" s="1196" t="s">
        <v>447</v>
      </c>
      <c r="E3" s="1196" t="s">
        <v>1910</v>
      </c>
      <c r="F3" s="1196" t="s">
        <v>1716</v>
      </c>
    </row>
    <row r="4" spans="1:6">
      <c r="A4" s="1197" t="s">
        <v>2320</v>
      </c>
      <c r="B4" s="1198" t="s">
        <v>2332</v>
      </c>
      <c r="C4" s="1196"/>
      <c r="D4" s="1196"/>
      <c r="E4" s="1196"/>
      <c r="F4" s="1196"/>
    </row>
    <row r="5" spans="1:6">
      <c r="A5" s="1199" t="s">
        <v>232</v>
      </c>
      <c r="B5" s="1200" t="s">
        <v>2308</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2334</v>
      </c>
      <c r="C7" s="1204">
        <v>8.5999999999999993E-2</v>
      </c>
      <c r="D7" s="1204">
        <v>9.6000000000000002E-2</v>
      </c>
      <c r="E7" s="1204">
        <v>7.5999999999999998E-2</v>
      </c>
      <c r="F7" s="1205">
        <v>0.1</v>
      </c>
    </row>
    <row r="8" spans="1:6">
      <c r="A8" s="1199" t="s">
        <v>232</v>
      </c>
      <c r="B8" s="1203" t="s">
        <v>2346</v>
      </c>
      <c r="C8" s="1204">
        <v>9.9000000000000005E-2</v>
      </c>
      <c r="D8" s="1204">
        <v>9.8000000000000004E-2</v>
      </c>
      <c r="E8" s="1204">
        <v>9.8000000000000004E-2</v>
      </c>
      <c r="F8" s="1205">
        <v>0.1</v>
      </c>
    </row>
    <row r="9" spans="1:6">
      <c r="A9" s="1207" t="s">
        <v>232</v>
      </c>
      <c r="B9" s="1208" t="s">
        <v>2358</v>
      </c>
      <c r="C9" s="1209">
        <v>0.05</v>
      </c>
      <c r="D9" s="1210"/>
      <c r="E9" s="1210"/>
      <c r="F9" s="1211"/>
    </row>
    <row r="10" spans="1:6">
      <c r="A10" s="1199" t="s">
        <v>243</v>
      </c>
      <c r="B10" s="1200" t="s">
        <v>2309</v>
      </c>
      <c r="C10" s="1201">
        <v>8.8999999999999996E-2</v>
      </c>
      <c r="D10" s="1201">
        <v>7.2999999999999995E-2</v>
      </c>
      <c r="E10" s="1201">
        <v>8.2000000000000003E-2</v>
      </c>
      <c r="F10" s="1202">
        <v>0.1</v>
      </c>
    </row>
    <row r="11" spans="1:6">
      <c r="A11" s="1199" t="s">
        <v>243</v>
      </c>
      <c r="B11" s="1206" t="s">
        <v>2321</v>
      </c>
      <c r="C11" s="1204">
        <v>8.8999999999999996E-2</v>
      </c>
      <c r="D11" s="1204">
        <v>7.2999999999999995E-2</v>
      </c>
      <c r="E11" s="1204">
        <v>8.2000000000000003E-2</v>
      </c>
      <c r="F11" s="1205">
        <v>0.1</v>
      </c>
    </row>
    <row r="12" spans="1:6">
      <c r="A12" s="1199" t="s">
        <v>243</v>
      </c>
      <c r="B12" s="1206" t="s">
        <v>2335</v>
      </c>
      <c r="C12" s="1204">
        <v>6.0999999999999999E-2</v>
      </c>
      <c r="D12" s="1204">
        <v>7.0999999999999994E-2</v>
      </c>
      <c r="E12" s="1204">
        <v>9.6000000000000002E-2</v>
      </c>
      <c r="F12" s="1205">
        <v>0.1</v>
      </c>
    </row>
    <row r="13" spans="1:6">
      <c r="A13" s="1199" t="s">
        <v>243</v>
      </c>
      <c r="B13" s="1206" t="s">
        <v>2347</v>
      </c>
      <c r="C13" s="1204">
        <v>6.9000000000000006E-2</v>
      </c>
      <c r="D13" s="1204">
        <v>6.5000000000000002E-2</v>
      </c>
      <c r="E13" s="1204">
        <v>6.6000000000000003E-2</v>
      </c>
      <c r="F13" s="1205">
        <v>0.1</v>
      </c>
    </row>
    <row r="14" spans="1:6">
      <c r="A14" s="1199" t="s">
        <v>243</v>
      </c>
      <c r="B14" s="1206" t="s">
        <v>2359</v>
      </c>
      <c r="C14" s="1204">
        <v>0.1</v>
      </c>
      <c r="D14" s="1204">
        <v>6.5000000000000002E-2</v>
      </c>
      <c r="E14" s="1204">
        <v>7.0000000000000007E-2</v>
      </c>
      <c r="F14" s="1205">
        <v>0.1</v>
      </c>
    </row>
    <row r="15" spans="1:6">
      <c r="A15" s="1199" t="s">
        <v>243</v>
      </c>
      <c r="B15" s="1206" t="s">
        <v>2370</v>
      </c>
      <c r="C15" s="1204">
        <v>9.8000000000000004E-2</v>
      </c>
      <c r="D15" s="1204">
        <v>8.8999999999999996E-2</v>
      </c>
      <c r="E15" s="1204">
        <v>8.8999999999999996E-2</v>
      </c>
      <c r="F15" s="1205">
        <v>0.1</v>
      </c>
    </row>
    <row r="16" spans="1:6">
      <c r="A16" s="1199" t="s">
        <v>243</v>
      </c>
      <c r="B16" s="1206" t="s">
        <v>2381</v>
      </c>
      <c r="C16" s="1204">
        <v>7.0000000000000007E-2</v>
      </c>
      <c r="D16" s="1204">
        <v>9.2999999999999999E-2</v>
      </c>
      <c r="E16" s="1204">
        <v>9.6000000000000002E-2</v>
      </c>
      <c r="F16" s="1205">
        <v>0.1</v>
      </c>
    </row>
    <row r="17" spans="1:6">
      <c r="A17" s="1199" t="s">
        <v>243</v>
      </c>
      <c r="B17" s="1206" t="s">
        <v>2392</v>
      </c>
      <c r="C17" s="1204">
        <v>9.5000000000000001E-2</v>
      </c>
      <c r="D17" s="1204">
        <v>0.1</v>
      </c>
      <c r="E17" s="1204">
        <v>0.1</v>
      </c>
      <c r="F17" s="1212"/>
    </row>
    <row r="18" spans="1:6">
      <c r="A18" s="1199" t="s">
        <v>243</v>
      </c>
      <c r="B18" s="1206" t="s">
        <v>2402</v>
      </c>
      <c r="C18" s="1204">
        <v>7.3999999999999996E-2</v>
      </c>
      <c r="D18" s="1204">
        <v>9.9000000000000005E-2</v>
      </c>
      <c r="E18" s="1204">
        <v>0.1</v>
      </c>
      <c r="F18" s="1212"/>
    </row>
    <row r="19" spans="1:6">
      <c r="A19" s="1199" t="s">
        <v>243</v>
      </c>
      <c r="B19" s="1206" t="s">
        <v>2412</v>
      </c>
      <c r="C19" s="1204">
        <v>9.9000000000000005E-2</v>
      </c>
      <c r="D19" s="1204">
        <v>7.5999999999999998E-2</v>
      </c>
      <c r="E19" s="1204">
        <v>8.6999999999999994E-2</v>
      </c>
      <c r="F19" s="1212"/>
    </row>
    <row r="20" spans="1:6">
      <c r="A20" s="1199" t="s">
        <v>243</v>
      </c>
      <c r="B20" s="1206" t="s">
        <v>2422</v>
      </c>
      <c r="C20" s="1204">
        <v>9.8000000000000004E-2</v>
      </c>
      <c r="D20" s="1204">
        <v>8.5000000000000006E-2</v>
      </c>
      <c r="E20" s="1204">
        <v>8.2000000000000003E-2</v>
      </c>
      <c r="F20" s="1212"/>
    </row>
    <row r="21" spans="1:6">
      <c r="A21" s="1199" t="s">
        <v>243</v>
      </c>
      <c r="B21" s="1206" t="s">
        <v>2432</v>
      </c>
      <c r="C21" s="1204">
        <v>6.6000000000000003E-2</v>
      </c>
      <c r="D21" s="1204">
        <v>6.4000000000000001E-2</v>
      </c>
      <c r="E21" s="1204">
        <v>6.5000000000000002E-2</v>
      </c>
      <c r="F21" s="1212"/>
    </row>
    <row r="22" spans="1:6">
      <c r="A22" s="1199" t="s">
        <v>243</v>
      </c>
      <c r="B22" s="1206" t="s">
        <v>2442</v>
      </c>
      <c r="C22" s="1204">
        <v>0.08</v>
      </c>
      <c r="D22" s="1204">
        <v>9.8000000000000004E-2</v>
      </c>
      <c r="E22" s="1204">
        <v>9.8000000000000004E-2</v>
      </c>
      <c r="F22" s="1212"/>
    </row>
    <row r="23" spans="1:6">
      <c r="A23" s="1199" t="s">
        <v>243</v>
      </c>
      <c r="B23" s="1206" t="s">
        <v>2452</v>
      </c>
      <c r="C23" s="1204">
        <v>9.9000000000000005E-2</v>
      </c>
      <c r="D23" s="1204">
        <v>9.8000000000000004E-2</v>
      </c>
      <c r="E23" s="1204">
        <v>9.0999999999999998E-2</v>
      </c>
      <c r="F23" s="1212"/>
    </row>
    <row r="24" spans="1:6">
      <c r="A24" s="1199" t="s">
        <v>243</v>
      </c>
      <c r="B24" s="1206" t="s">
        <v>2462</v>
      </c>
      <c r="C24" s="1204">
        <v>8.8999999999999996E-2</v>
      </c>
      <c r="D24" s="1204">
        <v>9.7000000000000003E-2</v>
      </c>
      <c r="E24" s="1204">
        <v>7.0000000000000007E-2</v>
      </c>
      <c r="F24" s="1212"/>
    </row>
    <row r="25" spans="1:6">
      <c r="A25" s="1199" t="s">
        <v>243</v>
      </c>
      <c r="B25" s="1206" t="s">
        <v>2472</v>
      </c>
      <c r="C25" s="1204">
        <v>8.8999999999999996E-2</v>
      </c>
      <c r="D25" s="1204">
        <v>0.1</v>
      </c>
      <c r="E25" s="1204">
        <v>8.1000000000000003E-2</v>
      </c>
      <c r="F25" s="1212"/>
    </row>
    <row r="26" spans="1:6">
      <c r="A26" s="1199" t="s">
        <v>243</v>
      </c>
      <c r="B26" s="1206" t="s">
        <v>2482</v>
      </c>
      <c r="C26" s="1213"/>
      <c r="D26" s="1204">
        <v>9.6000000000000002E-2</v>
      </c>
      <c r="E26" s="1204">
        <v>9.2999999999999999E-2</v>
      </c>
      <c r="F26" s="1212"/>
    </row>
    <row r="27" spans="1:6">
      <c r="A27" s="1199" t="s">
        <v>243</v>
      </c>
      <c r="B27" s="1206" t="s">
        <v>2492</v>
      </c>
      <c r="C27" s="1213"/>
      <c r="D27" s="1204">
        <v>7.5999999999999998E-2</v>
      </c>
      <c r="E27" s="1204">
        <v>9.1999999999999998E-2</v>
      </c>
      <c r="F27" s="1212"/>
    </row>
    <row r="28" spans="1:6">
      <c r="A28" s="1207" t="s">
        <v>243</v>
      </c>
      <c r="B28" s="1208" t="s">
        <v>2502</v>
      </c>
      <c r="C28" s="1210"/>
      <c r="D28" s="1209">
        <v>7.5999999999999998E-2</v>
      </c>
      <c r="E28" s="1209">
        <v>9.1999999999999998E-2</v>
      </c>
      <c r="F28" s="1211"/>
    </row>
    <row r="29" spans="1:6">
      <c r="A29" s="1199" t="s">
        <v>253</v>
      </c>
      <c r="B29" s="1200" t="s">
        <v>2310</v>
      </c>
      <c r="C29" s="1201">
        <v>6.4000000000000001E-2</v>
      </c>
      <c r="D29" s="1201">
        <v>6.5000000000000002E-2</v>
      </c>
      <c r="E29" s="1201">
        <v>6.9000000000000006E-2</v>
      </c>
      <c r="F29" s="1202">
        <v>0.1</v>
      </c>
    </row>
    <row r="30" spans="1:6">
      <c r="A30" s="1199" t="s">
        <v>253</v>
      </c>
      <c r="B30" s="1206" t="s">
        <v>2322</v>
      </c>
      <c r="C30" s="1204">
        <v>6.4000000000000001E-2</v>
      </c>
      <c r="D30" s="1204">
        <v>9.9000000000000005E-2</v>
      </c>
      <c r="E30" s="1204">
        <v>0.1</v>
      </c>
      <c r="F30" s="1205">
        <v>0.1</v>
      </c>
    </row>
    <row r="31" spans="1:6">
      <c r="A31" s="1199" t="s">
        <v>253</v>
      </c>
      <c r="B31" s="1206" t="s">
        <v>2336</v>
      </c>
      <c r="C31" s="1204">
        <v>0.1</v>
      </c>
      <c r="D31" s="1204">
        <v>9.5000000000000001E-2</v>
      </c>
      <c r="E31" s="1204">
        <v>8.8999999999999996E-2</v>
      </c>
      <c r="F31" s="1205">
        <v>0.1</v>
      </c>
    </row>
    <row r="32" spans="1:6">
      <c r="A32" s="1199" t="s">
        <v>253</v>
      </c>
      <c r="B32" s="1206" t="s">
        <v>2348</v>
      </c>
      <c r="C32" s="1204">
        <v>0.05</v>
      </c>
      <c r="D32" s="1204">
        <v>0.05</v>
      </c>
      <c r="E32" s="1204">
        <v>8.7999999999999995E-2</v>
      </c>
      <c r="F32" s="1205">
        <v>0.1</v>
      </c>
    </row>
    <row r="33" spans="1:6">
      <c r="A33" s="1199" t="s">
        <v>253</v>
      </c>
      <c r="B33" s="1206" t="s">
        <v>2360</v>
      </c>
      <c r="C33" s="1204">
        <v>7.4999999999999997E-2</v>
      </c>
      <c r="D33" s="1204">
        <v>9.4E-2</v>
      </c>
      <c r="E33" s="1204">
        <v>9.7000000000000003E-2</v>
      </c>
      <c r="F33" s="1205">
        <v>0.1</v>
      </c>
    </row>
    <row r="34" spans="1:6">
      <c r="A34" s="1199" t="s">
        <v>253</v>
      </c>
      <c r="B34" s="1206" t="s">
        <v>2371</v>
      </c>
      <c r="C34" s="1204">
        <v>9.8000000000000004E-2</v>
      </c>
      <c r="D34" s="1204">
        <v>8.5999999999999993E-2</v>
      </c>
      <c r="E34" s="1204">
        <v>9.7000000000000003E-2</v>
      </c>
      <c r="F34" s="1205">
        <v>0.1</v>
      </c>
    </row>
    <row r="35" spans="1:6">
      <c r="A35" s="1199" t="s">
        <v>253</v>
      </c>
      <c r="B35" s="1206" t="s">
        <v>2382</v>
      </c>
      <c r="C35" s="1204">
        <v>5.8999999999999997E-2</v>
      </c>
      <c r="D35" s="1204">
        <v>6.5000000000000002E-2</v>
      </c>
      <c r="E35" s="1204">
        <v>7.0000000000000007E-2</v>
      </c>
      <c r="F35" s="1205">
        <v>0.1</v>
      </c>
    </row>
    <row r="36" spans="1:6">
      <c r="A36" s="1199" t="s">
        <v>253</v>
      </c>
      <c r="B36" s="1206" t="s">
        <v>2393</v>
      </c>
      <c r="C36" s="1204">
        <v>6.3E-2</v>
      </c>
      <c r="D36" s="1204">
        <v>0.1</v>
      </c>
      <c r="E36" s="1204">
        <v>0.1</v>
      </c>
      <c r="F36" s="1205">
        <v>0.1</v>
      </c>
    </row>
    <row r="37" spans="1:6">
      <c r="A37" s="1199" t="s">
        <v>253</v>
      </c>
      <c r="B37" s="1206" t="s">
        <v>2403</v>
      </c>
      <c r="C37" s="1204">
        <v>7.3999999999999996E-2</v>
      </c>
      <c r="D37" s="1204">
        <v>0.1</v>
      </c>
      <c r="E37" s="1204">
        <v>0.1</v>
      </c>
      <c r="F37" s="1205">
        <v>0.1</v>
      </c>
    </row>
    <row r="38" spans="1:6">
      <c r="A38" s="1199" t="s">
        <v>253</v>
      </c>
      <c r="B38" s="1206" t="s">
        <v>2413</v>
      </c>
      <c r="C38" s="1204">
        <v>0.1</v>
      </c>
      <c r="D38" s="1204">
        <v>9.6000000000000002E-2</v>
      </c>
      <c r="E38" s="1204">
        <v>9.6000000000000002E-2</v>
      </c>
      <c r="F38" s="1212"/>
    </row>
    <row r="39" spans="1:6">
      <c r="A39" s="1199" t="s">
        <v>253</v>
      </c>
      <c r="B39" s="1206" t="s">
        <v>2423</v>
      </c>
      <c r="C39" s="1204">
        <v>0.1</v>
      </c>
      <c r="D39" s="1204">
        <v>9.6000000000000002E-2</v>
      </c>
      <c r="E39" s="1204">
        <v>9.6000000000000002E-2</v>
      </c>
      <c r="F39" s="1212"/>
    </row>
    <row r="40" spans="1:6">
      <c r="A40" s="1199" t="s">
        <v>253</v>
      </c>
      <c r="B40" s="1206" t="s">
        <v>2433</v>
      </c>
      <c r="C40" s="1204">
        <v>9.6000000000000002E-2</v>
      </c>
      <c r="D40" s="1204">
        <v>0.1</v>
      </c>
      <c r="E40" s="1204">
        <v>9.9000000000000005E-2</v>
      </c>
      <c r="F40" s="1212"/>
    </row>
    <row r="41" spans="1:6">
      <c r="A41" s="1199" t="s">
        <v>253</v>
      </c>
      <c r="B41" s="1206" t="s">
        <v>2443</v>
      </c>
      <c r="C41" s="1204">
        <v>9.6000000000000002E-2</v>
      </c>
      <c r="D41" s="1204">
        <v>9.8000000000000004E-2</v>
      </c>
      <c r="E41" s="1204">
        <v>9.8000000000000004E-2</v>
      </c>
      <c r="F41" s="1212"/>
    </row>
    <row r="42" spans="1:6">
      <c r="A42" s="1199" t="s">
        <v>253</v>
      </c>
      <c r="B42" s="1206" t="s">
        <v>2453</v>
      </c>
      <c r="C42" s="1204">
        <v>0.1</v>
      </c>
      <c r="D42" s="1204">
        <v>8.7999999999999995E-2</v>
      </c>
      <c r="E42" s="1204">
        <v>0.1</v>
      </c>
      <c r="F42" s="1212"/>
    </row>
    <row r="43" spans="1:6">
      <c r="A43" s="1199" t="s">
        <v>253</v>
      </c>
      <c r="B43" s="1206" t="s">
        <v>2463</v>
      </c>
      <c r="C43" s="1204">
        <v>9.8000000000000004E-2</v>
      </c>
      <c r="D43" s="1204">
        <v>9.7000000000000003E-2</v>
      </c>
      <c r="E43" s="1204">
        <v>9.6000000000000002E-2</v>
      </c>
      <c r="F43" s="1212"/>
    </row>
    <row r="44" spans="1:6">
      <c r="A44" s="1199" t="s">
        <v>253</v>
      </c>
      <c r="B44" s="1206" t="s">
        <v>2473</v>
      </c>
      <c r="C44" s="1204">
        <v>8.5999999999999993E-2</v>
      </c>
      <c r="D44" s="1204">
        <v>7.9000000000000001E-2</v>
      </c>
      <c r="E44" s="1204">
        <v>7.0999999999999994E-2</v>
      </c>
      <c r="F44" s="1212"/>
    </row>
    <row r="45" spans="1:6">
      <c r="A45" s="1199" t="s">
        <v>253</v>
      </c>
      <c r="B45" s="1206" t="s">
        <v>2483</v>
      </c>
      <c r="C45" s="1204">
        <v>9.8000000000000004E-2</v>
      </c>
      <c r="D45" s="1204">
        <v>9.6000000000000002E-2</v>
      </c>
      <c r="E45" s="1204">
        <v>9.6000000000000002E-2</v>
      </c>
      <c r="F45" s="1212"/>
    </row>
    <row r="46" spans="1:6">
      <c r="A46" s="1199" t="s">
        <v>253</v>
      </c>
      <c r="B46" s="1206" t="s">
        <v>2493</v>
      </c>
      <c r="C46" s="1204">
        <v>8.5999999999999993E-2</v>
      </c>
      <c r="D46" s="1204">
        <v>9.8000000000000004E-2</v>
      </c>
      <c r="E46" s="1204">
        <v>8.7999999999999995E-2</v>
      </c>
      <c r="F46" s="1212"/>
    </row>
    <row r="47" spans="1:6">
      <c r="A47" s="1199" t="s">
        <v>253</v>
      </c>
      <c r="B47" s="1206" t="s">
        <v>2503</v>
      </c>
      <c r="C47" s="1204">
        <v>9.6000000000000002E-2</v>
      </c>
      <c r="D47" s="1213"/>
      <c r="E47" s="1204">
        <v>6.9000000000000006E-2</v>
      </c>
      <c r="F47" s="1212"/>
    </row>
    <row r="48" spans="1:6">
      <c r="A48" s="1207" t="s">
        <v>253</v>
      </c>
      <c r="B48" s="1208" t="s">
        <v>2512</v>
      </c>
      <c r="C48" s="1209">
        <v>9.8000000000000004E-2</v>
      </c>
      <c r="D48" s="1210"/>
      <c r="E48" s="1209">
        <v>9.5000000000000001E-2</v>
      </c>
      <c r="F48" s="1211"/>
    </row>
    <row r="49" spans="1:6">
      <c r="A49" s="1199" t="s">
        <v>261</v>
      </c>
      <c r="B49" s="1200" t="s">
        <v>2311</v>
      </c>
      <c r="C49" s="1201">
        <v>9.7000000000000003E-2</v>
      </c>
      <c r="D49" s="1201">
        <v>9.5000000000000001E-2</v>
      </c>
      <c r="E49" s="1201">
        <v>9.7000000000000003E-2</v>
      </c>
      <c r="F49" s="1202">
        <v>0.1</v>
      </c>
    </row>
    <row r="50" spans="1:6">
      <c r="A50" s="1199" t="s">
        <v>261</v>
      </c>
      <c r="B50" s="1203" t="s">
        <v>2323</v>
      </c>
      <c r="C50" s="1204">
        <v>7.4999999999999997E-2</v>
      </c>
      <c r="D50" s="1204">
        <v>9.5000000000000001E-2</v>
      </c>
      <c r="E50" s="1204">
        <v>0.1</v>
      </c>
      <c r="F50" s="1205">
        <v>0.1</v>
      </c>
    </row>
    <row r="51" spans="1:6">
      <c r="A51" s="1199" t="s">
        <v>261</v>
      </c>
      <c r="B51" s="1203" t="s">
        <v>2337</v>
      </c>
      <c r="C51" s="1204">
        <v>9.8000000000000004E-2</v>
      </c>
      <c r="D51" s="1204">
        <v>8.8999999999999996E-2</v>
      </c>
      <c r="E51" s="1204">
        <v>0.1</v>
      </c>
      <c r="F51" s="1205">
        <v>0.1</v>
      </c>
    </row>
    <row r="52" spans="1:6">
      <c r="A52" s="1199" t="s">
        <v>261</v>
      </c>
      <c r="B52" s="1203" t="s">
        <v>2349</v>
      </c>
      <c r="C52" s="1204">
        <v>9.8000000000000004E-2</v>
      </c>
      <c r="D52" s="1204">
        <v>9.7000000000000003E-2</v>
      </c>
      <c r="E52" s="1204">
        <v>8.1000000000000003E-2</v>
      </c>
      <c r="F52" s="1205">
        <v>0.1</v>
      </c>
    </row>
    <row r="53" spans="1:6">
      <c r="A53" s="1199" t="s">
        <v>261</v>
      </c>
      <c r="B53" s="1203" t="s">
        <v>2361</v>
      </c>
      <c r="C53" s="1204">
        <v>9.7000000000000003E-2</v>
      </c>
      <c r="D53" s="1204">
        <v>7.5999999999999998E-2</v>
      </c>
      <c r="E53" s="1204">
        <v>7.0999999999999994E-2</v>
      </c>
      <c r="F53" s="1205">
        <v>0.1</v>
      </c>
    </row>
    <row r="54" spans="1:6">
      <c r="A54" s="1199" t="s">
        <v>261</v>
      </c>
      <c r="B54" s="1203" t="s">
        <v>2372</v>
      </c>
      <c r="C54" s="1204">
        <v>7.5999999999999998E-2</v>
      </c>
      <c r="D54" s="1204">
        <v>0.1</v>
      </c>
      <c r="E54" s="1204">
        <v>9.9000000000000005E-2</v>
      </c>
      <c r="F54" s="1205">
        <v>0.1</v>
      </c>
    </row>
    <row r="55" spans="1:6">
      <c r="A55" s="1199" t="s">
        <v>261</v>
      </c>
      <c r="B55" s="1203" t="s">
        <v>2383</v>
      </c>
      <c r="C55" s="1204">
        <v>0.1</v>
      </c>
      <c r="D55" s="1204">
        <v>0.1</v>
      </c>
      <c r="E55" s="1204">
        <v>9.6000000000000002E-2</v>
      </c>
      <c r="F55" s="1205">
        <v>0.1</v>
      </c>
    </row>
    <row r="56" spans="1:6">
      <c r="A56" s="1199" t="s">
        <v>261</v>
      </c>
      <c r="B56" s="1203" t="s">
        <v>2394</v>
      </c>
      <c r="C56" s="1204">
        <v>0.1</v>
      </c>
      <c r="D56" s="1204">
        <v>9.6000000000000002E-2</v>
      </c>
      <c r="E56" s="1204">
        <v>5.1999999999999998E-2</v>
      </c>
      <c r="F56" s="1205">
        <v>0.1</v>
      </c>
    </row>
    <row r="57" spans="1:6">
      <c r="A57" s="1199" t="s">
        <v>261</v>
      </c>
      <c r="B57" s="1203" t="s">
        <v>2404</v>
      </c>
      <c r="C57" s="1204">
        <v>9.7000000000000003E-2</v>
      </c>
      <c r="D57" s="1204">
        <v>9.6000000000000002E-2</v>
      </c>
      <c r="E57" s="1204">
        <v>9.6000000000000002E-2</v>
      </c>
      <c r="F57" s="1205">
        <v>0.1</v>
      </c>
    </row>
    <row r="58" spans="1:6">
      <c r="A58" s="1199" t="s">
        <v>261</v>
      </c>
      <c r="B58" s="1203" t="s">
        <v>2414</v>
      </c>
      <c r="C58" s="1204">
        <v>9.6000000000000002E-2</v>
      </c>
      <c r="D58" s="1204">
        <v>9.9000000000000005E-2</v>
      </c>
      <c r="E58" s="1204">
        <v>9.6000000000000002E-2</v>
      </c>
      <c r="F58" s="1205">
        <v>0.1</v>
      </c>
    </row>
    <row r="59" spans="1:6">
      <c r="A59" s="1199" t="s">
        <v>261</v>
      </c>
      <c r="B59" s="1203" t="s">
        <v>2424</v>
      </c>
      <c r="C59" s="1204">
        <v>7.1999999999999995E-2</v>
      </c>
      <c r="D59" s="1204">
        <v>9.6000000000000002E-2</v>
      </c>
      <c r="E59" s="1204">
        <v>7.0999999999999994E-2</v>
      </c>
      <c r="F59" s="1205">
        <v>0.1</v>
      </c>
    </row>
    <row r="60" spans="1:6">
      <c r="A60" s="1199" t="s">
        <v>261</v>
      </c>
      <c r="B60" s="1203" t="s">
        <v>2434</v>
      </c>
      <c r="C60" s="1204">
        <v>9.6000000000000002E-2</v>
      </c>
      <c r="D60" s="1204">
        <v>8.8999999999999996E-2</v>
      </c>
      <c r="E60" s="1204">
        <v>9.6000000000000002E-2</v>
      </c>
      <c r="F60" s="1205">
        <v>0.1</v>
      </c>
    </row>
    <row r="61" spans="1:6">
      <c r="A61" s="1199" t="s">
        <v>261</v>
      </c>
      <c r="B61" s="1203" t="s">
        <v>2444</v>
      </c>
      <c r="C61" s="1204">
        <v>8.8999999999999996E-2</v>
      </c>
      <c r="D61" s="1204">
        <v>9.8000000000000004E-2</v>
      </c>
      <c r="E61" s="1204">
        <v>8.7999999999999995E-2</v>
      </c>
      <c r="F61" s="1212"/>
    </row>
    <row r="62" spans="1:6">
      <c r="A62" s="1199" t="s">
        <v>261</v>
      </c>
      <c r="B62" s="1203" t="s">
        <v>2454</v>
      </c>
      <c r="C62" s="1204">
        <v>9.8000000000000004E-2</v>
      </c>
      <c r="D62" s="1204">
        <v>9.2999999999999999E-2</v>
      </c>
      <c r="E62" s="1204">
        <v>9.7000000000000003E-2</v>
      </c>
      <c r="F62" s="1212"/>
    </row>
    <row r="63" spans="1:6">
      <c r="A63" s="1199" t="s">
        <v>261</v>
      </c>
      <c r="B63" s="1203" t="s">
        <v>2464</v>
      </c>
      <c r="C63" s="1204">
        <v>9.6000000000000002E-2</v>
      </c>
      <c r="D63" s="1204">
        <v>9.8000000000000004E-2</v>
      </c>
      <c r="E63" s="1204">
        <v>0.09</v>
      </c>
      <c r="F63" s="1212"/>
    </row>
    <row r="64" spans="1:6">
      <c r="A64" s="1199" t="s">
        <v>261</v>
      </c>
      <c r="B64" s="1203" t="s">
        <v>2474</v>
      </c>
      <c r="C64" s="1204">
        <v>9.9000000000000005E-2</v>
      </c>
      <c r="D64" s="1204">
        <v>9.7000000000000003E-2</v>
      </c>
      <c r="E64" s="1204">
        <v>9.9000000000000005E-2</v>
      </c>
      <c r="F64" s="1212"/>
    </row>
    <row r="65" spans="1:6">
      <c r="A65" s="1199" t="s">
        <v>261</v>
      </c>
      <c r="B65" s="1203" t="s">
        <v>2484</v>
      </c>
      <c r="C65" s="1204">
        <v>9.8000000000000004E-2</v>
      </c>
      <c r="D65" s="1204">
        <v>9.6000000000000002E-2</v>
      </c>
      <c r="E65" s="1204">
        <v>9.6000000000000002E-2</v>
      </c>
      <c r="F65" s="1212"/>
    </row>
    <row r="66" spans="1:6">
      <c r="A66" s="1199" t="s">
        <v>261</v>
      </c>
      <c r="B66" s="1203" t="s">
        <v>2494</v>
      </c>
      <c r="C66" s="1204">
        <v>9.6000000000000002E-2</v>
      </c>
      <c r="D66" s="1204">
        <v>9.1999999999999998E-2</v>
      </c>
      <c r="E66" s="1204">
        <v>9.6000000000000002E-2</v>
      </c>
      <c r="F66" s="1212"/>
    </row>
    <row r="67" spans="1:6">
      <c r="A67" s="1199" t="s">
        <v>261</v>
      </c>
      <c r="B67" s="1203" t="s">
        <v>2504</v>
      </c>
      <c r="C67" s="1204">
        <v>9.4E-2</v>
      </c>
      <c r="D67" s="1204">
        <v>0.1</v>
      </c>
      <c r="E67" s="1204">
        <v>8.7999999999999995E-2</v>
      </c>
      <c r="F67" s="1212"/>
    </row>
    <row r="68" spans="1:6">
      <c r="A68" s="1199" t="s">
        <v>261</v>
      </c>
      <c r="B68" s="1203" t="s">
        <v>2513</v>
      </c>
      <c r="C68" s="1204">
        <v>0.1</v>
      </c>
      <c r="D68" s="1204">
        <v>8.7999999999999995E-2</v>
      </c>
      <c r="E68" s="1204">
        <v>9.7000000000000003E-2</v>
      </c>
      <c r="F68" s="1212"/>
    </row>
    <row r="69" spans="1:6">
      <c r="A69" s="1199" t="s">
        <v>261</v>
      </c>
      <c r="B69" s="1203" t="s">
        <v>2521</v>
      </c>
      <c r="C69" s="1204">
        <v>6.4000000000000001E-2</v>
      </c>
      <c r="D69" s="1204">
        <v>0.1</v>
      </c>
      <c r="E69" s="1204">
        <v>0.1</v>
      </c>
      <c r="F69" s="1212"/>
    </row>
    <row r="70" spans="1:6">
      <c r="A70" s="1199" t="s">
        <v>261</v>
      </c>
      <c r="B70" s="1203" t="s">
        <v>2529</v>
      </c>
      <c r="C70" s="1204">
        <v>9.0999999999999998E-2</v>
      </c>
      <c r="D70" s="1213"/>
      <c r="E70" s="1213"/>
      <c r="F70" s="1212"/>
    </row>
    <row r="71" spans="1:6">
      <c r="A71" s="1199" t="s">
        <v>261</v>
      </c>
      <c r="B71" s="1203" t="s">
        <v>2536</v>
      </c>
      <c r="C71" s="1204">
        <v>0.1</v>
      </c>
      <c r="D71" s="1213"/>
      <c r="E71" s="1213"/>
      <c r="F71" s="1212"/>
    </row>
    <row r="72" spans="1:6" ht="24">
      <c r="A72" s="1199" t="s">
        <v>261</v>
      </c>
      <c r="B72" s="1203" t="s">
        <v>2543</v>
      </c>
      <c r="C72" s="1213"/>
      <c r="D72" s="1213"/>
      <c r="E72" s="1213"/>
      <c r="F72" s="1205">
        <v>0.05</v>
      </c>
    </row>
    <row r="73" spans="1:6" ht="24">
      <c r="A73" s="1199" t="s">
        <v>261</v>
      </c>
      <c r="B73" s="1203" t="s">
        <v>2550</v>
      </c>
      <c r="C73" s="1213"/>
      <c r="D73" s="1213"/>
      <c r="E73" s="1213"/>
      <c r="F73" s="1205">
        <v>0.05</v>
      </c>
    </row>
    <row r="74" spans="1:6" ht="24">
      <c r="A74" s="1199" t="s">
        <v>261</v>
      </c>
      <c r="B74" s="1203" t="s">
        <v>2557</v>
      </c>
      <c r="C74" s="1213"/>
      <c r="D74" s="1213"/>
      <c r="E74" s="1213"/>
      <c r="F74" s="1205">
        <v>0.05</v>
      </c>
    </row>
    <row r="75" spans="1:6" ht="24">
      <c r="A75" s="1207" t="s">
        <v>261</v>
      </c>
      <c r="B75" s="1214" t="s">
        <v>2564</v>
      </c>
      <c r="C75" s="1210"/>
      <c r="D75" s="1210"/>
      <c r="E75" s="1210"/>
      <c r="F75" s="1215">
        <v>0.05</v>
      </c>
    </row>
    <row r="76" spans="1:6">
      <c r="A76" s="1199" t="s">
        <v>269</v>
      </c>
      <c r="B76" s="1200" t="s">
        <v>2312</v>
      </c>
      <c r="C76" s="1201">
        <v>0.1</v>
      </c>
      <c r="D76" s="1201">
        <v>0.1</v>
      </c>
      <c r="E76" s="1201">
        <v>0.1</v>
      </c>
      <c r="F76" s="1202">
        <v>0.1</v>
      </c>
    </row>
    <row r="77" spans="1:6">
      <c r="A77" s="1199" t="s">
        <v>269</v>
      </c>
      <c r="B77" s="1203" t="s">
        <v>2324</v>
      </c>
      <c r="C77" s="1204">
        <v>8.7999999999999995E-2</v>
      </c>
      <c r="D77" s="1204">
        <v>8.6999999999999994E-2</v>
      </c>
      <c r="E77" s="1204">
        <v>7.9000000000000001E-2</v>
      </c>
      <c r="F77" s="1205">
        <v>0.1</v>
      </c>
    </row>
    <row r="78" spans="1:6">
      <c r="A78" s="1199" t="s">
        <v>269</v>
      </c>
      <c r="B78" s="1203" t="s">
        <v>2338</v>
      </c>
      <c r="C78" s="1204">
        <v>8.6999999999999994E-2</v>
      </c>
      <c r="D78" s="1204">
        <v>8.4000000000000005E-2</v>
      </c>
      <c r="E78" s="1204">
        <v>9.6000000000000002E-2</v>
      </c>
      <c r="F78" s="1205">
        <v>0.1</v>
      </c>
    </row>
    <row r="79" spans="1:6">
      <c r="A79" s="1199" t="s">
        <v>269</v>
      </c>
      <c r="B79" s="1203" t="s">
        <v>2350</v>
      </c>
      <c r="C79" s="1204">
        <v>9.8000000000000004E-2</v>
      </c>
      <c r="D79" s="1204">
        <v>9.8000000000000004E-2</v>
      </c>
      <c r="E79" s="1204">
        <v>9.0999999999999998E-2</v>
      </c>
      <c r="F79" s="1205">
        <v>0.1</v>
      </c>
    </row>
    <row r="80" spans="1:6">
      <c r="A80" s="1199" t="s">
        <v>269</v>
      </c>
      <c r="B80" s="1203" t="s">
        <v>2362</v>
      </c>
      <c r="C80" s="1204">
        <v>9.6000000000000002E-2</v>
      </c>
      <c r="D80" s="1204">
        <v>9.6000000000000002E-2</v>
      </c>
      <c r="E80" s="1204">
        <v>0.1</v>
      </c>
      <c r="F80" s="1205">
        <v>0.1</v>
      </c>
    </row>
    <row r="81" spans="1:6">
      <c r="A81" s="1199" t="s">
        <v>269</v>
      </c>
      <c r="B81" s="1203" t="s">
        <v>2373</v>
      </c>
      <c r="C81" s="1204">
        <v>9.9000000000000005E-2</v>
      </c>
      <c r="D81" s="1204">
        <v>9.9000000000000005E-2</v>
      </c>
      <c r="E81" s="1204">
        <v>9.8000000000000004E-2</v>
      </c>
      <c r="F81" s="1205">
        <v>0.1</v>
      </c>
    </row>
    <row r="82" spans="1:6">
      <c r="A82" s="1199" t="s">
        <v>269</v>
      </c>
      <c r="B82" s="1203" t="s">
        <v>2384</v>
      </c>
      <c r="C82" s="1204">
        <v>9.9000000000000005E-2</v>
      </c>
      <c r="D82" s="1204">
        <v>9.9000000000000005E-2</v>
      </c>
      <c r="E82" s="1204">
        <v>9.7000000000000003E-2</v>
      </c>
      <c r="F82" s="1205">
        <v>0.1</v>
      </c>
    </row>
    <row r="83" spans="1:6">
      <c r="A83" s="1199" t="s">
        <v>269</v>
      </c>
      <c r="B83" s="1203" t="s">
        <v>2395</v>
      </c>
      <c r="C83" s="1204">
        <v>9.8000000000000004E-2</v>
      </c>
      <c r="D83" s="1204">
        <v>9.8000000000000004E-2</v>
      </c>
      <c r="E83" s="1204">
        <v>9.8000000000000004E-2</v>
      </c>
      <c r="F83" s="1205">
        <v>0.1</v>
      </c>
    </row>
    <row r="84" spans="1:6">
      <c r="A84" s="1199" t="s">
        <v>269</v>
      </c>
      <c r="B84" s="1203" t="s">
        <v>2405</v>
      </c>
      <c r="C84" s="1204">
        <v>9.9000000000000005E-2</v>
      </c>
      <c r="D84" s="1204">
        <v>9.9000000000000005E-2</v>
      </c>
      <c r="E84" s="1204">
        <v>9.9000000000000005E-2</v>
      </c>
      <c r="F84" s="1205">
        <v>0.1</v>
      </c>
    </row>
    <row r="85" spans="1:6">
      <c r="A85" s="1199" t="s">
        <v>269</v>
      </c>
      <c r="B85" s="1203" t="s">
        <v>2415</v>
      </c>
      <c r="C85" s="1204">
        <v>9.9000000000000005E-2</v>
      </c>
      <c r="D85" s="1204">
        <v>9.9000000000000005E-2</v>
      </c>
      <c r="E85" s="1204">
        <v>9.9000000000000005E-2</v>
      </c>
      <c r="F85" s="1205">
        <v>0.1</v>
      </c>
    </row>
    <row r="86" spans="1:6">
      <c r="A86" s="1199" t="s">
        <v>269</v>
      </c>
      <c r="B86" s="1203" t="s">
        <v>2425</v>
      </c>
      <c r="C86" s="1204">
        <v>0.1</v>
      </c>
      <c r="D86" s="1204">
        <v>0.1</v>
      </c>
      <c r="E86" s="1204">
        <v>7.6999999999999999E-2</v>
      </c>
      <c r="F86" s="1205">
        <v>0.1</v>
      </c>
    </row>
    <row r="87" spans="1:6">
      <c r="A87" s="1199" t="s">
        <v>269</v>
      </c>
      <c r="B87" s="1203" t="s">
        <v>2435</v>
      </c>
      <c r="C87" s="1204">
        <v>0.1</v>
      </c>
      <c r="D87" s="1204">
        <v>0.1</v>
      </c>
      <c r="E87" s="1204">
        <v>9.8000000000000004E-2</v>
      </c>
      <c r="F87" s="1212"/>
    </row>
    <row r="88" spans="1:6">
      <c r="A88" s="1199" t="s">
        <v>269</v>
      </c>
      <c r="B88" s="1203" t="s">
        <v>2445</v>
      </c>
      <c r="C88" s="1204">
        <v>9.1999999999999998E-2</v>
      </c>
      <c r="D88" s="1204">
        <v>8.5000000000000006E-2</v>
      </c>
      <c r="E88" s="1204">
        <v>9.6000000000000002E-2</v>
      </c>
      <c r="F88" s="1212"/>
    </row>
    <row r="89" spans="1:6">
      <c r="A89" s="1199" t="s">
        <v>269</v>
      </c>
      <c r="B89" s="1203" t="s">
        <v>2455</v>
      </c>
      <c r="C89" s="1204">
        <v>0.1</v>
      </c>
      <c r="D89" s="1204">
        <v>0.1</v>
      </c>
      <c r="E89" s="1204">
        <v>9.7000000000000003E-2</v>
      </c>
      <c r="F89" s="1212"/>
    </row>
    <row r="90" spans="1:6">
      <c r="A90" s="1199" t="s">
        <v>269</v>
      </c>
      <c r="B90" s="1203" t="s">
        <v>2465</v>
      </c>
      <c r="C90" s="1204">
        <v>9.8000000000000004E-2</v>
      </c>
      <c r="D90" s="1204">
        <v>9.8000000000000004E-2</v>
      </c>
      <c r="E90" s="1204">
        <v>8.7999999999999995E-2</v>
      </c>
      <c r="F90" s="1212"/>
    </row>
    <row r="91" spans="1:6">
      <c r="A91" s="1199" t="s">
        <v>269</v>
      </c>
      <c r="B91" s="1203" t="s">
        <v>2475</v>
      </c>
      <c r="C91" s="1204">
        <v>9.9000000000000005E-2</v>
      </c>
      <c r="D91" s="1204">
        <v>9.9000000000000005E-2</v>
      </c>
      <c r="E91" s="1204">
        <v>9.0999999999999998E-2</v>
      </c>
      <c r="F91" s="1212"/>
    </row>
    <row r="92" spans="1:6">
      <c r="A92" s="1199" t="s">
        <v>269</v>
      </c>
      <c r="B92" s="1203" t="s">
        <v>2485</v>
      </c>
      <c r="C92" s="1204">
        <v>9.6000000000000002E-2</v>
      </c>
      <c r="D92" s="1204">
        <v>9.6000000000000002E-2</v>
      </c>
      <c r="E92" s="1204">
        <v>7.2999999999999995E-2</v>
      </c>
      <c r="F92" s="1212"/>
    </row>
    <row r="93" spans="1:6">
      <c r="A93" s="1199" t="s">
        <v>269</v>
      </c>
      <c r="B93" s="1203" t="s">
        <v>2495</v>
      </c>
      <c r="C93" s="1204">
        <v>9.6000000000000002E-2</v>
      </c>
      <c r="D93" s="1204">
        <v>9.6000000000000002E-2</v>
      </c>
      <c r="E93" s="1204">
        <v>9.9000000000000005E-2</v>
      </c>
      <c r="F93" s="1212"/>
    </row>
    <row r="94" spans="1:6">
      <c r="A94" s="1199" t="s">
        <v>269</v>
      </c>
      <c r="B94" s="1203" t="s">
        <v>2505</v>
      </c>
      <c r="C94" s="1204">
        <v>7.5999999999999998E-2</v>
      </c>
      <c r="D94" s="1204">
        <v>7.3999999999999996E-2</v>
      </c>
      <c r="E94" s="1204">
        <v>9.7000000000000003E-2</v>
      </c>
      <c r="F94" s="1212"/>
    </row>
    <row r="95" spans="1:6">
      <c r="A95" s="1199" t="s">
        <v>269</v>
      </c>
      <c r="B95" s="1203" t="s">
        <v>2514</v>
      </c>
      <c r="C95" s="1204">
        <v>9.9000000000000005E-2</v>
      </c>
      <c r="D95" s="1204">
        <v>9.4E-2</v>
      </c>
      <c r="E95" s="1204">
        <v>9.6000000000000002E-2</v>
      </c>
      <c r="F95" s="1212"/>
    </row>
    <row r="96" spans="1:6">
      <c r="A96" s="1199" t="s">
        <v>269</v>
      </c>
      <c r="B96" s="1203" t="s">
        <v>2522</v>
      </c>
      <c r="C96" s="1204">
        <v>9.9000000000000005E-2</v>
      </c>
      <c r="D96" s="1204">
        <v>9.9000000000000005E-2</v>
      </c>
      <c r="E96" s="1204">
        <v>9.9000000000000005E-2</v>
      </c>
      <c r="F96" s="1212"/>
    </row>
    <row r="97" spans="1:6">
      <c r="A97" s="1199" t="s">
        <v>269</v>
      </c>
      <c r="B97" s="1203" t="s">
        <v>2530</v>
      </c>
      <c r="C97" s="1204">
        <v>9.8000000000000004E-2</v>
      </c>
      <c r="D97" s="1204">
        <v>9.8000000000000004E-2</v>
      </c>
      <c r="E97" s="1204">
        <v>9.7000000000000003E-2</v>
      </c>
      <c r="F97" s="1212"/>
    </row>
    <row r="98" spans="1:6">
      <c r="A98" s="1199" t="s">
        <v>269</v>
      </c>
      <c r="B98" s="1203" t="s">
        <v>2537</v>
      </c>
      <c r="C98" s="1204">
        <v>0.1</v>
      </c>
      <c r="D98" s="1204">
        <v>0.1</v>
      </c>
      <c r="E98" s="1204">
        <v>9.7000000000000003E-2</v>
      </c>
      <c r="F98" s="1212"/>
    </row>
    <row r="99" spans="1:6">
      <c r="A99" s="1199" t="s">
        <v>269</v>
      </c>
      <c r="B99" s="1203" t="s">
        <v>2544</v>
      </c>
      <c r="C99" s="1204">
        <v>0.1</v>
      </c>
      <c r="D99" s="1204">
        <v>0.1</v>
      </c>
      <c r="E99" s="1213"/>
      <c r="F99" s="1212"/>
    </row>
    <row r="100" spans="1:6">
      <c r="A100" s="1199" t="s">
        <v>269</v>
      </c>
      <c r="B100" s="1203" t="s">
        <v>2551</v>
      </c>
      <c r="C100" s="1204">
        <v>0.09</v>
      </c>
      <c r="D100" s="1204">
        <v>8.8999999999999996E-2</v>
      </c>
      <c r="E100" s="1213"/>
      <c r="F100" s="1212"/>
    </row>
    <row r="101" spans="1:6">
      <c r="A101" s="1199" t="s">
        <v>269</v>
      </c>
      <c r="B101" s="1203" t="s">
        <v>2558</v>
      </c>
      <c r="C101" s="1204">
        <v>9.8000000000000004E-2</v>
      </c>
      <c r="D101" s="1204">
        <v>9.7000000000000003E-2</v>
      </c>
      <c r="E101" s="1213"/>
      <c r="F101" s="1212"/>
    </row>
    <row r="102" spans="1:6" ht="24">
      <c r="A102" s="1199" t="s">
        <v>269</v>
      </c>
      <c r="B102" s="1203" t="s">
        <v>2565</v>
      </c>
      <c r="C102" s="1213"/>
      <c r="D102" s="1213"/>
      <c r="E102" s="1213"/>
      <c r="F102" s="1205">
        <v>0.05</v>
      </c>
    </row>
    <row r="103" spans="1:6" ht="24">
      <c r="A103" s="1199" t="s">
        <v>269</v>
      </c>
      <c r="B103" s="1203" t="s">
        <v>2570</v>
      </c>
      <c r="C103" s="1213"/>
      <c r="D103" s="1213"/>
      <c r="E103" s="1213"/>
      <c r="F103" s="1205">
        <v>0.05</v>
      </c>
    </row>
    <row r="104" spans="1:6">
      <c r="A104" s="1199" t="s">
        <v>269</v>
      </c>
      <c r="B104" s="1203" t="s">
        <v>2575</v>
      </c>
      <c r="C104" s="1213"/>
      <c r="D104" s="1213"/>
      <c r="E104" s="1213"/>
      <c r="F104" s="1205">
        <v>0.05</v>
      </c>
    </row>
    <row r="105" spans="1:6" ht="24">
      <c r="A105" s="1199" t="s">
        <v>269</v>
      </c>
      <c r="B105" s="1203" t="s">
        <v>2580</v>
      </c>
      <c r="C105" s="1213"/>
      <c r="D105" s="1213"/>
      <c r="E105" s="1213"/>
      <c r="F105" s="1205">
        <v>0.05</v>
      </c>
    </row>
    <row r="106" spans="1:6" ht="24">
      <c r="A106" s="1199" t="s">
        <v>269</v>
      </c>
      <c r="B106" s="1203" t="s">
        <v>2585</v>
      </c>
      <c r="C106" s="1213"/>
      <c r="D106" s="1213"/>
      <c r="E106" s="1213"/>
      <c r="F106" s="1205">
        <v>0.05</v>
      </c>
    </row>
    <row r="107" spans="1:6" ht="24">
      <c r="A107" s="1199" t="s">
        <v>269</v>
      </c>
      <c r="B107" s="1203" t="s">
        <v>2590</v>
      </c>
      <c r="C107" s="1213"/>
      <c r="D107" s="1213"/>
      <c r="E107" s="1213"/>
      <c r="F107" s="1205">
        <v>0.05</v>
      </c>
    </row>
    <row r="108" spans="1:6" ht="24">
      <c r="A108" s="1199" t="s">
        <v>269</v>
      </c>
      <c r="B108" s="1203" t="s">
        <v>2595</v>
      </c>
      <c r="C108" s="1213"/>
      <c r="D108" s="1213"/>
      <c r="E108" s="1213"/>
      <c r="F108" s="1205">
        <v>0.05</v>
      </c>
    </row>
    <row r="109" spans="1:6" ht="24">
      <c r="A109" s="1207" t="s">
        <v>269</v>
      </c>
      <c r="B109" s="1214" t="s">
        <v>2600</v>
      </c>
      <c r="C109" s="1210"/>
      <c r="D109" s="1210"/>
      <c r="E109" s="1210"/>
      <c r="F109" s="1215">
        <v>0.05</v>
      </c>
    </row>
    <row r="110" spans="1:6">
      <c r="A110" s="1199" t="s">
        <v>275</v>
      </c>
      <c r="B110" s="1200" t="s">
        <v>2313</v>
      </c>
      <c r="C110" s="1201">
        <v>0.129</v>
      </c>
      <c r="D110" s="1201">
        <v>0.129</v>
      </c>
      <c r="E110" s="1201">
        <v>0.126</v>
      </c>
      <c r="F110" s="1202">
        <v>0.13</v>
      </c>
    </row>
    <row r="111" spans="1:6">
      <c r="A111" s="1199" t="s">
        <v>275</v>
      </c>
      <c r="B111" s="1203" t="s">
        <v>2325</v>
      </c>
      <c r="C111" s="1204">
        <v>0.11</v>
      </c>
      <c r="D111" s="1204">
        <v>0.11</v>
      </c>
      <c r="E111" s="1204">
        <v>9.9000000000000005E-2</v>
      </c>
      <c r="F111" s="1205">
        <v>0.128</v>
      </c>
    </row>
    <row r="112" spans="1:6">
      <c r="A112" s="1199" t="s">
        <v>275</v>
      </c>
      <c r="B112" s="1203" t="s">
        <v>2339</v>
      </c>
      <c r="C112" s="1204">
        <v>0.125</v>
      </c>
      <c r="D112" s="1204">
        <v>0.125</v>
      </c>
      <c r="E112" s="1204">
        <v>0.12</v>
      </c>
      <c r="F112" s="1205">
        <v>0.125</v>
      </c>
    </row>
    <row r="113" spans="1:6">
      <c r="A113" s="1199" t="s">
        <v>275</v>
      </c>
      <c r="B113" s="1203" t="s">
        <v>2351</v>
      </c>
      <c r="C113" s="1204">
        <v>0.13</v>
      </c>
      <c r="D113" s="1204">
        <v>0.13</v>
      </c>
      <c r="E113" s="1204">
        <v>0.13</v>
      </c>
      <c r="F113" s="1205">
        <v>0.13</v>
      </c>
    </row>
    <row r="114" spans="1:6">
      <c r="A114" s="1199" t="s">
        <v>275</v>
      </c>
      <c r="B114" s="1203" t="s">
        <v>2363</v>
      </c>
      <c r="C114" s="1204">
        <v>0.123</v>
      </c>
      <c r="D114" s="1204">
        <v>0.123</v>
      </c>
      <c r="E114" s="1204">
        <v>0.12</v>
      </c>
      <c r="F114" s="1205">
        <v>0.13</v>
      </c>
    </row>
    <row r="115" spans="1:6">
      <c r="A115" s="1199" t="s">
        <v>275</v>
      </c>
      <c r="B115" s="1203" t="s">
        <v>2374</v>
      </c>
      <c r="C115" s="1204">
        <v>0.125</v>
      </c>
      <c r="D115" s="1204">
        <v>0.125</v>
      </c>
      <c r="E115" s="1204">
        <v>0.11700000000000001</v>
      </c>
      <c r="F115" s="1205">
        <v>0.13</v>
      </c>
    </row>
    <row r="116" spans="1:6">
      <c r="A116" s="1199" t="s">
        <v>275</v>
      </c>
      <c r="B116" s="1203" t="s">
        <v>2385</v>
      </c>
      <c r="C116" s="1204">
        <v>0.11700000000000001</v>
      </c>
      <c r="D116" s="1204">
        <v>0.11700000000000001</v>
      </c>
      <c r="E116" s="1204">
        <v>8.7999999999999995E-2</v>
      </c>
      <c r="F116" s="1205">
        <v>0.13</v>
      </c>
    </row>
    <row r="117" spans="1:6">
      <c r="A117" s="1199" t="s">
        <v>275</v>
      </c>
      <c r="B117" s="1203" t="s">
        <v>2396</v>
      </c>
      <c r="C117" s="1204">
        <v>0.13</v>
      </c>
      <c r="D117" s="1204">
        <v>0.13</v>
      </c>
      <c r="E117" s="1204">
        <v>0.129</v>
      </c>
      <c r="F117" s="1205">
        <v>0.13</v>
      </c>
    </row>
    <row r="118" spans="1:6">
      <c r="A118" s="1199" t="s">
        <v>275</v>
      </c>
      <c r="B118" s="1203" t="s">
        <v>2406</v>
      </c>
      <c r="C118" s="1204">
        <v>0.123</v>
      </c>
      <c r="D118" s="1204">
        <v>0.123</v>
      </c>
      <c r="E118" s="1204">
        <v>0.11600000000000001</v>
      </c>
      <c r="F118" s="1205">
        <v>0.13</v>
      </c>
    </row>
    <row r="119" spans="1:6">
      <c r="A119" s="1199" t="s">
        <v>275</v>
      </c>
      <c r="B119" s="1203" t="s">
        <v>2416</v>
      </c>
      <c r="C119" s="1204">
        <v>0.127</v>
      </c>
      <c r="D119" s="1204">
        <v>0.127</v>
      </c>
      <c r="E119" s="1204">
        <v>0.124</v>
      </c>
      <c r="F119" s="1205">
        <v>0.13</v>
      </c>
    </row>
    <row r="120" spans="1:6">
      <c r="A120" s="1199" t="s">
        <v>275</v>
      </c>
      <c r="B120" s="1203" t="s">
        <v>2426</v>
      </c>
      <c r="C120" s="1204">
        <v>0.125</v>
      </c>
      <c r="D120" s="1204">
        <v>0.125</v>
      </c>
      <c r="E120" s="1204">
        <v>0.122</v>
      </c>
      <c r="F120" s="1205">
        <v>0.13</v>
      </c>
    </row>
    <row r="121" spans="1:6">
      <c r="A121" s="1199" t="s">
        <v>275</v>
      </c>
      <c r="B121" s="1203" t="s">
        <v>2436</v>
      </c>
      <c r="C121" s="1204">
        <v>0.13</v>
      </c>
      <c r="D121" s="1204">
        <v>0.13</v>
      </c>
      <c r="E121" s="1204">
        <v>0.13</v>
      </c>
      <c r="F121" s="1205">
        <v>0.13</v>
      </c>
    </row>
    <row r="122" spans="1:6">
      <c r="A122" s="1199" t="s">
        <v>275</v>
      </c>
      <c r="B122" s="1203" t="s">
        <v>2446</v>
      </c>
      <c r="C122" s="1204">
        <v>0.13</v>
      </c>
      <c r="D122" s="1204">
        <v>0.13</v>
      </c>
      <c r="E122" s="1204">
        <v>0.125</v>
      </c>
      <c r="F122" s="1205">
        <v>0.13</v>
      </c>
    </row>
    <row r="123" spans="1:6">
      <c r="A123" s="1199" t="s">
        <v>275</v>
      </c>
      <c r="B123" s="1203" t="s">
        <v>2456</v>
      </c>
      <c r="C123" s="1204">
        <v>0.129</v>
      </c>
      <c r="D123" s="1204">
        <v>0.129</v>
      </c>
      <c r="E123" s="1204">
        <v>0.123</v>
      </c>
      <c r="F123" s="1205">
        <v>0.13</v>
      </c>
    </row>
    <row r="124" spans="1:6">
      <c r="A124" s="1199" t="s">
        <v>275</v>
      </c>
      <c r="B124" s="1203" t="s">
        <v>2466</v>
      </c>
      <c r="C124" s="1204">
        <v>0.10199999999999999</v>
      </c>
      <c r="D124" s="1204">
        <v>0.10100000000000001</v>
      </c>
      <c r="E124" s="1204">
        <v>0.08</v>
      </c>
      <c r="F124" s="1212"/>
    </row>
    <row r="125" spans="1:6">
      <c r="A125" s="1199" t="s">
        <v>275</v>
      </c>
      <c r="B125" s="1203" t="s">
        <v>2476</v>
      </c>
      <c r="C125" s="1204">
        <v>0.13</v>
      </c>
      <c r="D125" s="1204">
        <v>0.13</v>
      </c>
      <c r="E125" s="1204">
        <v>0.129</v>
      </c>
      <c r="F125" s="1212"/>
    </row>
    <row r="126" spans="1:6">
      <c r="A126" s="1199" t="s">
        <v>275</v>
      </c>
      <c r="B126" s="1203" t="s">
        <v>2486</v>
      </c>
      <c r="C126" s="1204">
        <v>0.13</v>
      </c>
      <c r="D126" s="1204">
        <v>0.13</v>
      </c>
      <c r="E126" s="1204">
        <v>0.126</v>
      </c>
      <c r="F126" s="1212"/>
    </row>
    <row r="127" spans="1:6">
      <c r="A127" s="1199" t="s">
        <v>275</v>
      </c>
      <c r="B127" s="1203" t="s">
        <v>2496</v>
      </c>
      <c r="C127" s="1204">
        <v>0.125</v>
      </c>
      <c r="D127" s="1204">
        <v>0.125</v>
      </c>
      <c r="E127" s="1204">
        <v>0.121</v>
      </c>
      <c r="F127" s="1212"/>
    </row>
    <row r="128" spans="1:6">
      <c r="A128" s="1199" t="s">
        <v>275</v>
      </c>
      <c r="B128" s="1203" t="s">
        <v>2506</v>
      </c>
      <c r="C128" s="1204">
        <v>0.12</v>
      </c>
      <c r="D128" s="1204">
        <v>0.12</v>
      </c>
      <c r="E128" s="1204">
        <v>0.105</v>
      </c>
      <c r="F128" s="1212"/>
    </row>
    <row r="129" spans="1:6">
      <c r="A129" s="1199" t="s">
        <v>275</v>
      </c>
      <c r="B129" s="1203" t="s">
        <v>2515</v>
      </c>
      <c r="C129" s="1204">
        <v>0.13</v>
      </c>
      <c r="D129" s="1204">
        <v>0.13</v>
      </c>
      <c r="E129" s="1204">
        <v>0.126</v>
      </c>
      <c r="F129" s="1212"/>
    </row>
    <row r="130" spans="1:6">
      <c r="A130" s="1199" t="s">
        <v>275</v>
      </c>
      <c r="B130" s="1203" t="s">
        <v>2523</v>
      </c>
      <c r="C130" s="1204">
        <v>0.125</v>
      </c>
      <c r="D130" s="1204">
        <v>0.125</v>
      </c>
      <c r="E130" s="1204">
        <v>0.122</v>
      </c>
      <c r="F130" s="1212"/>
    </row>
    <row r="131" spans="1:6">
      <c r="A131" s="1199" t="s">
        <v>275</v>
      </c>
      <c r="B131" s="1203" t="s">
        <v>2531</v>
      </c>
      <c r="C131" s="1204">
        <v>0.127</v>
      </c>
      <c r="D131" s="1204">
        <v>0.126</v>
      </c>
      <c r="E131" s="1204">
        <v>0.123</v>
      </c>
      <c r="F131" s="1212"/>
    </row>
    <row r="132" spans="1:6">
      <c r="A132" s="1199" t="s">
        <v>275</v>
      </c>
      <c r="B132" s="1203" t="s">
        <v>2538</v>
      </c>
      <c r="C132" s="1204">
        <v>9.0999999999999998E-2</v>
      </c>
      <c r="D132" s="1204">
        <v>0.121</v>
      </c>
      <c r="E132" s="1204">
        <v>9.9000000000000005E-2</v>
      </c>
      <c r="F132" s="1212"/>
    </row>
    <row r="133" spans="1:6">
      <c r="A133" s="1199" t="s">
        <v>275</v>
      </c>
      <c r="B133" s="1203" t="s">
        <v>2545</v>
      </c>
      <c r="C133" s="1204">
        <v>0.13</v>
      </c>
      <c r="D133" s="1204">
        <v>0.13</v>
      </c>
      <c r="E133" s="1204">
        <v>0.129</v>
      </c>
      <c r="F133" s="1212"/>
    </row>
    <row r="134" spans="1:6">
      <c r="A134" s="1199" t="s">
        <v>275</v>
      </c>
      <c r="B134" s="1203" t="s">
        <v>2552</v>
      </c>
      <c r="C134" s="1204">
        <v>6.8000000000000005E-2</v>
      </c>
      <c r="D134" s="1204">
        <v>6.5000000000000002E-2</v>
      </c>
      <c r="E134" s="1204">
        <v>6.5000000000000002E-2</v>
      </c>
      <c r="F134" s="1205">
        <v>0.13</v>
      </c>
    </row>
    <row r="135" spans="1:6">
      <c r="A135" s="1199" t="s">
        <v>275</v>
      </c>
      <c r="B135" s="1203" t="s">
        <v>2559</v>
      </c>
      <c r="C135" s="1204">
        <v>0.123</v>
      </c>
      <c r="D135" s="1204">
        <v>0.123</v>
      </c>
      <c r="E135" s="1204">
        <v>0.11</v>
      </c>
      <c r="F135" s="1212"/>
    </row>
    <row r="136" spans="1:6">
      <c r="A136" s="1199" t="s">
        <v>275</v>
      </c>
      <c r="B136" s="1203" t="s">
        <v>2566</v>
      </c>
      <c r="C136" s="1204">
        <v>0.13</v>
      </c>
      <c r="D136" s="1204">
        <v>0.13</v>
      </c>
      <c r="E136" s="1204">
        <v>0.125</v>
      </c>
      <c r="F136" s="1212"/>
    </row>
    <row r="137" spans="1:6">
      <c r="A137" s="1199" t="s">
        <v>275</v>
      </c>
      <c r="B137" s="1203" t="s">
        <v>2571</v>
      </c>
      <c r="C137" s="1204">
        <v>0.121</v>
      </c>
      <c r="D137" s="1204">
        <v>0.122</v>
      </c>
      <c r="E137" s="1204">
        <v>0.115</v>
      </c>
      <c r="F137" s="1212"/>
    </row>
    <row r="138" spans="1:6">
      <c r="A138" s="1199" t="s">
        <v>275</v>
      </c>
      <c r="B138" s="1203" t="s">
        <v>2576</v>
      </c>
      <c r="C138" s="1204">
        <v>0.105</v>
      </c>
      <c r="D138" s="1204">
        <v>0.125</v>
      </c>
      <c r="E138" s="1204">
        <v>0.112</v>
      </c>
      <c r="F138" s="1212"/>
    </row>
    <row r="139" spans="1:6">
      <c r="A139" s="1199" t="s">
        <v>275</v>
      </c>
      <c r="B139" s="1203" t="s">
        <v>2581</v>
      </c>
      <c r="C139" s="1204">
        <v>0.127</v>
      </c>
      <c r="D139" s="1204">
        <v>0.127</v>
      </c>
      <c r="E139" s="1204">
        <v>0.122</v>
      </c>
      <c r="F139" s="1205">
        <v>0.13</v>
      </c>
    </row>
    <row r="140" spans="1:6">
      <c r="A140" s="1199" t="s">
        <v>275</v>
      </c>
      <c r="B140" s="1203" t="s">
        <v>2586</v>
      </c>
      <c r="C140" s="1204">
        <v>0.125</v>
      </c>
      <c r="D140" s="1204">
        <v>0.125</v>
      </c>
      <c r="E140" s="1204">
        <v>0.11899999999999999</v>
      </c>
      <c r="F140" s="1205">
        <v>0.13</v>
      </c>
    </row>
    <row r="141" spans="1:6">
      <c r="A141" s="1199" t="s">
        <v>275</v>
      </c>
      <c r="B141" s="1203" t="s">
        <v>2591</v>
      </c>
      <c r="C141" s="1204">
        <v>0.125</v>
      </c>
      <c r="D141" s="1204">
        <v>0.125</v>
      </c>
      <c r="E141" s="1204">
        <v>0.11700000000000001</v>
      </c>
      <c r="F141" s="1212"/>
    </row>
    <row r="142" spans="1:6">
      <c r="A142" s="1199" t="s">
        <v>275</v>
      </c>
      <c r="B142" s="1203" t="s">
        <v>2596</v>
      </c>
      <c r="C142" s="1204">
        <v>0.125</v>
      </c>
      <c r="D142" s="1204">
        <v>0.125</v>
      </c>
      <c r="E142" s="1204">
        <v>0.115</v>
      </c>
      <c r="F142" s="1212"/>
    </row>
    <row r="143" spans="1:6">
      <c r="A143" s="1199" t="s">
        <v>275</v>
      </c>
      <c r="B143" s="1203" t="s">
        <v>2601</v>
      </c>
      <c r="C143" s="1204">
        <v>0.121</v>
      </c>
      <c r="D143" s="1204">
        <v>0.121</v>
      </c>
      <c r="E143" s="1204">
        <v>0.108</v>
      </c>
      <c r="F143" s="1212"/>
    </row>
    <row r="144" spans="1:6">
      <c r="A144" s="1199" t="s">
        <v>275</v>
      </c>
      <c r="B144" s="1216" t="s">
        <v>2605</v>
      </c>
      <c r="C144" s="1217">
        <v>0.126</v>
      </c>
      <c r="D144" s="1217">
        <v>0.126</v>
      </c>
      <c r="E144" s="1217">
        <v>0.121</v>
      </c>
      <c r="F144" s="1212"/>
    </row>
    <row r="145" spans="1:6">
      <c r="A145" s="1207" t="s">
        <v>275</v>
      </c>
      <c r="B145" s="1218" t="s">
        <v>2609</v>
      </c>
      <c r="C145" s="1219"/>
      <c r="D145" s="1219"/>
      <c r="E145" s="1219"/>
      <c r="F145" s="1220">
        <v>0.05</v>
      </c>
    </row>
    <row r="146" spans="1:6" ht="24">
      <c r="A146" s="1221" t="s">
        <v>275</v>
      </c>
      <c r="B146" s="1206" t="s">
        <v>2613</v>
      </c>
      <c r="C146" s="1213"/>
      <c r="D146" s="1213"/>
      <c r="E146" s="1213"/>
      <c r="F146" s="1222">
        <v>0.05</v>
      </c>
    </row>
    <row r="147" spans="1:6" ht="24">
      <c r="A147" s="1199" t="s">
        <v>275</v>
      </c>
      <c r="B147" s="1203" t="s">
        <v>2617</v>
      </c>
      <c r="C147" s="1213"/>
      <c r="D147" s="1213"/>
      <c r="E147" s="1213"/>
      <c r="F147" s="1205">
        <v>0.05</v>
      </c>
    </row>
    <row r="148" spans="1:6" ht="24">
      <c r="A148" s="1199" t="s">
        <v>275</v>
      </c>
      <c r="B148" s="1203" t="s">
        <v>2621</v>
      </c>
      <c r="C148" s="1213"/>
      <c r="D148" s="1213"/>
      <c r="E148" s="1213"/>
      <c r="F148" s="1205">
        <v>0.05</v>
      </c>
    </row>
    <row r="149" spans="1:6" ht="24">
      <c r="A149" s="1199" t="s">
        <v>275</v>
      </c>
      <c r="B149" s="1203" t="s">
        <v>2625</v>
      </c>
      <c r="C149" s="1213"/>
      <c r="D149" s="1213"/>
      <c r="E149" s="1213"/>
      <c r="F149" s="1205">
        <v>0.05</v>
      </c>
    </row>
    <row r="150" spans="1:6" ht="24">
      <c r="A150" s="1199" t="s">
        <v>275</v>
      </c>
      <c r="B150" s="1203" t="s">
        <v>2628</v>
      </c>
      <c r="C150" s="1213"/>
      <c r="D150" s="1213"/>
      <c r="E150" s="1213"/>
      <c r="F150" s="1205">
        <v>0.05</v>
      </c>
    </row>
    <row r="151" spans="1:6" ht="24">
      <c r="A151" s="1199" t="s">
        <v>275</v>
      </c>
      <c r="B151" s="1203" t="s">
        <v>2631</v>
      </c>
      <c r="C151" s="1213"/>
      <c r="D151" s="1213"/>
      <c r="E151" s="1213"/>
      <c r="F151" s="1205">
        <v>0.05</v>
      </c>
    </row>
    <row r="152" spans="1:6" ht="24">
      <c r="A152" s="1199" t="s">
        <v>275</v>
      </c>
      <c r="B152" s="1203" t="s">
        <v>2634</v>
      </c>
      <c r="C152" s="1213"/>
      <c r="D152" s="1213"/>
      <c r="E152" s="1213"/>
      <c r="F152" s="1205">
        <v>0.05</v>
      </c>
    </row>
    <row r="153" spans="1:6">
      <c r="A153" s="1199" t="s">
        <v>275</v>
      </c>
      <c r="B153" s="1203" t="s">
        <v>2637</v>
      </c>
      <c r="C153" s="1213"/>
      <c r="D153" s="1213"/>
      <c r="E153" s="1213"/>
      <c r="F153" s="1205">
        <v>0.05</v>
      </c>
    </row>
    <row r="154" spans="1:6">
      <c r="A154" s="1199" t="s">
        <v>275</v>
      </c>
      <c r="B154" s="1203" t="s">
        <v>2640</v>
      </c>
      <c r="C154" s="1213"/>
      <c r="D154" s="1213"/>
      <c r="E154" s="1213"/>
      <c r="F154" s="1205">
        <v>0.05</v>
      </c>
    </row>
    <row r="155" spans="1:6" ht="24">
      <c r="A155" s="1199" t="s">
        <v>275</v>
      </c>
      <c r="B155" s="1203" t="s">
        <v>2643</v>
      </c>
      <c r="C155" s="1213"/>
      <c r="D155" s="1213"/>
      <c r="E155" s="1213"/>
      <c r="F155" s="1205">
        <v>0.05</v>
      </c>
    </row>
    <row r="156" spans="1:6" ht="24">
      <c r="A156" s="1199" t="s">
        <v>275</v>
      </c>
      <c r="B156" s="1203" t="s">
        <v>2645</v>
      </c>
      <c r="C156" s="1213"/>
      <c r="D156" s="1213"/>
      <c r="E156" s="1213"/>
      <c r="F156" s="1205">
        <v>0.05</v>
      </c>
    </row>
    <row r="157" spans="1:6" ht="24">
      <c r="A157" s="1207" t="s">
        <v>275</v>
      </c>
      <c r="B157" s="1214" t="s">
        <v>2647</v>
      </c>
      <c r="C157" s="1210"/>
      <c r="D157" s="1210"/>
      <c r="E157" s="1210"/>
      <c r="F157" s="1215">
        <v>0.05</v>
      </c>
    </row>
    <row r="158" spans="1:6">
      <c r="A158" s="1199" t="s">
        <v>280</v>
      </c>
      <c r="B158" s="1200" t="s">
        <v>2314</v>
      </c>
      <c r="C158" s="1201">
        <v>0.13</v>
      </c>
      <c r="D158" s="1201">
        <v>0.13</v>
      </c>
      <c r="E158" s="1201">
        <v>0.13</v>
      </c>
      <c r="F158" s="1202">
        <v>0.13</v>
      </c>
    </row>
    <row r="159" spans="1:6">
      <c r="A159" s="1199" t="s">
        <v>280</v>
      </c>
      <c r="B159" s="1203" t="s">
        <v>2326</v>
      </c>
      <c r="C159" s="1204">
        <v>0.13</v>
      </c>
      <c r="D159" s="1204">
        <v>0.13</v>
      </c>
      <c r="E159" s="1204">
        <v>0.13</v>
      </c>
      <c r="F159" s="1205">
        <v>0.13</v>
      </c>
    </row>
    <row r="160" spans="1:6">
      <c r="A160" s="1199" t="s">
        <v>280</v>
      </c>
      <c r="B160" s="1203" t="s">
        <v>2340</v>
      </c>
      <c r="C160" s="1204">
        <v>0.13</v>
      </c>
      <c r="D160" s="1204">
        <v>0.13</v>
      </c>
      <c r="E160" s="1204">
        <v>0.129</v>
      </c>
      <c r="F160" s="1205">
        <v>0.13</v>
      </c>
    </row>
    <row r="161" spans="1:6">
      <c r="A161" s="1199" t="s">
        <v>280</v>
      </c>
      <c r="B161" s="1203" t="s">
        <v>2352</v>
      </c>
      <c r="C161" s="1204">
        <v>0.128</v>
      </c>
      <c r="D161" s="1204">
        <v>0.128</v>
      </c>
      <c r="E161" s="1204">
        <v>0.125</v>
      </c>
      <c r="F161" s="1205">
        <v>0.13</v>
      </c>
    </row>
    <row r="162" spans="1:6">
      <c r="A162" s="1199" t="s">
        <v>280</v>
      </c>
      <c r="B162" s="1203" t="s">
        <v>2364</v>
      </c>
      <c r="C162" s="1204">
        <v>0.122</v>
      </c>
      <c r="D162" s="1204">
        <v>0.122</v>
      </c>
      <c r="E162" s="1204">
        <v>0.126</v>
      </c>
      <c r="F162" s="1205">
        <v>0.122</v>
      </c>
    </row>
    <row r="163" spans="1:6">
      <c r="A163" s="1199" t="s">
        <v>280</v>
      </c>
      <c r="B163" s="1203" t="s">
        <v>2375</v>
      </c>
      <c r="C163" s="1204">
        <v>0.13</v>
      </c>
      <c r="D163" s="1204">
        <v>0.13</v>
      </c>
      <c r="E163" s="1204">
        <v>0.125</v>
      </c>
      <c r="F163" s="1205">
        <v>0.13</v>
      </c>
    </row>
    <row r="164" spans="1:6">
      <c r="A164" s="1199" t="s">
        <v>280</v>
      </c>
      <c r="B164" s="1203" t="s">
        <v>2386</v>
      </c>
      <c r="C164" s="1204">
        <v>0.13</v>
      </c>
      <c r="D164" s="1204">
        <v>0.13</v>
      </c>
      <c r="E164" s="1204">
        <v>0.13</v>
      </c>
      <c r="F164" s="1205">
        <v>0.13</v>
      </c>
    </row>
    <row r="165" spans="1:6">
      <c r="A165" s="1199" t="s">
        <v>280</v>
      </c>
      <c r="B165" s="1203" t="s">
        <v>2397</v>
      </c>
      <c r="C165" s="1204">
        <v>0.13</v>
      </c>
      <c r="D165" s="1204">
        <v>0.13</v>
      </c>
      <c r="E165" s="1204">
        <v>0.124</v>
      </c>
      <c r="F165" s="1205">
        <v>0.13</v>
      </c>
    </row>
    <row r="166" spans="1:6">
      <c r="A166" s="1199" t="s">
        <v>280</v>
      </c>
      <c r="B166" s="1203" t="s">
        <v>2407</v>
      </c>
      <c r="C166" s="1204">
        <v>0.13</v>
      </c>
      <c r="D166" s="1204">
        <v>0.13</v>
      </c>
      <c r="E166" s="1204">
        <v>0.13</v>
      </c>
      <c r="F166" s="1205">
        <v>0.13</v>
      </c>
    </row>
    <row r="167" spans="1:6">
      <c r="A167" s="1199" t="s">
        <v>280</v>
      </c>
      <c r="B167" s="1203" t="s">
        <v>2417</v>
      </c>
      <c r="C167" s="1204">
        <v>0.125</v>
      </c>
      <c r="D167" s="1204">
        <v>0.125</v>
      </c>
      <c r="E167" s="1204">
        <v>0.121</v>
      </c>
      <c r="F167" s="1212"/>
    </row>
    <row r="168" spans="1:6">
      <c r="A168" s="1199" t="s">
        <v>280</v>
      </c>
      <c r="B168" s="1203" t="s">
        <v>2427</v>
      </c>
      <c r="C168" s="1204">
        <v>0.13</v>
      </c>
      <c r="D168" s="1204">
        <v>0.13</v>
      </c>
      <c r="E168" s="1204">
        <v>0.126</v>
      </c>
      <c r="F168" s="1212"/>
    </row>
    <row r="169" spans="1:6">
      <c r="A169" s="1199" t="s">
        <v>280</v>
      </c>
      <c r="B169" s="1203" t="s">
        <v>2437</v>
      </c>
      <c r="C169" s="1204">
        <v>0.128</v>
      </c>
      <c r="D169" s="1204">
        <v>0.129</v>
      </c>
      <c r="E169" s="1204">
        <v>0.13</v>
      </c>
      <c r="F169" s="1212"/>
    </row>
    <row r="170" spans="1:6">
      <c r="A170" s="1199" t="s">
        <v>280</v>
      </c>
      <c r="B170" s="1203" t="s">
        <v>2447</v>
      </c>
      <c r="C170" s="1204">
        <v>0.14099999999999999</v>
      </c>
      <c r="D170" s="1204">
        <v>0.13</v>
      </c>
      <c r="E170" s="1204">
        <v>0.125</v>
      </c>
      <c r="F170" s="1212"/>
    </row>
    <row r="171" spans="1:6">
      <c r="A171" s="1199" t="s">
        <v>280</v>
      </c>
      <c r="B171" s="1203" t="s">
        <v>2457</v>
      </c>
      <c r="C171" s="1204">
        <v>0.127</v>
      </c>
      <c r="D171" s="1204">
        <v>0.126</v>
      </c>
      <c r="E171" s="1204">
        <v>0.126</v>
      </c>
      <c r="F171" s="1205">
        <v>0.11799999999999999</v>
      </c>
    </row>
    <row r="172" spans="1:6">
      <c r="A172" s="1199" t="s">
        <v>280</v>
      </c>
      <c r="B172" s="1203" t="s">
        <v>2467</v>
      </c>
      <c r="C172" s="1204">
        <v>0.13</v>
      </c>
      <c r="D172" s="1204">
        <v>0.13</v>
      </c>
      <c r="E172" s="1204">
        <v>0.13</v>
      </c>
      <c r="F172" s="1212"/>
    </row>
    <row r="173" spans="1:6">
      <c r="A173" s="1199" t="s">
        <v>280</v>
      </c>
      <c r="B173" s="1203" t="s">
        <v>2477</v>
      </c>
      <c r="C173" s="1204">
        <v>0.13</v>
      </c>
      <c r="D173" s="1204">
        <v>0.13</v>
      </c>
      <c r="E173" s="1204">
        <v>0.13</v>
      </c>
      <c r="F173" s="1212"/>
    </row>
    <row r="174" spans="1:6">
      <c r="A174" s="1199" t="s">
        <v>280</v>
      </c>
      <c r="B174" s="1203" t="s">
        <v>2487</v>
      </c>
      <c r="C174" s="1204">
        <v>0.13</v>
      </c>
      <c r="D174" s="1204">
        <v>0.13</v>
      </c>
      <c r="E174" s="1204">
        <v>0.13</v>
      </c>
      <c r="F174" s="1205">
        <v>0.13</v>
      </c>
    </row>
    <row r="175" spans="1:6">
      <c r="A175" s="1199" t="s">
        <v>280</v>
      </c>
      <c r="B175" s="1203" t="s">
        <v>2497</v>
      </c>
      <c r="C175" s="1204">
        <v>0.13</v>
      </c>
      <c r="D175" s="1204">
        <v>0.13</v>
      </c>
      <c r="E175" s="1204">
        <v>0.13</v>
      </c>
      <c r="F175" s="1205">
        <v>0.13</v>
      </c>
    </row>
    <row r="176" spans="1:6">
      <c r="A176" s="1199" t="s">
        <v>280</v>
      </c>
      <c r="B176" s="1203" t="s">
        <v>2507</v>
      </c>
      <c r="C176" s="1204">
        <v>0.13</v>
      </c>
      <c r="D176" s="1204">
        <v>0.13</v>
      </c>
      <c r="E176" s="1204">
        <v>0.13</v>
      </c>
      <c r="F176" s="1205">
        <v>0.13</v>
      </c>
    </row>
    <row r="177" spans="1:6">
      <c r="A177" s="1199" t="s">
        <v>280</v>
      </c>
      <c r="B177" s="1203" t="s">
        <v>2516</v>
      </c>
      <c r="C177" s="1204">
        <v>0.13</v>
      </c>
      <c r="D177" s="1204">
        <v>0.13</v>
      </c>
      <c r="E177" s="1204">
        <v>0.13</v>
      </c>
      <c r="F177" s="1205">
        <v>0.13</v>
      </c>
    </row>
    <row r="178" spans="1:6">
      <c r="A178" s="1199" t="s">
        <v>280</v>
      </c>
      <c r="B178" s="1203" t="s">
        <v>2524</v>
      </c>
      <c r="C178" s="1204">
        <v>0.13</v>
      </c>
      <c r="D178" s="1204">
        <v>0.13</v>
      </c>
      <c r="E178" s="1204">
        <v>0.13</v>
      </c>
      <c r="F178" s="1205">
        <v>0.127</v>
      </c>
    </row>
    <row r="179" spans="1:6">
      <c r="A179" s="1199" t="s">
        <v>280</v>
      </c>
      <c r="B179" s="1203" t="s">
        <v>2532</v>
      </c>
      <c r="C179" s="1204">
        <v>0.13</v>
      </c>
      <c r="D179" s="1204">
        <v>0.13</v>
      </c>
      <c r="E179" s="1204">
        <v>0.13</v>
      </c>
      <c r="F179" s="1212"/>
    </row>
    <row r="180" spans="1:6">
      <c r="A180" s="1199" t="s">
        <v>280</v>
      </c>
      <c r="B180" s="1203" t="s">
        <v>2539</v>
      </c>
      <c r="C180" s="1204">
        <v>0.13</v>
      </c>
      <c r="D180" s="1204">
        <v>0.13</v>
      </c>
      <c r="E180" s="1204">
        <v>0.125</v>
      </c>
      <c r="F180" s="1205">
        <v>0.13</v>
      </c>
    </row>
    <row r="181" spans="1:6">
      <c r="A181" s="1199" t="s">
        <v>280</v>
      </c>
      <c r="B181" s="1203" t="s">
        <v>2546</v>
      </c>
      <c r="C181" s="1204">
        <v>0.122</v>
      </c>
      <c r="D181" s="1204">
        <v>0.123</v>
      </c>
      <c r="E181" s="1204">
        <v>0.126</v>
      </c>
      <c r="F181" s="1205">
        <v>0.121</v>
      </c>
    </row>
    <row r="182" spans="1:6">
      <c r="A182" s="1199" t="s">
        <v>280</v>
      </c>
      <c r="B182" s="1203" t="s">
        <v>2553</v>
      </c>
      <c r="C182" s="1204">
        <v>0.125</v>
      </c>
      <c r="D182" s="1204">
        <v>0.125</v>
      </c>
      <c r="E182" s="1204">
        <v>0.11700000000000001</v>
      </c>
      <c r="F182" s="1205">
        <v>0.13</v>
      </c>
    </row>
    <row r="183" spans="1:6">
      <c r="A183" s="1199" t="s">
        <v>280</v>
      </c>
      <c r="B183" s="1203" t="s">
        <v>2560</v>
      </c>
      <c r="C183" s="1204">
        <v>0.127</v>
      </c>
      <c r="D183" s="1204">
        <v>0.127</v>
      </c>
      <c r="E183" s="1204">
        <v>0.128</v>
      </c>
      <c r="F183" s="1212"/>
    </row>
    <row r="184" spans="1:6">
      <c r="A184" s="1199" t="s">
        <v>280</v>
      </c>
      <c r="B184" s="1203" t="s">
        <v>2567</v>
      </c>
      <c r="C184" s="1204">
        <v>0.125</v>
      </c>
      <c r="D184" s="1204">
        <v>0.125</v>
      </c>
      <c r="E184" s="1204">
        <v>0.127</v>
      </c>
      <c r="F184" s="1212"/>
    </row>
    <row r="185" spans="1:6">
      <c r="A185" s="1199" t="s">
        <v>280</v>
      </c>
      <c r="B185" s="1203" t="s">
        <v>2572</v>
      </c>
      <c r="C185" s="1204">
        <v>0.127</v>
      </c>
      <c r="D185" s="1204">
        <v>0.127</v>
      </c>
      <c r="E185" s="1204">
        <v>0.128</v>
      </c>
      <c r="F185" s="1205">
        <v>0.13</v>
      </c>
    </row>
    <row r="186" spans="1:6" ht="24">
      <c r="A186" s="1199" t="s">
        <v>280</v>
      </c>
      <c r="B186" s="1203" t="s">
        <v>2577</v>
      </c>
      <c r="C186" s="1213"/>
      <c r="D186" s="1213"/>
      <c r="E186" s="1213"/>
      <c r="F186" s="1205">
        <v>0.05</v>
      </c>
    </row>
    <row r="187" spans="1:6">
      <c r="A187" s="1199" t="s">
        <v>280</v>
      </c>
      <c r="B187" s="1203" t="s">
        <v>2582</v>
      </c>
      <c r="C187" s="1213"/>
      <c r="D187" s="1213"/>
      <c r="E187" s="1213"/>
      <c r="F187" s="1205">
        <v>0.05</v>
      </c>
    </row>
    <row r="188" spans="1:6" ht="24">
      <c r="A188" s="1199" t="s">
        <v>280</v>
      </c>
      <c r="B188" s="1203" t="s">
        <v>2587</v>
      </c>
      <c r="C188" s="1213"/>
      <c r="D188" s="1213"/>
      <c r="E188" s="1213"/>
      <c r="F188" s="1205">
        <v>0.05</v>
      </c>
    </row>
    <row r="189" spans="1:6" ht="24">
      <c r="A189" s="1199" t="s">
        <v>280</v>
      </c>
      <c r="B189" s="1203" t="s">
        <v>2592</v>
      </c>
      <c r="C189" s="1213"/>
      <c r="D189" s="1213"/>
      <c r="E189" s="1213"/>
      <c r="F189" s="1205">
        <v>0.05</v>
      </c>
    </row>
    <row r="190" spans="1:6" ht="24">
      <c r="A190" s="1199" t="s">
        <v>280</v>
      </c>
      <c r="B190" s="1203" t="s">
        <v>2597</v>
      </c>
      <c r="C190" s="1213"/>
      <c r="D190" s="1213"/>
      <c r="E190" s="1213"/>
      <c r="F190" s="1205">
        <v>0.05</v>
      </c>
    </row>
    <row r="191" spans="1:6" ht="24">
      <c r="A191" s="1199" t="s">
        <v>280</v>
      </c>
      <c r="B191" s="1203" t="s">
        <v>2602</v>
      </c>
      <c r="C191" s="1213"/>
      <c r="D191" s="1213"/>
      <c r="E191" s="1213"/>
      <c r="F191" s="1205">
        <v>0.05</v>
      </c>
    </row>
    <row r="192" spans="1:6" ht="24">
      <c r="A192" s="1199" t="s">
        <v>280</v>
      </c>
      <c r="B192" s="1203" t="s">
        <v>2606</v>
      </c>
      <c r="C192" s="1213"/>
      <c r="D192" s="1213"/>
      <c r="E192" s="1213"/>
      <c r="F192" s="1205">
        <v>0.05</v>
      </c>
    </row>
    <row r="193" spans="1:6" ht="24">
      <c r="A193" s="1199" t="s">
        <v>280</v>
      </c>
      <c r="B193" s="1203" t="s">
        <v>2610</v>
      </c>
      <c r="C193" s="1213"/>
      <c r="D193" s="1213"/>
      <c r="E193" s="1213"/>
      <c r="F193" s="1205">
        <v>0.05</v>
      </c>
    </row>
    <row r="194" spans="1:6" ht="24">
      <c r="A194" s="1199" t="s">
        <v>280</v>
      </c>
      <c r="B194" s="1203" t="s">
        <v>2614</v>
      </c>
      <c r="C194" s="1213"/>
      <c r="D194" s="1213"/>
      <c r="E194" s="1213"/>
      <c r="F194" s="1205">
        <v>0.05</v>
      </c>
    </row>
    <row r="195" spans="1:6">
      <c r="A195" s="1199" t="s">
        <v>280</v>
      </c>
      <c r="B195" s="1203" t="s">
        <v>2618</v>
      </c>
      <c r="C195" s="1213"/>
      <c r="D195" s="1213"/>
      <c r="E195" s="1213"/>
      <c r="F195" s="1205">
        <v>0.05</v>
      </c>
    </row>
    <row r="196" spans="1:6" ht="24">
      <c r="A196" s="1199" t="s">
        <v>280</v>
      </c>
      <c r="B196" s="1203" t="s">
        <v>2622</v>
      </c>
      <c r="C196" s="1213"/>
      <c r="D196" s="1213"/>
      <c r="E196" s="1213"/>
      <c r="F196" s="1205">
        <v>0.05</v>
      </c>
    </row>
    <row r="197" spans="1:6" ht="24">
      <c r="A197" s="1199" t="s">
        <v>280</v>
      </c>
      <c r="B197" s="1203" t="s">
        <v>2626</v>
      </c>
      <c r="C197" s="1213"/>
      <c r="D197" s="1213"/>
      <c r="E197" s="1213"/>
      <c r="F197" s="1205">
        <v>0.05</v>
      </c>
    </row>
    <row r="198" spans="1:6" ht="24">
      <c r="A198" s="1199" t="s">
        <v>280</v>
      </c>
      <c r="B198" s="1203" t="s">
        <v>2629</v>
      </c>
      <c r="C198" s="1213"/>
      <c r="D198" s="1213"/>
      <c r="E198" s="1213"/>
      <c r="F198" s="1205">
        <v>0.05</v>
      </c>
    </row>
    <row r="199" spans="1:6" ht="24">
      <c r="A199" s="1199" t="s">
        <v>280</v>
      </c>
      <c r="B199" s="1203" t="s">
        <v>2632</v>
      </c>
      <c r="C199" s="1213"/>
      <c r="D199" s="1213"/>
      <c r="E199" s="1213"/>
      <c r="F199" s="1205">
        <v>0.05</v>
      </c>
    </row>
    <row r="200" spans="1:6" ht="24">
      <c r="A200" s="1199" t="s">
        <v>280</v>
      </c>
      <c r="B200" s="1203" t="s">
        <v>2635</v>
      </c>
      <c r="C200" s="1213"/>
      <c r="D200" s="1213"/>
      <c r="E200" s="1213"/>
      <c r="F200" s="1205">
        <v>0.05</v>
      </c>
    </row>
    <row r="201" spans="1:6" ht="24">
      <c r="A201" s="1199" t="s">
        <v>280</v>
      </c>
      <c r="B201" s="1203" t="s">
        <v>2638</v>
      </c>
      <c r="C201" s="1213"/>
      <c r="D201" s="1213"/>
      <c r="E201" s="1213"/>
      <c r="F201" s="1205">
        <v>0.05</v>
      </c>
    </row>
    <row r="202" spans="1:6" ht="24">
      <c r="A202" s="1199" t="s">
        <v>280</v>
      </c>
      <c r="B202" s="1203" t="s">
        <v>2641</v>
      </c>
      <c r="C202" s="1213"/>
      <c r="D202" s="1213"/>
      <c r="E202" s="1213"/>
      <c r="F202" s="1205">
        <v>0.05</v>
      </c>
    </row>
    <row r="203" spans="1:6" ht="24">
      <c r="A203" s="1199" t="s">
        <v>280</v>
      </c>
      <c r="B203" s="1203" t="s">
        <v>2644</v>
      </c>
      <c r="C203" s="1213"/>
      <c r="D203" s="1213"/>
      <c r="E203" s="1213"/>
      <c r="F203" s="1205">
        <v>0.05</v>
      </c>
    </row>
    <row r="204" spans="1:6">
      <c r="A204" s="1199" t="s">
        <v>280</v>
      </c>
      <c r="B204" s="1203" t="s">
        <v>2646</v>
      </c>
      <c r="C204" s="1213"/>
      <c r="D204" s="1213"/>
      <c r="E204" s="1213"/>
      <c r="F204" s="1205">
        <v>0.05</v>
      </c>
    </row>
    <row r="205" spans="1:6">
      <c r="A205" s="1207" t="s">
        <v>280</v>
      </c>
      <c r="B205" s="1214" t="s">
        <v>2648</v>
      </c>
      <c r="C205" s="1210"/>
      <c r="D205" s="1210"/>
      <c r="E205" s="1210"/>
      <c r="F205" s="1215">
        <v>0.05</v>
      </c>
    </row>
    <row r="206" spans="1:6">
      <c r="A206" s="1199" t="s">
        <v>285</v>
      </c>
      <c r="B206" s="1200" t="s">
        <v>2315</v>
      </c>
      <c r="C206" s="1201">
        <v>0.15</v>
      </c>
      <c r="D206" s="1201">
        <v>0.15</v>
      </c>
      <c r="E206" s="1201">
        <v>0.15</v>
      </c>
      <c r="F206" s="1202">
        <v>0.15</v>
      </c>
    </row>
    <row r="207" spans="1:6">
      <c r="A207" s="1199" t="s">
        <v>285</v>
      </c>
      <c r="B207" s="1203" t="s">
        <v>2327</v>
      </c>
      <c r="C207" s="1204">
        <v>0.15</v>
      </c>
      <c r="D207" s="1204">
        <v>0.15</v>
      </c>
      <c r="E207" s="1204">
        <v>0.15</v>
      </c>
      <c r="F207" s="1205">
        <v>0.14399999999999999</v>
      </c>
    </row>
    <row r="208" spans="1:6">
      <c r="A208" s="1199" t="s">
        <v>285</v>
      </c>
      <c r="B208" s="1203" t="s">
        <v>2341</v>
      </c>
      <c r="C208" s="1204">
        <v>0.15</v>
      </c>
      <c r="D208" s="1204">
        <v>0.15</v>
      </c>
      <c r="E208" s="1204">
        <v>0.15</v>
      </c>
      <c r="F208" s="1205">
        <v>0.15</v>
      </c>
    </row>
    <row r="209" spans="1:6">
      <c r="A209" s="1199" t="s">
        <v>285</v>
      </c>
      <c r="B209" s="1203" t="s">
        <v>2353</v>
      </c>
      <c r="C209" s="1204">
        <v>0.13700000000000001</v>
      </c>
      <c r="D209" s="1204">
        <v>0.13700000000000001</v>
      </c>
      <c r="E209" s="1204">
        <v>0.14000000000000001</v>
      </c>
      <c r="F209" s="1205">
        <v>0.11700000000000001</v>
      </c>
    </row>
    <row r="210" spans="1:6">
      <c r="A210" s="1199" t="s">
        <v>285</v>
      </c>
      <c r="B210" s="1203" t="s">
        <v>2365</v>
      </c>
      <c r="C210" s="1204">
        <v>0.15</v>
      </c>
      <c r="D210" s="1204">
        <v>0.15</v>
      </c>
      <c r="E210" s="1204">
        <v>0.15</v>
      </c>
      <c r="F210" s="1205">
        <v>0.13800000000000001</v>
      </c>
    </row>
    <row r="211" spans="1:6">
      <c r="A211" s="1199" t="s">
        <v>285</v>
      </c>
      <c r="B211" s="1203" t="s">
        <v>2376</v>
      </c>
      <c r="C211" s="1204">
        <v>0.13700000000000001</v>
      </c>
      <c r="D211" s="1204">
        <v>0.13500000000000001</v>
      </c>
      <c r="E211" s="1204">
        <v>0.13600000000000001</v>
      </c>
      <c r="F211" s="1205">
        <v>0.1</v>
      </c>
    </row>
    <row r="212" spans="1:6">
      <c r="A212" s="1199" t="s">
        <v>285</v>
      </c>
      <c r="B212" s="1203" t="s">
        <v>2387</v>
      </c>
      <c r="C212" s="1204">
        <v>0.15</v>
      </c>
      <c r="D212" s="1204">
        <v>0.15</v>
      </c>
      <c r="E212" s="1204">
        <v>0.14799999999999999</v>
      </c>
      <c r="F212" s="1205">
        <v>0.13600000000000001</v>
      </c>
    </row>
    <row r="213" spans="1:6">
      <c r="A213" s="1199" t="s">
        <v>285</v>
      </c>
      <c r="B213" s="1203" t="s">
        <v>2398</v>
      </c>
      <c r="C213" s="1204">
        <v>0.15</v>
      </c>
      <c r="D213" s="1204">
        <v>0.15</v>
      </c>
      <c r="E213" s="1204">
        <v>0.15</v>
      </c>
      <c r="F213" s="1205">
        <v>0.13800000000000001</v>
      </c>
    </row>
    <row r="214" spans="1:6">
      <c r="A214" s="1199" t="s">
        <v>285</v>
      </c>
      <c r="B214" s="1203" t="s">
        <v>2408</v>
      </c>
      <c r="C214" s="1204">
        <v>9.0999999999999998E-2</v>
      </c>
      <c r="D214" s="1204">
        <v>0.09</v>
      </c>
      <c r="E214" s="1204">
        <v>9.1999999999999998E-2</v>
      </c>
      <c r="F214" s="1212"/>
    </row>
    <row r="215" spans="1:6">
      <c r="A215" s="1199" t="s">
        <v>285</v>
      </c>
      <c r="B215" s="1203" t="s">
        <v>2418</v>
      </c>
      <c r="C215" s="1204">
        <v>0.15</v>
      </c>
      <c r="D215" s="1204">
        <v>0.15</v>
      </c>
      <c r="E215" s="1204">
        <v>0.15</v>
      </c>
      <c r="F215" s="1205">
        <v>0.15</v>
      </c>
    </row>
    <row r="216" spans="1:6">
      <c r="A216" s="1199" t="s">
        <v>285</v>
      </c>
      <c r="B216" s="1203" t="s">
        <v>2428</v>
      </c>
      <c r="C216" s="1204">
        <v>0.14699999999999999</v>
      </c>
      <c r="D216" s="1204">
        <v>0.14699999999999999</v>
      </c>
      <c r="E216" s="1204">
        <v>0.15</v>
      </c>
      <c r="F216" s="1205">
        <v>0.14000000000000001</v>
      </c>
    </row>
    <row r="217" spans="1:6">
      <c r="A217" s="1199" t="s">
        <v>285</v>
      </c>
      <c r="B217" s="1203" t="s">
        <v>2438</v>
      </c>
      <c r="C217" s="1204">
        <v>0.15</v>
      </c>
      <c r="D217" s="1204">
        <v>0.15</v>
      </c>
      <c r="E217" s="1204">
        <v>0.15</v>
      </c>
      <c r="F217" s="1205">
        <v>0.15</v>
      </c>
    </row>
    <row r="218" spans="1:6">
      <c r="A218" s="1199" t="s">
        <v>285</v>
      </c>
      <c r="B218" s="1203" t="s">
        <v>2448</v>
      </c>
      <c r="C218" s="1204">
        <v>0.15</v>
      </c>
      <c r="D218" s="1204">
        <v>0.15</v>
      </c>
      <c r="E218" s="1204">
        <v>0.15</v>
      </c>
      <c r="F218" s="1205">
        <v>0.15</v>
      </c>
    </row>
    <row r="219" spans="1:6">
      <c r="A219" s="1199" t="s">
        <v>285</v>
      </c>
      <c r="B219" s="1203" t="s">
        <v>2458</v>
      </c>
      <c r="C219" s="1204">
        <v>0.15</v>
      </c>
      <c r="D219" s="1204">
        <v>0.15</v>
      </c>
      <c r="E219" s="1204">
        <v>0.15</v>
      </c>
      <c r="F219" s="1205">
        <v>0.14799999999999999</v>
      </c>
    </row>
    <row r="220" spans="1:6">
      <c r="A220" s="1199" t="s">
        <v>285</v>
      </c>
      <c r="B220" s="1203" t="s">
        <v>2468</v>
      </c>
      <c r="C220" s="1204">
        <v>0.15</v>
      </c>
      <c r="D220" s="1204">
        <v>0.15</v>
      </c>
      <c r="E220" s="1204">
        <v>0.15</v>
      </c>
      <c r="F220" s="1205">
        <v>0.15</v>
      </c>
    </row>
    <row r="221" spans="1:6">
      <c r="A221" s="1199" t="s">
        <v>285</v>
      </c>
      <c r="B221" s="1203" t="s">
        <v>2478</v>
      </c>
      <c r="C221" s="1204"/>
      <c r="D221" s="1213"/>
      <c r="E221" s="1213"/>
      <c r="F221" s="1205">
        <v>0.14799999999999999</v>
      </c>
    </row>
    <row r="222" spans="1:6">
      <c r="A222" s="1199" t="s">
        <v>285</v>
      </c>
      <c r="B222" s="1203" t="s">
        <v>2488</v>
      </c>
      <c r="C222" s="1204"/>
      <c r="D222" s="1213"/>
      <c r="E222" s="1213"/>
      <c r="F222" s="1205">
        <v>0.1</v>
      </c>
    </row>
    <row r="223" spans="1:6">
      <c r="A223" s="1199" t="s">
        <v>285</v>
      </c>
      <c r="B223" s="1203" t="s">
        <v>2498</v>
      </c>
      <c r="C223" s="1204"/>
      <c r="D223" s="1213"/>
      <c r="E223" s="1213"/>
      <c r="F223" s="1205">
        <v>0.15</v>
      </c>
    </row>
    <row r="224" spans="1:6">
      <c r="A224" s="1199" t="s">
        <v>285</v>
      </c>
      <c r="B224" s="1203" t="s">
        <v>2508</v>
      </c>
      <c r="C224" s="1204"/>
      <c r="D224" s="1213"/>
      <c r="E224" s="1213"/>
      <c r="F224" s="1205">
        <v>0.15</v>
      </c>
    </row>
    <row r="225" spans="1:6">
      <c r="A225" s="1199" t="s">
        <v>285</v>
      </c>
      <c r="B225" s="1203" t="s">
        <v>2517</v>
      </c>
      <c r="C225" s="1204">
        <v>0.15</v>
      </c>
      <c r="D225" s="1204">
        <v>0.15</v>
      </c>
      <c r="E225" s="1204">
        <v>0.15</v>
      </c>
      <c r="F225" s="1205">
        <v>0.15</v>
      </c>
    </row>
    <row r="226" spans="1:6">
      <c r="A226" s="1199" t="s">
        <v>285</v>
      </c>
      <c r="B226" s="1203" t="s">
        <v>2525</v>
      </c>
      <c r="C226" s="1204">
        <v>0.15</v>
      </c>
      <c r="D226" s="1204">
        <v>0.15</v>
      </c>
      <c r="E226" s="1204">
        <v>0.15</v>
      </c>
      <c r="F226" s="1205">
        <v>0.14799999999999999</v>
      </c>
    </row>
    <row r="227" spans="1:6">
      <c r="A227" s="1199" t="s">
        <v>285</v>
      </c>
      <c r="B227" s="1203" t="s">
        <v>2533</v>
      </c>
      <c r="C227" s="1204">
        <v>0.15</v>
      </c>
      <c r="D227" s="1204">
        <v>0.15</v>
      </c>
      <c r="E227" s="1204">
        <v>0.15</v>
      </c>
      <c r="F227" s="1205">
        <v>0.15</v>
      </c>
    </row>
    <row r="228" spans="1:6">
      <c r="A228" s="1199" t="s">
        <v>285</v>
      </c>
      <c r="B228" s="1203" t="s">
        <v>2540</v>
      </c>
      <c r="C228" s="1204">
        <v>0.15</v>
      </c>
      <c r="D228" s="1204">
        <v>0.15</v>
      </c>
      <c r="E228" s="1204">
        <v>0.15</v>
      </c>
      <c r="F228" s="1205">
        <v>0.15</v>
      </c>
    </row>
    <row r="229" spans="1:6">
      <c r="A229" s="1199" t="s">
        <v>285</v>
      </c>
      <c r="B229" s="1203" t="s">
        <v>2547</v>
      </c>
      <c r="C229" s="1204">
        <v>0.15</v>
      </c>
      <c r="D229" s="1204">
        <v>0.15</v>
      </c>
      <c r="E229" s="1204">
        <v>0.15</v>
      </c>
      <c r="F229" s="1212"/>
    </row>
    <row r="230" spans="1:6">
      <c r="A230" s="1199" t="s">
        <v>285</v>
      </c>
      <c r="B230" s="1203" t="s">
        <v>2554</v>
      </c>
      <c r="C230" s="1204">
        <v>0.14499999999999999</v>
      </c>
      <c r="D230" s="1204">
        <v>0.14499999999999999</v>
      </c>
      <c r="E230" s="1204">
        <v>0.14399999999999999</v>
      </c>
      <c r="F230" s="1212"/>
    </row>
    <row r="231" spans="1:6">
      <c r="A231" s="1199" t="s">
        <v>285</v>
      </c>
      <c r="B231" s="1203" t="s">
        <v>2561</v>
      </c>
      <c r="C231" s="1204">
        <v>0.128</v>
      </c>
      <c r="D231" s="1204">
        <v>0.125</v>
      </c>
      <c r="E231" s="1204">
        <v>0.13200000000000001</v>
      </c>
      <c r="F231" s="1212"/>
    </row>
    <row r="232" spans="1:6">
      <c r="A232" s="1199" t="s">
        <v>285</v>
      </c>
      <c r="B232" s="1203" t="s">
        <v>2568</v>
      </c>
      <c r="C232" s="1204">
        <v>0.14499999999999999</v>
      </c>
      <c r="D232" s="1204">
        <v>0.14399999999999999</v>
      </c>
      <c r="E232" s="1204">
        <v>0.14599999999999999</v>
      </c>
      <c r="F232" s="1205">
        <v>0.13800000000000001</v>
      </c>
    </row>
    <row r="233" spans="1:6">
      <c r="A233" s="1199" t="s">
        <v>285</v>
      </c>
      <c r="B233" s="1203" t="s">
        <v>2573</v>
      </c>
      <c r="C233" s="1204">
        <v>0.14499999999999999</v>
      </c>
      <c r="D233" s="1204">
        <v>0.14299999999999999</v>
      </c>
      <c r="E233" s="1204">
        <v>0.14199999999999999</v>
      </c>
      <c r="F233" s="1212"/>
    </row>
    <row r="234" spans="1:6">
      <c r="A234" s="1199" t="s">
        <v>285</v>
      </c>
      <c r="B234" s="1203" t="s">
        <v>2651</v>
      </c>
      <c r="C234" s="1204">
        <v>0.14000000000000001</v>
      </c>
      <c r="D234" s="1204">
        <v>0.14000000000000001</v>
      </c>
      <c r="E234" s="1204">
        <v>0.14399999999999999</v>
      </c>
      <c r="F234" s="1212"/>
    </row>
    <row r="235" spans="1:6">
      <c r="A235" s="1199" t="s">
        <v>285</v>
      </c>
      <c r="B235" s="1203" t="s">
        <v>2583</v>
      </c>
      <c r="C235" s="1204">
        <v>0.14099999999999999</v>
      </c>
      <c r="D235" s="1204">
        <v>0.14199999999999999</v>
      </c>
      <c r="E235" s="1204">
        <v>0.14499999999999999</v>
      </c>
      <c r="F235" s="1205">
        <v>0.15</v>
      </c>
    </row>
    <row r="236" spans="1:6">
      <c r="A236" s="1199" t="s">
        <v>285</v>
      </c>
      <c r="B236" s="1203" t="s">
        <v>2588</v>
      </c>
      <c r="C236" s="1213"/>
      <c r="D236" s="1213"/>
      <c r="E236" s="1213"/>
      <c r="F236" s="1205">
        <v>0.14299999999999999</v>
      </c>
    </row>
    <row r="237" spans="1:6" ht="24">
      <c r="A237" s="1199" t="s">
        <v>285</v>
      </c>
      <c r="B237" s="1203" t="s">
        <v>2593</v>
      </c>
      <c r="C237" s="1213"/>
      <c r="D237" s="1213"/>
      <c r="E237" s="1213"/>
      <c r="F237" s="1205">
        <v>0.05</v>
      </c>
    </row>
    <row r="238" spans="1:6" ht="24">
      <c r="A238" s="1199" t="s">
        <v>285</v>
      </c>
      <c r="B238" s="1203" t="s">
        <v>2598</v>
      </c>
      <c r="C238" s="1213"/>
      <c r="D238" s="1213"/>
      <c r="E238" s="1213"/>
      <c r="F238" s="1205">
        <v>0.05</v>
      </c>
    </row>
    <row r="239" spans="1:6" ht="24">
      <c r="A239" s="1199" t="s">
        <v>285</v>
      </c>
      <c r="B239" s="1203" t="s">
        <v>2603</v>
      </c>
      <c r="C239" s="1213"/>
      <c r="D239" s="1213"/>
      <c r="E239" s="1213"/>
      <c r="F239" s="1205">
        <v>0.05</v>
      </c>
    </row>
    <row r="240" spans="1:6" ht="24">
      <c r="A240" s="1199" t="s">
        <v>285</v>
      </c>
      <c r="B240" s="1203" t="s">
        <v>2607</v>
      </c>
      <c r="C240" s="1213"/>
      <c r="D240" s="1213"/>
      <c r="E240" s="1213"/>
      <c r="F240" s="1205">
        <v>0.05</v>
      </c>
    </row>
    <row r="241" spans="1:6" ht="24">
      <c r="A241" s="1199" t="s">
        <v>285</v>
      </c>
      <c r="B241" s="1203" t="s">
        <v>2611</v>
      </c>
      <c r="C241" s="1213"/>
      <c r="D241" s="1213"/>
      <c r="E241" s="1213"/>
      <c r="F241" s="1205">
        <v>0.05</v>
      </c>
    </row>
    <row r="242" spans="1:6" ht="24">
      <c r="A242" s="1199" t="s">
        <v>285</v>
      </c>
      <c r="B242" s="1203" t="s">
        <v>2615</v>
      </c>
      <c r="C242" s="1213"/>
      <c r="D242" s="1213"/>
      <c r="E242" s="1213"/>
      <c r="F242" s="1205">
        <v>0.05</v>
      </c>
    </row>
    <row r="243" spans="1:6" ht="24">
      <c r="A243" s="1199" t="s">
        <v>285</v>
      </c>
      <c r="B243" s="1203" t="s">
        <v>2619</v>
      </c>
      <c r="C243" s="1213"/>
      <c r="D243" s="1213"/>
      <c r="E243" s="1213"/>
      <c r="F243" s="1205">
        <v>0.05</v>
      </c>
    </row>
    <row r="244" spans="1:6" ht="24">
      <c r="A244" s="1207" t="s">
        <v>285</v>
      </c>
      <c r="B244" s="1214" t="s">
        <v>2623</v>
      </c>
      <c r="C244" s="1210"/>
      <c r="D244" s="1210"/>
      <c r="E244" s="1210"/>
      <c r="F244" s="1215">
        <v>0.05</v>
      </c>
    </row>
    <row r="245" spans="1:6">
      <c r="A245" s="1199" t="s">
        <v>288</v>
      </c>
      <c r="B245" s="1200" t="s">
        <v>2316</v>
      </c>
      <c r="C245" s="1201">
        <v>0.15</v>
      </c>
      <c r="D245" s="1201">
        <v>0.15</v>
      </c>
      <c r="E245" s="1201">
        <v>0.15</v>
      </c>
      <c r="F245" s="1202">
        <v>0.14299999999999999</v>
      </c>
    </row>
    <row r="246" spans="1:6">
      <c r="A246" s="1199" t="s">
        <v>288</v>
      </c>
      <c r="B246" s="1203" t="s">
        <v>2328</v>
      </c>
      <c r="C246" s="1204">
        <v>0.15</v>
      </c>
      <c r="D246" s="1204">
        <v>0.15</v>
      </c>
      <c r="E246" s="1204">
        <v>0.15</v>
      </c>
      <c r="F246" s="1205">
        <v>0.114</v>
      </c>
    </row>
    <row r="247" spans="1:6">
      <c r="A247" s="1199" t="s">
        <v>288</v>
      </c>
      <c r="B247" s="1203" t="s">
        <v>2342</v>
      </c>
      <c r="C247" s="1204">
        <v>0.15</v>
      </c>
      <c r="D247" s="1204">
        <v>0.15</v>
      </c>
      <c r="E247" s="1204">
        <v>0.15</v>
      </c>
      <c r="F247" s="1205">
        <v>0.15</v>
      </c>
    </row>
    <row r="248" spans="1:6">
      <c r="A248" s="1199" t="s">
        <v>288</v>
      </c>
      <c r="B248" s="1203" t="s">
        <v>2354</v>
      </c>
      <c r="C248" s="1204">
        <v>0.15</v>
      </c>
      <c r="D248" s="1204">
        <v>0.15</v>
      </c>
      <c r="E248" s="1204">
        <v>0.15</v>
      </c>
      <c r="F248" s="1205">
        <v>0.14000000000000001</v>
      </c>
    </row>
    <row r="249" spans="1:6">
      <c r="A249" s="1199" t="s">
        <v>288</v>
      </c>
      <c r="B249" s="1203" t="s">
        <v>2366</v>
      </c>
      <c r="C249" s="1204">
        <v>0.15</v>
      </c>
      <c r="D249" s="1204">
        <v>0.14899999999999999</v>
      </c>
      <c r="E249" s="1204">
        <v>0.15</v>
      </c>
      <c r="F249" s="1205">
        <v>0.1</v>
      </c>
    </row>
    <row r="250" spans="1:6">
      <c r="A250" s="1199" t="s">
        <v>288</v>
      </c>
      <c r="B250" s="1203" t="s">
        <v>2377</v>
      </c>
      <c r="C250" s="1204">
        <v>0.15</v>
      </c>
      <c r="D250" s="1204">
        <v>0.15</v>
      </c>
      <c r="E250" s="1204">
        <v>0.15</v>
      </c>
      <c r="F250" s="1205">
        <v>0.14399999999999999</v>
      </c>
    </row>
    <row r="251" spans="1:6">
      <c r="A251" s="1199" t="s">
        <v>288</v>
      </c>
      <c r="B251" s="1203" t="s">
        <v>2388</v>
      </c>
      <c r="C251" s="1204">
        <v>0.15</v>
      </c>
      <c r="D251" s="1204">
        <v>0.15</v>
      </c>
      <c r="E251" s="1204">
        <v>0.15</v>
      </c>
      <c r="F251" s="1205">
        <v>0.14299999999999999</v>
      </c>
    </row>
    <row r="252" spans="1:6">
      <c r="A252" s="1199" t="s">
        <v>288</v>
      </c>
      <c r="B252" s="1203" t="s">
        <v>2399</v>
      </c>
      <c r="C252" s="1204">
        <v>0.15</v>
      </c>
      <c r="D252" s="1204">
        <v>0.15</v>
      </c>
      <c r="E252" s="1204">
        <v>0.15</v>
      </c>
      <c r="F252" s="1205">
        <v>0.1</v>
      </c>
    </row>
    <row r="253" spans="1:6">
      <c r="A253" s="1199" t="s">
        <v>288</v>
      </c>
      <c r="B253" s="1203" t="s">
        <v>2409</v>
      </c>
      <c r="C253" s="1204">
        <v>0.15</v>
      </c>
      <c r="D253" s="1204">
        <v>0.15</v>
      </c>
      <c r="E253" s="1204">
        <v>0.15</v>
      </c>
      <c r="F253" s="1205">
        <v>0.1</v>
      </c>
    </row>
    <row r="254" spans="1:6">
      <c r="A254" s="1199" t="s">
        <v>288</v>
      </c>
      <c r="B254" s="1203" t="s">
        <v>2419</v>
      </c>
      <c r="C254" s="1213"/>
      <c r="D254" s="1213"/>
      <c r="E254" s="1213"/>
      <c r="F254" s="1205">
        <v>0.15</v>
      </c>
    </row>
    <row r="255" spans="1:6">
      <c r="A255" s="1199" t="s">
        <v>288</v>
      </c>
      <c r="B255" s="1203" t="s">
        <v>2429</v>
      </c>
      <c r="C255" s="1213"/>
      <c r="D255" s="1213"/>
      <c r="E255" s="1213"/>
      <c r="F255" s="1205">
        <v>0.14299999999999999</v>
      </c>
    </row>
    <row r="256" spans="1:6">
      <c r="A256" s="1199" t="s">
        <v>288</v>
      </c>
      <c r="B256" s="1203" t="s">
        <v>2439</v>
      </c>
      <c r="C256" s="1204">
        <v>0.14599999999999999</v>
      </c>
      <c r="D256" s="1204">
        <v>0.14699999999999999</v>
      </c>
      <c r="E256" s="1204">
        <v>0.15</v>
      </c>
      <c r="F256" s="1205">
        <v>0.13200000000000001</v>
      </c>
    </row>
    <row r="257" spans="1:6">
      <c r="A257" s="1199" t="s">
        <v>288</v>
      </c>
      <c r="B257" s="1203" t="s">
        <v>2449</v>
      </c>
      <c r="C257" s="1204">
        <v>0.15</v>
      </c>
      <c r="D257" s="1204">
        <v>0.15</v>
      </c>
      <c r="E257" s="1204">
        <v>0.15</v>
      </c>
      <c r="F257" s="1205">
        <v>0.13900000000000001</v>
      </c>
    </row>
    <row r="258" spans="1:6">
      <c r="A258" s="1199" t="s">
        <v>288</v>
      </c>
      <c r="B258" s="1203" t="s">
        <v>2459</v>
      </c>
      <c r="C258" s="1204">
        <v>0.15</v>
      </c>
      <c r="D258" s="1204">
        <v>0.15</v>
      </c>
      <c r="E258" s="1204">
        <v>0.15</v>
      </c>
      <c r="F258" s="1205">
        <v>0.13</v>
      </c>
    </row>
    <row r="259" spans="1:6">
      <c r="A259" s="1199" t="s">
        <v>288</v>
      </c>
      <c r="B259" s="1203" t="s">
        <v>2469</v>
      </c>
      <c r="C259" s="1204">
        <v>0.14799999999999999</v>
      </c>
      <c r="D259" s="1204">
        <v>0.14899999999999999</v>
      </c>
      <c r="E259" s="1204">
        <v>0.15</v>
      </c>
      <c r="F259" s="1205">
        <v>0.13700000000000001</v>
      </c>
    </row>
    <row r="260" spans="1:6">
      <c r="A260" s="1199" t="s">
        <v>288</v>
      </c>
      <c r="B260" s="1203" t="s">
        <v>2479</v>
      </c>
      <c r="C260" s="1204">
        <v>0.15</v>
      </c>
      <c r="D260" s="1204">
        <v>0.15</v>
      </c>
      <c r="E260" s="1204">
        <v>0.15</v>
      </c>
      <c r="F260" s="1205">
        <v>0.14199999999999999</v>
      </c>
    </row>
    <row r="261" spans="1:6">
      <c r="A261" s="1199" t="s">
        <v>288</v>
      </c>
      <c r="B261" s="1203" t="s">
        <v>2489</v>
      </c>
      <c r="C261" s="1204">
        <v>0.15</v>
      </c>
      <c r="D261" s="1204">
        <v>0.15</v>
      </c>
      <c r="E261" s="1204">
        <v>0.14899999999999999</v>
      </c>
      <c r="F261" s="1205">
        <v>0.14799999999999999</v>
      </c>
    </row>
    <row r="262" spans="1:6">
      <c r="A262" s="1199" t="s">
        <v>288</v>
      </c>
      <c r="B262" s="1203" t="s">
        <v>2499</v>
      </c>
      <c r="C262" s="1204">
        <v>0.15</v>
      </c>
      <c r="D262" s="1204">
        <v>0.15</v>
      </c>
      <c r="E262" s="1204">
        <v>0.15</v>
      </c>
      <c r="F262" s="1212"/>
    </row>
    <row r="263" spans="1:6">
      <c r="A263" s="1199" t="s">
        <v>288</v>
      </c>
      <c r="B263" s="1203" t="s">
        <v>2509</v>
      </c>
      <c r="C263" s="1204">
        <v>0.14899999999999999</v>
      </c>
      <c r="D263" s="1204">
        <v>0.14899999999999999</v>
      </c>
      <c r="E263" s="1204">
        <v>0.15</v>
      </c>
      <c r="F263" s="1205">
        <v>0.13</v>
      </c>
    </row>
    <row r="264" spans="1:6">
      <c r="A264" s="1199" t="s">
        <v>288</v>
      </c>
      <c r="B264" s="1203" t="s">
        <v>2518</v>
      </c>
      <c r="C264" s="1204">
        <v>0.14799999999999999</v>
      </c>
      <c r="D264" s="1204">
        <v>0.14699999999999999</v>
      </c>
      <c r="E264" s="1204">
        <v>0.15</v>
      </c>
      <c r="F264" s="1205">
        <v>7.8E-2</v>
      </c>
    </row>
    <row r="265" spans="1:6">
      <c r="A265" s="1199" t="s">
        <v>288</v>
      </c>
      <c r="B265" s="1203" t="s">
        <v>2526</v>
      </c>
      <c r="C265" s="1204">
        <v>0.15</v>
      </c>
      <c r="D265" s="1204">
        <v>0.15</v>
      </c>
      <c r="E265" s="1204">
        <v>0.15</v>
      </c>
      <c r="F265" s="1205">
        <v>7.3999999999999996E-2</v>
      </c>
    </row>
    <row r="266" spans="1:6">
      <c r="A266" s="1199" t="s">
        <v>288</v>
      </c>
      <c r="B266" s="1203" t="s">
        <v>2534</v>
      </c>
      <c r="C266" s="1204">
        <v>0.14699999999999999</v>
      </c>
      <c r="D266" s="1204">
        <v>0.14699999999999999</v>
      </c>
      <c r="E266" s="1204">
        <v>0.15</v>
      </c>
      <c r="F266" s="1205">
        <v>0.14299999999999999</v>
      </c>
    </row>
    <row r="267" spans="1:6">
      <c r="A267" s="1199" t="s">
        <v>288</v>
      </c>
      <c r="B267" s="1203" t="s">
        <v>2541</v>
      </c>
      <c r="C267" s="1204">
        <v>0.14199999999999999</v>
      </c>
      <c r="D267" s="1204">
        <v>0.14299999999999999</v>
      </c>
      <c r="E267" s="1204">
        <v>0.15</v>
      </c>
      <c r="F267" s="1212"/>
    </row>
    <row r="268" spans="1:6">
      <c r="A268" s="1199" t="s">
        <v>288</v>
      </c>
      <c r="B268" s="1203" t="s">
        <v>2548</v>
      </c>
      <c r="C268" s="1204">
        <v>0.15</v>
      </c>
      <c r="D268" s="1204">
        <v>0.15</v>
      </c>
      <c r="E268" s="1204">
        <v>0.15</v>
      </c>
      <c r="F268" s="1205">
        <v>0.13</v>
      </c>
    </row>
    <row r="269" spans="1:6">
      <c r="A269" s="1199" t="s">
        <v>288</v>
      </c>
      <c r="B269" s="1203" t="s">
        <v>2555</v>
      </c>
      <c r="C269" s="1204">
        <v>0.15</v>
      </c>
      <c r="D269" s="1204">
        <v>0.15</v>
      </c>
      <c r="E269" s="1204">
        <v>0.15</v>
      </c>
      <c r="F269" s="1205">
        <v>0.14299999999999999</v>
      </c>
    </row>
    <row r="270" spans="1:6">
      <c r="A270" s="1199" t="s">
        <v>288</v>
      </c>
      <c r="B270" s="1203" t="s">
        <v>2562</v>
      </c>
      <c r="C270" s="1204">
        <v>0.14499999999999999</v>
      </c>
      <c r="D270" s="1204">
        <v>0.14499999999999999</v>
      </c>
      <c r="E270" s="1204">
        <v>0.15</v>
      </c>
      <c r="F270" s="1205">
        <v>0.14699999999999999</v>
      </c>
    </row>
    <row r="271" spans="1:6">
      <c r="A271" s="1199" t="s">
        <v>288</v>
      </c>
      <c r="B271" s="1203" t="s">
        <v>2569</v>
      </c>
      <c r="C271" s="1204">
        <v>0.15</v>
      </c>
      <c r="D271" s="1204">
        <v>0.15</v>
      </c>
      <c r="E271" s="1204">
        <v>0.15</v>
      </c>
      <c r="F271" s="1205">
        <v>0.13800000000000001</v>
      </c>
    </row>
    <row r="272" spans="1:6">
      <c r="A272" s="1199" t="s">
        <v>288</v>
      </c>
      <c r="B272" s="1203" t="s">
        <v>2574</v>
      </c>
      <c r="C272" s="1213"/>
      <c r="D272" s="1213"/>
      <c r="E272" s="1213"/>
      <c r="F272" s="1205">
        <v>0.14000000000000001</v>
      </c>
    </row>
    <row r="273" spans="1:6">
      <c r="A273" s="1199" t="s">
        <v>288</v>
      </c>
      <c r="B273" s="1203" t="s">
        <v>2579</v>
      </c>
      <c r="C273" s="1204">
        <v>0.14199999999999999</v>
      </c>
      <c r="D273" s="1204">
        <v>0.14299999999999999</v>
      </c>
      <c r="E273" s="1204">
        <v>0.15</v>
      </c>
      <c r="F273" s="1205">
        <v>0.1</v>
      </c>
    </row>
    <row r="274" spans="1:6">
      <c r="A274" s="1199" t="s">
        <v>288</v>
      </c>
      <c r="B274" s="1203" t="s">
        <v>2584</v>
      </c>
      <c r="C274" s="1204">
        <v>0.14799999999999999</v>
      </c>
      <c r="D274" s="1204">
        <v>0.14799999999999999</v>
      </c>
      <c r="E274" s="1204">
        <v>0.15</v>
      </c>
      <c r="F274" s="1205">
        <v>6.7000000000000004E-2</v>
      </c>
    </row>
    <row r="275" spans="1:6">
      <c r="A275" s="1199" t="s">
        <v>288</v>
      </c>
      <c r="B275" s="1203" t="s">
        <v>2589</v>
      </c>
      <c r="C275" s="1204">
        <v>0.15</v>
      </c>
      <c r="D275" s="1204">
        <v>0.15</v>
      </c>
      <c r="E275" s="1204">
        <v>0.15</v>
      </c>
      <c r="F275" s="1205">
        <v>0.15</v>
      </c>
    </row>
    <row r="276" spans="1:6">
      <c r="A276" s="1199" t="s">
        <v>288</v>
      </c>
      <c r="B276" s="1203" t="s">
        <v>2594</v>
      </c>
      <c r="C276" s="1204">
        <v>0.14499999999999999</v>
      </c>
      <c r="D276" s="1204">
        <v>0.14299999999999999</v>
      </c>
      <c r="E276" s="1204">
        <v>0.15</v>
      </c>
      <c r="F276" s="1205">
        <v>5.8999999999999997E-2</v>
      </c>
    </row>
    <row r="277" spans="1:6">
      <c r="A277" s="1199" t="s">
        <v>288</v>
      </c>
      <c r="B277" s="1203" t="s">
        <v>2599</v>
      </c>
      <c r="C277" s="1204">
        <v>0.15</v>
      </c>
      <c r="D277" s="1204">
        <v>0.15</v>
      </c>
      <c r="E277" s="1204">
        <v>0.15</v>
      </c>
      <c r="F277" s="1205">
        <v>0.121</v>
      </c>
    </row>
    <row r="278" spans="1:6">
      <c r="A278" s="1199" t="s">
        <v>288</v>
      </c>
      <c r="B278" s="1203" t="s">
        <v>2604</v>
      </c>
      <c r="C278" s="1204">
        <v>0.15</v>
      </c>
      <c r="D278" s="1204">
        <v>0.15</v>
      </c>
      <c r="E278" s="1204">
        <v>0.15</v>
      </c>
      <c r="F278" s="1205">
        <v>0.13800000000000001</v>
      </c>
    </row>
    <row r="279" spans="1:6" ht="24">
      <c r="A279" s="1199" t="s">
        <v>288</v>
      </c>
      <c r="B279" s="1203" t="s">
        <v>2608</v>
      </c>
      <c r="C279" s="1213"/>
      <c r="D279" s="1213"/>
      <c r="E279" s="1213"/>
      <c r="F279" s="1205">
        <v>0.05</v>
      </c>
    </row>
    <row r="280" spans="1:6" ht="24">
      <c r="A280" s="1199" t="s">
        <v>288</v>
      </c>
      <c r="B280" s="1203" t="s">
        <v>2612</v>
      </c>
      <c r="C280" s="1213"/>
      <c r="D280" s="1213"/>
      <c r="E280" s="1213"/>
      <c r="F280" s="1205">
        <v>0.05</v>
      </c>
    </row>
    <row r="281" spans="1:6" ht="24">
      <c r="A281" s="1199" t="s">
        <v>288</v>
      </c>
      <c r="B281" s="1203" t="s">
        <v>2616</v>
      </c>
      <c r="C281" s="1213"/>
      <c r="D281" s="1213"/>
      <c r="E281" s="1213"/>
      <c r="F281" s="1205">
        <v>0.05</v>
      </c>
    </row>
    <row r="282" spans="1:6" ht="24">
      <c r="A282" s="1199" t="s">
        <v>288</v>
      </c>
      <c r="B282" s="1203" t="s">
        <v>2620</v>
      </c>
      <c r="C282" s="1213"/>
      <c r="D282" s="1213"/>
      <c r="E282" s="1213"/>
      <c r="F282" s="1205">
        <v>0.05</v>
      </c>
    </row>
    <row r="283" spans="1:6" ht="24">
      <c r="A283" s="1199" t="s">
        <v>288</v>
      </c>
      <c r="B283" s="1203" t="s">
        <v>2624</v>
      </c>
      <c r="C283" s="1213"/>
      <c r="D283" s="1213"/>
      <c r="E283" s="1213"/>
      <c r="F283" s="1205">
        <v>0.05</v>
      </c>
    </row>
    <row r="284" spans="1:6" ht="24">
      <c r="A284" s="1199" t="s">
        <v>288</v>
      </c>
      <c r="B284" s="1203" t="s">
        <v>2627</v>
      </c>
      <c r="C284" s="1213"/>
      <c r="D284" s="1213"/>
      <c r="E284" s="1213"/>
      <c r="F284" s="1205">
        <v>0.05</v>
      </c>
    </row>
    <row r="285" spans="1:6" ht="24">
      <c r="A285" s="1199" t="s">
        <v>288</v>
      </c>
      <c r="B285" s="1203" t="s">
        <v>2630</v>
      </c>
      <c r="C285" s="1213"/>
      <c r="D285" s="1213"/>
      <c r="E285" s="1213"/>
      <c r="F285" s="1205">
        <v>0.05</v>
      </c>
    </row>
    <row r="286" spans="1:6" ht="24">
      <c r="A286" s="1199" t="s">
        <v>288</v>
      </c>
      <c r="B286" s="1203" t="s">
        <v>2633</v>
      </c>
      <c r="C286" s="1213"/>
      <c r="D286" s="1213"/>
      <c r="E286" s="1213"/>
      <c r="F286" s="1205">
        <v>0.05</v>
      </c>
    </row>
    <row r="287" spans="1:6" ht="24">
      <c r="A287" s="1199" t="s">
        <v>288</v>
      </c>
      <c r="B287" s="1203" t="s">
        <v>2636</v>
      </c>
      <c r="C287" s="1213"/>
      <c r="D287" s="1213"/>
      <c r="E287" s="1213"/>
      <c r="F287" s="1205">
        <v>0.05</v>
      </c>
    </row>
    <row r="288" spans="1:6" ht="24">
      <c r="A288" s="1199" t="s">
        <v>288</v>
      </c>
      <c r="B288" s="1203" t="s">
        <v>2639</v>
      </c>
      <c r="C288" s="1213"/>
      <c r="D288" s="1213"/>
      <c r="E288" s="1213"/>
      <c r="F288" s="1205">
        <v>0.05</v>
      </c>
    </row>
    <row r="289" spans="1:6" ht="24">
      <c r="A289" s="1207" t="s">
        <v>288</v>
      </c>
      <c r="B289" s="1214" t="s">
        <v>2642</v>
      </c>
      <c r="C289" s="1210"/>
      <c r="D289" s="1210"/>
      <c r="E289" s="1210"/>
      <c r="F289" s="1215">
        <v>0.05</v>
      </c>
    </row>
    <row r="290" spans="1:6">
      <c r="A290" s="1199" t="s">
        <v>291</v>
      </c>
      <c r="B290" s="1200" t="s">
        <v>2317</v>
      </c>
      <c r="C290" s="1201">
        <v>0.15</v>
      </c>
      <c r="D290" s="1201">
        <v>0.15</v>
      </c>
      <c r="E290" s="1201">
        <v>0.15</v>
      </c>
      <c r="F290" s="1223"/>
    </row>
    <row r="291" spans="1:6">
      <c r="A291" s="1199" t="s">
        <v>291</v>
      </c>
      <c r="B291" s="1203" t="s">
        <v>2329</v>
      </c>
      <c r="C291" s="1204">
        <v>0.15</v>
      </c>
      <c r="D291" s="1204">
        <v>0.15</v>
      </c>
      <c r="E291" s="1204">
        <v>0.15</v>
      </c>
      <c r="F291" s="1212"/>
    </row>
    <row r="292" spans="1:6">
      <c r="A292" s="1199" t="s">
        <v>291</v>
      </c>
      <c r="B292" s="1203" t="s">
        <v>2343</v>
      </c>
      <c r="C292" s="1204">
        <v>0.15</v>
      </c>
      <c r="D292" s="1204">
        <v>0.15</v>
      </c>
      <c r="E292" s="1204">
        <v>0.15</v>
      </c>
      <c r="F292" s="1205">
        <v>0.14699999999999999</v>
      </c>
    </row>
    <row r="293" spans="1:6">
      <c r="A293" s="1199" t="s">
        <v>291</v>
      </c>
      <c r="B293" s="1203" t="s">
        <v>2649</v>
      </c>
      <c r="C293" s="1213"/>
      <c r="D293" s="1213"/>
      <c r="E293" s="1213"/>
      <c r="F293" s="1205">
        <v>0.1</v>
      </c>
    </row>
    <row r="294" spans="1:6">
      <c r="A294" s="1199" t="s">
        <v>291</v>
      </c>
      <c r="B294" s="1203" t="s">
        <v>2355</v>
      </c>
      <c r="C294" s="1204">
        <v>0.15</v>
      </c>
      <c r="D294" s="1204">
        <v>0.15</v>
      </c>
      <c r="E294" s="1204">
        <v>0.15</v>
      </c>
      <c r="F294" s="1205">
        <v>0.15</v>
      </c>
    </row>
    <row r="295" spans="1:6">
      <c r="A295" s="1199" t="s">
        <v>291</v>
      </c>
      <c r="B295" s="1203" t="s">
        <v>2367</v>
      </c>
      <c r="C295" s="1204">
        <v>0.15</v>
      </c>
      <c r="D295" s="1204">
        <v>0.15</v>
      </c>
      <c r="E295" s="1204">
        <v>0.15</v>
      </c>
      <c r="F295" s="1205">
        <v>0.15</v>
      </c>
    </row>
    <row r="296" spans="1:6">
      <c r="A296" s="1199" t="s">
        <v>291</v>
      </c>
      <c r="B296" s="1203" t="s">
        <v>2378</v>
      </c>
      <c r="C296" s="1204">
        <v>0.15</v>
      </c>
      <c r="D296" s="1204">
        <v>0.15</v>
      </c>
      <c r="E296" s="1204">
        <v>0.15</v>
      </c>
      <c r="F296" s="1205">
        <v>0.15</v>
      </c>
    </row>
    <row r="297" spans="1:6">
      <c r="A297" s="1199" t="s">
        <v>291</v>
      </c>
      <c r="B297" s="1203" t="s">
        <v>2389</v>
      </c>
      <c r="C297" s="1204">
        <v>0.14799999999999999</v>
      </c>
      <c r="D297" s="1204">
        <v>0.14899999999999999</v>
      </c>
      <c r="E297" s="1204">
        <v>0.15</v>
      </c>
      <c r="F297" s="1205">
        <v>0.13700000000000001</v>
      </c>
    </row>
    <row r="298" spans="1:6">
      <c r="A298" s="1199" t="s">
        <v>291</v>
      </c>
      <c r="B298" s="1203" t="s">
        <v>2400</v>
      </c>
      <c r="C298" s="1204">
        <v>0.13400000000000001</v>
      </c>
      <c r="D298" s="1204">
        <v>0.13400000000000001</v>
      </c>
      <c r="E298" s="1204">
        <v>0.14499999999999999</v>
      </c>
      <c r="F298" s="1205">
        <v>0.14799999999999999</v>
      </c>
    </row>
    <row r="299" spans="1:6">
      <c r="A299" s="1199" t="s">
        <v>291</v>
      </c>
      <c r="B299" s="1203" t="s">
        <v>2410</v>
      </c>
      <c r="C299" s="1204">
        <v>0.15</v>
      </c>
      <c r="D299" s="1204">
        <v>0.15</v>
      </c>
      <c r="E299" s="1204">
        <v>0.15</v>
      </c>
      <c r="F299" s="1212"/>
    </row>
    <row r="300" spans="1:6">
      <c r="A300" s="1199" t="s">
        <v>291</v>
      </c>
      <c r="B300" s="1203" t="s">
        <v>2420</v>
      </c>
      <c r="C300" s="1204">
        <v>0.15</v>
      </c>
      <c r="D300" s="1204">
        <v>0.15</v>
      </c>
      <c r="E300" s="1204">
        <v>0.15</v>
      </c>
      <c r="F300" s="1205">
        <v>0.15</v>
      </c>
    </row>
    <row r="301" spans="1:6">
      <c r="A301" s="1199" t="s">
        <v>291</v>
      </c>
      <c r="B301" s="1203" t="s">
        <v>2430</v>
      </c>
      <c r="C301" s="1204">
        <v>0.15</v>
      </c>
      <c r="D301" s="1204">
        <v>0.15</v>
      </c>
      <c r="E301" s="1204">
        <v>0.15</v>
      </c>
      <c r="F301" s="1212"/>
    </row>
    <row r="302" spans="1:6">
      <c r="A302" s="1199" t="s">
        <v>291</v>
      </c>
      <c r="B302" s="1203" t="s">
        <v>2440</v>
      </c>
      <c r="C302" s="1204">
        <v>0.15</v>
      </c>
      <c r="D302" s="1204">
        <v>0.15</v>
      </c>
      <c r="E302" s="1204">
        <v>0.15</v>
      </c>
      <c r="F302" s="1205">
        <v>0.15</v>
      </c>
    </row>
    <row r="303" spans="1:6">
      <c r="A303" s="1199" t="s">
        <v>291</v>
      </c>
      <c r="B303" s="1203" t="s">
        <v>2450</v>
      </c>
      <c r="C303" s="1204">
        <v>0.15</v>
      </c>
      <c r="D303" s="1204">
        <v>0.15</v>
      </c>
      <c r="E303" s="1204">
        <v>0.15</v>
      </c>
      <c r="F303" s="1205">
        <v>0.15</v>
      </c>
    </row>
    <row r="304" spans="1:6">
      <c r="A304" s="1199" t="s">
        <v>291</v>
      </c>
      <c r="B304" s="1203" t="s">
        <v>2460</v>
      </c>
      <c r="C304" s="1204">
        <v>0.15</v>
      </c>
      <c r="D304" s="1204">
        <v>0.15</v>
      </c>
      <c r="E304" s="1204">
        <v>0.15</v>
      </c>
      <c r="F304" s="1212"/>
    </row>
    <row r="305" spans="1:6">
      <c r="A305" s="1199" t="s">
        <v>291</v>
      </c>
      <c r="B305" s="1203" t="s">
        <v>2470</v>
      </c>
      <c r="C305" s="1204">
        <v>0.15</v>
      </c>
      <c r="D305" s="1204">
        <v>0.15</v>
      </c>
      <c r="E305" s="1204">
        <v>0.15</v>
      </c>
      <c r="F305" s="1205">
        <v>0.14000000000000001</v>
      </c>
    </row>
    <row r="306" spans="1:6">
      <c r="A306" s="1199" t="s">
        <v>291</v>
      </c>
      <c r="B306" s="1203" t="s">
        <v>2480</v>
      </c>
      <c r="C306" s="1204">
        <v>0.15</v>
      </c>
      <c r="D306" s="1204">
        <v>0.15</v>
      </c>
      <c r="E306" s="1204">
        <v>0.15</v>
      </c>
      <c r="F306" s="1212"/>
    </row>
    <row r="307" spans="1:6">
      <c r="A307" s="1199" t="s">
        <v>291</v>
      </c>
      <c r="B307" s="1203" t="s">
        <v>2490</v>
      </c>
      <c r="C307" s="1204">
        <v>0.15</v>
      </c>
      <c r="D307" s="1204">
        <v>0.15</v>
      </c>
      <c r="E307" s="1204">
        <v>0.15</v>
      </c>
      <c r="F307" s="1205">
        <v>0.14299999999999999</v>
      </c>
    </row>
    <row r="308" spans="1:6">
      <c r="A308" s="1199" t="s">
        <v>291</v>
      </c>
      <c r="B308" s="1203" t="s">
        <v>2500</v>
      </c>
      <c r="C308" s="1204">
        <v>0.15</v>
      </c>
      <c r="D308" s="1204">
        <v>0.15</v>
      </c>
      <c r="E308" s="1204">
        <v>0.15</v>
      </c>
      <c r="F308" s="1205">
        <v>0.15</v>
      </c>
    </row>
    <row r="309" spans="1:6">
      <c r="A309" s="1199" t="s">
        <v>291</v>
      </c>
      <c r="B309" s="1203" t="s">
        <v>2510</v>
      </c>
      <c r="C309" s="1204">
        <v>0.15</v>
      </c>
      <c r="D309" s="1204">
        <v>0.15</v>
      </c>
      <c r="E309" s="1204">
        <v>0.15</v>
      </c>
      <c r="F309" s="1212"/>
    </row>
    <row r="310" spans="1:6">
      <c r="A310" s="1199" t="s">
        <v>291</v>
      </c>
      <c r="B310" s="1203" t="s">
        <v>2519</v>
      </c>
      <c r="C310" s="1204">
        <v>0.15</v>
      </c>
      <c r="D310" s="1204">
        <v>0.15</v>
      </c>
      <c r="E310" s="1204">
        <v>0.15</v>
      </c>
      <c r="F310" s="1205">
        <v>0.13700000000000001</v>
      </c>
    </row>
    <row r="311" spans="1:6">
      <c r="A311" s="1199" t="s">
        <v>291</v>
      </c>
      <c r="B311" s="1203" t="s">
        <v>2527</v>
      </c>
      <c r="C311" s="1204">
        <v>0.15</v>
      </c>
      <c r="D311" s="1204">
        <v>0.15</v>
      </c>
      <c r="E311" s="1204">
        <v>0.15</v>
      </c>
      <c r="F311" s="1205">
        <v>0.15</v>
      </c>
    </row>
    <row r="312" spans="1:6">
      <c r="A312" s="1199" t="s">
        <v>291</v>
      </c>
      <c r="B312" s="1203" t="s">
        <v>2535</v>
      </c>
      <c r="C312" s="1204">
        <v>0.15</v>
      </c>
      <c r="D312" s="1204">
        <v>0.15</v>
      </c>
      <c r="E312" s="1204">
        <v>0.15</v>
      </c>
      <c r="F312" s="1205">
        <v>0.1</v>
      </c>
    </row>
    <row r="313" spans="1:6">
      <c r="A313" s="1199" t="s">
        <v>291</v>
      </c>
      <c r="B313" s="1203" t="s">
        <v>2542</v>
      </c>
      <c r="C313" s="1204">
        <v>0.15</v>
      </c>
      <c r="D313" s="1204">
        <v>0.15</v>
      </c>
      <c r="E313" s="1204">
        <v>0.15</v>
      </c>
      <c r="F313" s="1205">
        <v>0.15</v>
      </c>
    </row>
    <row r="314" spans="1:6" ht="24">
      <c r="A314" s="1199" t="s">
        <v>291</v>
      </c>
      <c r="B314" s="1203" t="s">
        <v>2549</v>
      </c>
      <c r="C314" s="1213"/>
      <c r="D314" s="1213"/>
      <c r="E314" s="1213"/>
      <c r="F314" s="1205">
        <v>0.05</v>
      </c>
    </row>
    <row r="315" spans="1:6" ht="24">
      <c r="A315" s="1199" t="s">
        <v>291</v>
      </c>
      <c r="B315" s="1203" t="s">
        <v>2556</v>
      </c>
      <c r="C315" s="1213"/>
      <c r="D315" s="1213"/>
      <c r="E315" s="1213"/>
      <c r="F315" s="1205">
        <v>0.05</v>
      </c>
    </row>
    <row r="316" spans="1:6" ht="24">
      <c r="A316" s="1207" t="s">
        <v>291</v>
      </c>
      <c r="B316" s="1214" t="s">
        <v>2563</v>
      </c>
      <c r="C316" s="1210"/>
      <c r="D316" s="1210"/>
      <c r="E316" s="1210"/>
      <c r="F316" s="1215">
        <v>0.05</v>
      </c>
    </row>
    <row r="317" spans="1:6">
      <c r="A317" s="1199" t="s">
        <v>294</v>
      </c>
      <c r="B317" s="1200" t="s">
        <v>2318</v>
      </c>
      <c r="C317" s="1201">
        <v>0.15</v>
      </c>
      <c r="D317" s="1201">
        <v>0.15</v>
      </c>
      <c r="E317" s="1201">
        <v>0.15</v>
      </c>
      <c r="F317" s="1202">
        <v>0.15</v>
      </c>
    </row>
    <row r="318" spans="1:6">
      <c r="A318" s="1199" t="s">
        <v>294</v>
      </c>
      <c r="B318" s="1203" t="s">
        <v>2330</v>
      </c>
      <c r="C318" s="1204">
        <v>0.107</v>
      </c>
      <c r="D318" s="1204">
        <v>0.11</v>
      </c>
      <c r="E318" s="1204">
        <v>0.112</v>
      </c>
      <c r="F318" s="1212"/>
    </row>
    <row r="319" spans="1:6">
      <c r="A319" s="1199" t="s">
        <v>294</v>
      </c>
      <c r="B319" s="1203" t="s">
        <v>2344</v>
      </c>
      <c r="C319" s="1204">
        <v>0.15</v>
      </c>
      <c r="D319" s="1204">
        <v>0.15</v>
      </c>
      <c r="E319" s="1204">
        <v>0.15</v>
      </c>
      <c r="F319" s="1205">
        <v>0.15</v>
      </c>
    </row>
    <row r="320" spans="1:6">
      <c r="A320" s="1199" t="s">
        <v>294</v>
      </c>
      <c r="B320" s="1203" t="s">
        <v>2356</v>
      </c>
      <c r="C320" s="1204">
        <v>0.15</v>
      </c>
      <c r="D320" s="1204">
        <v>0.15</v>
      </c>
      <c r="E320" s="1204">
        <v>0.15</v>
      </c>
      <c r="F320" s="1212"/>
    </row>
    <row r="321" spans="1:6">
      <c r="A321" s="1199" t="s">
        <v>294</v>
      </c>
      <c r="B321" s="1203" t="s">
        <v>2368</v>
      </c>
      <c r="C321" s="1204">
        <v>0.15</v>
      </c>
      <c r="D321" s="1204">
        <v>0.15</v>
      </c>
      <c r="E321" s="1204">
        <v>0.15</v>
      </c>
      <c r="F321" s="1212"/>
    </row>
    <row r="322" spans="1:6">
      <c r="A322" s="1199" t="s">
        <v>294</v>
      </c>
      <c r="B322" s="1203" t="s">
        <v>2379</v>
      </c>
      <c r="C322" s="1204">
        <v>0.15</v>
      </c>
      <c r="D322" s="1204">
        <v>0.15</v>
      </c>
      <c r="E322" s="1204">
        <v>0.15</v>
      </c>
      <c r="F322" s="1205">
        <v>0.15</v>
      </c>
    </row>
    <row r="323" spans="1:6">
      <c r="A323" s="1199" t="s">
        <v>294</v>
      </c>
      <c r="B323" s="1203" t="s">
        <v>2390</v>
      </c>
      <c r="C323" s="1204">
        <v>0.15</v>
      </c>
      <c r="D323" s="1204">
        <v>0.15</v>
      </c>
      <c r="E323" s="1204">
        <v>0.15</v>
      </c>
      <c r="F323" s="1212"/>
    </row>
    <row r="324" spans="1:6">
      <c r="A324" s="1199" t="s">
        <v>294</v>
      </c>
      <c r="B324" s="1203" t="s">
        <v>2401</v>
      </c>
      <c r="C324" s="1204">
        <v>0.15</v>
      </c>
      <c r="D324" s="1204">
        <v>0.15</v>
      </c>
      <c r="E324" s="1204">
        <v>0.15</v>
      </c>
      <c r="F324" s="1212"/>
    </row>
    <row r="325" spans="1:6">
      <c r="A325" s="1199" t="s">
        <v>294</v>
      </c>
      <c r="B325" s="1203" t="s">
        <v>2411</v>
      </c>
      <c r="C325" s="1204">
        <v>0.15</v>
      </c>
      <c r="D325" s="1204">
        <v>0.15</v>
      </c>
      <c r="E325" s="1204">
        <v>0.15</v>
      </c>
      <c r="F325" s="1205">
        <v>0.14699999999999999</v>
      </c>
    </row>
    <row r="326" spans="1:6">
      <c r="A326" s="1199" t="s">
        <v>294</v>
      </c>
      <c r="B326" s="1203" t="s">
        <v>2421</v>
      </c>
      <c r="C326" s="1204">
        <v>0.15</v>
      </c>
      <c r="D326" s="1204">
        <v>0.15</v>
      </c>
      <c r="E326" s="1204">
        <v>0.15</v>
      </c>
      <c r="F326" s="1212"/>
    </row>
    <row r="327" spans="1:6">
      <c r="A327" s="1199" t="s">
        <v>294</v>
      </c>
      <c r="B327" s="1203" t="s">
        <v>2431</v>
      </c>
      <c r="C327" s="1204">
        <v>0.15</v>
      </c>
      <c r="D327" s="1204">
        <v>0.15</v>
      </c>
      <c r="E327" s="1204">
        <v>0.15</v>
      </c>
      <c r="F327" s="1205">
        <v>0.15</v>
      </c>
    </row>
    <row r="328" spans="1:6">
      <c r="A328" s="1199" t="s">
        <v>294</v>
      </c>
      <c r="B328" s="1203" t="s">
        <v>2441</v>
      </c>
      <c r="C328" s="1204">
        <v>0.15</v>
      </c>
      <c r="D328" s="1204">
        <v>0.15</v>
      </c>
      <c r="E328" s="1204">
        <v>0.15</v>
      </c>
      <c r="F328" s="1205">
        <v>0.14099999999999999</v>
      </c>
    </row>
    <row r="329" spans="1:6">
      <c r="A329" s="1199" t="s">
        <v>294</v>
      </c>
      <c r="B329" s="1203" t="s">
        <v>2451</v>
      </c>
      <c r="C329" s="1204">
        <v>0.15</v>
      </c>
      <c r="D329" s="1204">
        <v>0.15</v>
      </c>
      <c r="E329" s="1204">
        <v>0.15</v>
      </c>
      <c r="F329" s="1205">
        <v>0.15</v>
      </c>
    </row>
    <row r="330" spans="1:6">
      <c r="A330" s="1199" t="s">
        <v>294</v>
      </c>
      <c r="B330" s="1203" t="s">
        <v>2461</v>
      </c>
      <c r="C330" s="1204">
        <v>0.15</v>
      </c>
      <c r="D330" s="1204">
        <v>0.15</v>
      </c>
      <c r="E330" s="1204">
        <v>0.15</v>
      </c>
      <c r="F330" s="1212"/>
    </row>
    <row r="331" spans="1:6">
      <c r="A331" s="1199" t="s">
        <v>294</v>
      </c>
      <c r="B331" s="1203" t="s">
        <v>2471</v>
      </c>
      <c r="C331" s="1204">
        <v>0.15</v>
      </c>
      <c r="D331" s="1204">
        <v>0.15</v>
      </c>
      <c r="E331" s="1204">
        <v>0.15</v>
      </c>
      <c r="F331" s="1205">
        <v>0.15</v>
      </c>
    </row>
    <row r="332" spans="1:6">
      <c r="A332" s="1199" t="s">
        <v>294</v>
      </c>
      <c r="B332" s="1203" t="s">
        <v>2481</v>
      </c>
      <c r="C332" s="1204">
        <v>0.15</v>
      </c>
      <c r="D332" s="1204">
        <v>0.15</v>
      </c>
      <c r="E332" s="1204">
        <v>0.15</v>
      </c>
      <c r="F332" s="1205">
        <v>0.15</v>
      </c>
    </row>
    <row r="333" spans="1:6">
      <c r="A333" s="1199" t="s">
        <v>294</v>
      </c>
      <c r="B333" s="1203" t="s">
        <v>2491</v>
      </c>
      <c r="C333" s="1204">
        <v>0.15</v>
      </c>
      <c r="D333" s="1204">
        <v>0.15</v>
      </c>
      <c r="E333" s="1204">
        <v>0.15</v>
      </c>
      <c r="F333" s="1205">
        <v>0.14099999999999999</v>
      </c>
    </row>
    <row r="334" spans="1:6">
      <c r="A334" s="1199" t="s">
        <v>294</v>
      </c>
      <c r="B334" s="1203" t="s">
        <v>2501</v>
      </c>
      <c r="C334" s="1204">
        <v>0.15</v>
      </c>
      <c r="D334" s="1204">
        <v>0.15</v>
      </c>
      <c r="E334" s="1204">
        <v>0.15</v>
      </c>
      <c r="F334" s="1205">
        <v>0.15</v>
      </c>
    </row>
    <row r="335" spans="1:6">
      <c r="A335" s="1199" t="s">
        <v>294</v>
      </c>
      <c r="B335" s="1203" t="s">
        <v>2511</v>
      </c>
      <c r="C335" s="1204">
        <v>0.15</v>
      </c>
      <c r="D335" s="1204">
        <v>0.15</v>
      </c>
      <c r="E335" s="1204">
        <v>0.15</v>
      </c>
      <c r="F335" s="1212"/>
    </row>
    <row r="336" spans="1:6">
      <c r="A336" s="1199" t="s">
        <v>294</v>
      </c>
      <c r="B336" s="1203" t="s">
        <v>2520</v>
      </c>
      <c r="C336" s="1204">
        <v>0.15</v>
      </c>
      <c r="D336" s="1204">
        <v>0.15</v>
      </c>
      <c r="E336" s="1204">
        <v>0.15</v>
      </c>
      <c r="F336" s="1205">
        <v>0.11799999999999999</v>
      </c>
    </row>
    <row r="337" spans="1:6">
      <c r="A337" s="1207" t="s">
        <v>294</v>
      </c>
      <c r="B337" s="1214" t="s">
        <v>2528</v>
      </c>
      <c r="C337" s="1210"/>
      <c r="D337" s="1210"/>
      <c r="E337" s="1210"/>
      <c r="F337" s="1215">
        <v>0.14299999999999999</v>
      </c>
    </row>
    <row r="338" spans="1:6">
      <c r="A338" s="1199" t="s">
        <v>297</v>
      </c>
      <c r="B338" s="1200" t="s">
        <v>2319</v>
      </c>
      <c r="C338" s="1201">
        <v>0.15</v>
      </c>
      <c r="D338" s="1201">
        <v>0.15</v>
      </c>
      <c r="E338" s="1201">
        <v>0.15</v>
      </c>
      <c r="F338" s="1223"/>
    </row>
    <row r="339" spans="1:6">
      <c r="A339" s="1199" t="s">
        <v>297</v>
      </c>
      <c r="B339" s="1203" t="s">
        <v>2331</v>
      </c>
      <c r="C339" s="1204">
        <v>0.15</v>
      </c>
      <c r="D339" s="1204">
        <v>0.15</v>
      </c>
      <c r="E339" s="1204">
        <v>0.15</v>
      </c>
      <c r="F339" s="1212"/>
    </row>
    <row r="340" spans="1:6">
      <c r="A340" s="1199" t="s">
        <v>297</v>
      </c>
      <c r="B340" s="1203" t="s">
        <v>2345</v>
      </c>
      <c r="C340" s="1204">
        <v>0.15</v>
      </c>
      <c r="D340" s="1204">
        <v>0.15</v>
      </c>
      <c r="E340" s="1204">
        <v>0.15</v>
      </c>
      <c r="F340" s="1212"/>
    </row>
    <row r="341" spans="1:6">
      <c r="A341" s="1199" t="s">
        <v>297</v>
      </c>
      <c r="B341" s="1203" t="s">
        <v>2357</v>
      </c>
      <c r="C341" s="1204">
        <v>0.15</v>
      </c>
      <c r="D341" s="1204">
        <v>0.15</v>
      </c>
      <c r="E341" s="1204">
        <v>0.15</v>
      </c>
      <c r="F341" s="1205">
        <v>0.15</v>
      </c>
    </row>
    <row r="342" spans="1:6">
      <c r="A342" s="1199" t="s">
        <v>297</v>
      </c>
      <c r="B342" s="1203" t="s">
        <v>2369</v>
      </c>
      <c r="C342" s="1204">
        <v>0.15</v>
      </c>
      <c r="D342" s="1204">
        <v>0.15</v>
      </c>
      <c r="E342" s="1204">
        <v>0.15</v>
      </c>
      <c r="F342" s="1205">
        <v>0.15</v>
      </c>
    </row>
    <row r="343" spans="1:6">
      <c r="A343" s="1199" t="s">
        <v>297</v>
      </c>
      <c r="B343" s="1203" t="s">
        <v>2380</v>
      </c>
      <c r="C343" s="1204">
        <v>0.15</v>
      </c>
      <c r="D343" s="1204">
        <v>0.15</v>
      </c>
      <c r="E343" s="1204">
        <v>0.15</v>
      </c>
      <c r="F343" s="1205">
        <v>0.15</v>
      </c>
    </row>
    <row r="344" spans="1:6">
      <c r="A344" s="1207" t="s">
        <v>297</v>
      </c>
      <c r="B344" s="1214" t="s">
        <v>2391</v>
      </c>
      <c r="C344" s="1209">
        <v>0.15</v>
      </c>
      <c r="D344" s="1209">
        <v>0.15</v>
      </c>
      <c r="E344" s="1209">
        <v>0.15</v>
      </c>
      <c r="F344" s="1215">
        <v>0.15</v>
      </c>
    </row>
  </sheetData>
  <sheetProtection password="C66D"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ColWidth="9" defaultRowHeight="14.4"/>
  <cols>
    <col min="1" max="1" width="4.88671875" style="1124" customWidth="1"/>
    <col min="2" max="2" width="13.21875" style="1125" customWidth="1"/>
    <col min="3" max="3" width="15.6640625" style="1125" customWidth="1"/>
    <col min="4" max="4" width="9.33203125" style="1125" customWidth="1"/>
    <col min="5" max="5" width="13.44140625" style="1125" customWidth="1"/>
    <col min="6" max="6" width="9" style="1125"/>
    <col min="7" max="7" width="9.33203125" style="1125" customWidth="1"/>
    <col min="8" max="8" width="12.21875" style="1125" customWidth="1"/>
    <col min="9" max="9" width="9" style="1125"/>
    <col min="10" max="10" width="9.33203125" style="1125" customWidth="1"/>
    <col min="11" max="11" width="4" style="1124" customWidth="1"/>
    <col min="12" max="12" width="5.109375" style="1125" customWidth="1"/>
    <col min="13" max="13" width="13.77734375" style="1125" customWidth="1"/>
    <col min="14" max="256" width="9" style="1125"/>
    <col min="257" max="257" width="4.88671875" style="1126" customWidth="1"/>
    <col min="258" max="258" width="13.21875" style="1126" customWidth="1"/>
    <col min="259" max="259" width="15.6640625" style="1126" customWidth="1"/>
    <col min="260" max="260" width="9.33203125" style="1126" customWidth="1"/>
    <col min="261" max="261" width="13.44140625" style="1126" customWidth="1"/>
    <col min="262" max="262" width="9" style="1126"/>
    <col min="263" max="263" width="9.33203125" style="1126" customWidth="1"/>
    <col min="264" max="265" width="9" style="1126"/>
    <col min="266" max="266" width="9.33203125" style="1126" customWidth="1"/>
    <col min="267" max="267" width="4" style="1126" customWidth="1"/>
    <col min="268" max="268" width="5.109375" style="1126" customWidth="1"/>
    <col min="269" max="269" width="13.77734375" style="1126" customWidth="1"/>
    <col min="270" max="512" width="9" style="1126"/>
    <col min="513" max="513" width="4.88671875" style="1126" customWidth="1"/>
    <col min="514" max="514" width="13.21875" style="1126" customWidth="1"/>
    <col min="515" max="515" width="15.6640625" style="1126" customWidth="1"/>
    <col min="516" max="516" width="9.33203125" style="1126" customWidth="1"/>
    <col min="517" max="517" width="13.44140625" style="1126" customWidth="1"/>
    <col min="518" max="518" width="9" style="1126"/>
    <col min="519" max="519" width="9.33203125" style="1126" customWidth="1"/>
    <col min="520" max="521" width="9" style="1126"/>
    <col min="522" max="522" width="9.33203125" style="1126" customWidth="1"/>
    <col min="523" max="523" width="4" style="1126" customWidth="1"/>
    <col min="524" max="524" width="5.109375" style="1126" customWidth="1"/>
    <col min="525" max="525" width="13.77734375" style="1126" customWidth="1"/>
    <col min="526" max="768" width="9" style="1126"/>
    <col min="769" max="769" width="4.88671875" style="1126" customWidth="1"/>
    <col min="770" max="770" width="13.21875" style="1126" customWidth="1"/>
    <col min="771" max="771" width="15.6640625" style="1126" customWidth="1"/>
    <col min="772" max="772" width="9.33203125" style="1126" customWidth="1"/>
    <col min="773" max="773" width="13.44140625" style="1126" customWidth="1"/>
    <col min="774" max="774" width="9" style="1126"/>
    <col min="775" max="775" width="9.33203125" style="1126" customWidth="1"/>
    <col min="776" max="777" width="9" style="1126"/>
    <col min="778" max="778" width="9.33203125" style="1126" customWidth="1"/>
    <col min="779" max="779" width="4" style="1126" customWidth="1"/>
    <col min="780" max="780" width="5.109375" style="1126" customWidth="1"/>
    <col min="781" max="781" width="13.77734375" style="1126" customWidth="1"/>
    <col min="782" max="1024" width="9" style="1126"/>
    <col min="1025" max="1025" width="4.88671875" style="1126" customWidth="1"/>
    <col min="1026" max="1026" width="13.21875" style="1126" customWidth="1"/>
    <col min="1027" max="1027" width="15.6640625" style="1126" customWidth="1"/>
    <col min="1028" max="1028" width="9.33203125" style="1126" customWidth="1"/>
    <col min="1029" max="1029" width="13.44140625" style="1126" customWidth="1"/>
    <col min="1030" max="1030" width="9" style="1126"/>
    <col min="1031" max="1031" width="9.33203125" style="1126" customWidth="1"/>
    <col min="1032" max="1033" width="9" style="1126"/>
    <col min="1034" max="1034" width="9.33203125" style="1126" customWidth="1"/>
    <col min="1035" max="1035" width="4" style="1126" customWidth="1"/>
    <col min="1036" max="1036" width="5.109375" style="1126" customWidth="1"/>
    <col min="1037" max="1037" width="13.77734375" style="1126" customWidth="1"/>
    <col min="1038" max="1280" width="9" style="1126"/>
    <col min="1281" max="1281" width="4.88671875" style="1126" customWidth="1"/>
    <col min="1282" max="1282" width="13.21875" style="1126" customWidth="1"/>
    <col min="1283" max="1283" width="15.6640625" style="1126" customWidth="1"/>
    <col min="1284" max="1284" width="9.33203125" style="1126" customWidth="1"/>
    <col min="1285" max="1285" width="13.44140625" style="1126" customWidth="1"/>
    <col min="1286" max="1286" width="9" style="1126"/>
    <col min="1287" max="1287" width="9.33203125" style="1126" customWidth="1"/>
    <col min="1288" max="1289" width="9" style="1126"/>
    <col min="1290" max="1290" width="9.33203125" style="1126" customWidth="1"/>
    <col min="1291" max="1291" width="4" style="1126" customWidth="1"/>
    <col min="1292" max="1292" width="5.109375" style="1126" customWidth="1"/>
    <col min="1293" max="1293" width="13.77734375" style="1126" customWidth="1"/>
    <col min="1294" max="1536" width="9" style="1126"/>
    <col min="1537" max="1537" width="4.88671875" style="1126" customWidth="1"/>
    <col min="1538" max="1538" width="13.21875" style="1126" customWidth="1"/>
    <col min="1539" max="1539" width="15.6640625" style="1126" customWidth="1"/>
    <col min="1540" max="1540" width="9.33203125" style="1126" customWidth="1"/>
    <col min="1541" max="1541" width="13.44140625" style="1126" customWidth="1"/>
    <col min="1542" max="1542" width="9" style="1126"/>
    <col min="1543" max="1543" width="9.33203125" style="1126" customWidth="1"/>
    <col min="1544" max="1545" width="9" style="1126"/>
    <col min="1546" max="1546" width="9.33203125" style="1126" customWidth="1"/>
    <col min="1547" max="1547" width="4" style="1126" customWidth="1"/>
    <col min="1548" max="1548" width="5.109375" style="1126" customWidth="1"/>
    <col min="1549" max="1549" width="13.77734375" style="1126" customWidth="1"/>
    <col min="1550" max="1792" width="9" style="1126"/>
    <col min="1793" max="1793" width="4.88671875" style="1126" customWidth="1"/>
    <col min="1794" max="1794" width="13.21875" style="1126" customWidth="1"/>
    <col min="1795" max="1795" width="15.6640625" style="1126" customWidth="1"/>
    <col min="1796" max="1796" width="9.33203125" style="1126" customWidth="1"/>
    <col min="1797" max="1797" width="13.44140625" style="1126" customWidth="1"/>
    <col min="1798" max="1798" width="9" style="1126"/>
    <col min="1799" max="1799" width="9.33203125" style="1126" customWidth="1"/>
    <col min="1800" max="1801" width="9" style="1126"/>
    <col min="1802" max="1802" width="9.33203125" style="1126" customWidth="1"/>
    <col min="1803" max="1803" width="4" style="1126" customWidth="1"/>
    <col min="1804" max="1804" width="5.109375" style="1126" customWidth="1"/>
    <col min="1805" max="1805" width="13.77734375" style="1126" customWidth="1"/>
    <col min="1806" max="2048" width="9" style="1126"/>
    <col min="2049" max="2049" width="4.88671875" style="1126" customWidth="1"/>
    <col min="2050" max="2050" width="13.21875" style="1126" customWidth="1"/>
    <col min="2051" max="2051" width="15.6640625" style="1126" customWidth="1"/>
    <col min="2052" max="2052" width="9.33203125" style="1126" customWidth="1"/>
    <col min="2053" max="2053" width="13.44140625" style="1126" customWidth="1"/>
    <col min="2054" max="2054" width="9" style="1126"/>
    <col min="2055" max="2055" width="9.33203125" style="1126" customWidth="1"/>
    <col min="2056" max="2057" width="9" style="1126"/>
    <col min="2058" max="2058" width="9.33203125" style="1126" customWidth="1"/>
    <col min="2059" max="2059" width="4" style="1126" customWidth="1"/>
    <col min="2060" max="2060" width="5.109375" style="1126" customWidth="1"/>
    <col min="2061" max="2061" width="13.77734375" style="1126" customWidth="1"/>
    <col min="2062" max="2304" width="9" style="1126"/>
    <col min="2305" max="2305" width="4.88671875" style="1126" customWidth="1"/>
    <col min="2306" max="2306" width="13.21875" style="1126" customWidth="1"/>
    <col min="2307" max="2307" width="15.6640625" style="1126" customWidth="1"/>
    <col min="2308" max="2308" width="9.33203125" style="1126" customWidth="1"/>
    <col min="2309" max="2309" width="13.44140625" style="1126" customWidth="1"/>
    <col min="2310" max="2310" width="9" style="1126"/>
    <col min="2311" max="2311" width="9.33203125" style="1126" customWidth="1"/>
    <col min="2312" max="2313" width="9" style="1126"/>
    <col min="2314" max="2314" width="9.33203125" style="1126" customWidth="1"/>
    <col min="2315" max="2315" width="4" style="1126" customWidth="1"/>
    <col min="2316" max="2316" width="5.109375" style="1126" customWidth="1"/>
    <col min="2317" max="2317" width="13.77734375" style="1126" customWidth="1"/>
    <col min="2318" max="2560" width="9" style="1126"/>
    <col min="2561" max="2561" width="4.88671875" style="1126" customWidth="1"/>
    <col min="2562" max="2562" width="13.21875" style="1126" customWidth="1"/>
    <col min="2563" max="2563" width="15.6640625" style="1126" customWidth="1"/>
    <col min="2564" max="2564" width="9.33203125" style="1126" customWidth="1"/>
    <col min="2565" max="2565" width="13.44140625" style="1126" customWidth="1"/>
    <col min="2566" max="2566" width="9" style="1126"/>
    <col min="2567" max="2567" width="9.33203125" style="1126" customWidth="1"/>
    <col min="2568" max="2569" width="9" style="1126"/>
    <col min="2570" max="2570" width="9.33203125" style="1126" customWidth="1"/>
    <col min="2571" max="2571" width="4" style="1126" customWidth="1"/>
    <col min="2572" max="2572" width="5.109375" style="1126" customWidth="1"/>
    <col min="2573" max="2573" width="13.77734375" style="1126" customWidth="1"/>
    <col min="2574" max="2816" width="9" style="1126"/>
    <col min="2817" max="2817" width="4.88671875" style="1126" customWidth="1"/>
    <col min="2818" max="2818" width="13.21875" style="1126" customWidth="1"/>
    <col min="2819" max="2819" width="15.6640625" style="1126" customWidth="1"/>
    <col min="2820" max="2820" width="9.33203125" style="1126" customWidth="1"/>
    <col min="2821" max="2821" width="13.44140625" style="1126" customWidth="1"/>
    <col min="2822" max="2822" width="9" style="1126"/>
    <col min="2823" max="2823" width="9.33203125" style="1126" customWidth="1"/>
    <col min="2824" max="2825" width="9" style="1126"/>
    <col min="2826" max="2826" width="9.33203125" style="1126" customWidth="1"/>
    <col min="2827" max="2827" width="4" style="1126" customWidth="1"/>
    <col min="2828" max="2828" width="5.109375" style="1126" customWidth="1"/>
    <col min="2829" max="2829" width="13.77734375" style="1126" customWidth="1"/>
    <col min="2830" max="3072" width="9" style="1126"/>
    <col min="3073" max="3073" width="4.88671875" style="1126" customWidth="1"/>
    <col min="3074" max="3074" width="13.21875" style="1126" customWidth="1"/>
    <col min="3075" max="3075" width="15.6640625" style="1126" customWidth="1"/>
    <col min="3076" max="3076" width="9.33203125" style="1126" customWidth="1"/>
    <col min="3077" max="3077" width="13.44140625" style="1126" customWidth="1"/>
    <col min="3078" max="3078" width="9" style="1126"/>
    <col min="3079" max="3079" width="9.33203125" style="1126" customWidth="1"/>
    <col min="3080" max="3081" width="9" style="1126"/>
    <col min="3082" max="3082" width="9.33203125" style="1126" customWidth="1"/>
    <col min="3083" max="3083" width="4" style="1126" customWidth="1"/>
    <col min="3084" max="3084" width="5.109375" style="1126" customWidth="1"/>
    <col min="3085" max="3085" width="13.77734375" style="1126" customWidth="1"/>
    <col min="3086" max="3328" width="9" style="1126"/>
    <col min="3329" max="3329" width="4.88671875" style="1126" customWidth="1"/>
    <col min="3330" max="3330" width="13.21875" style="1126" customWidth="1"/>
    <col min="3331" max="3331" width="15.6640625" style="1126" customWidth="1"/>
    <col min="3332" max="3332" width="9.33203125" style="1126" customWidth="1"/>
    <col min="3333" max="3333" width="13.44140625" style="1126" customWidth="1"/>
    <col min="3334" max="3334" width="9" style="1126"/>
    <col min="3335" max="3335" width="9.33203125" style="1126" customWidth="1"/>
    <col min="3336" max="3337" width="9" style="1126"/>
    <col min="3338" max="3338" width="9.33203125" style="1126" customWidth="1"/>
    <col min="3339" max="3339" width="4" style="1126" customWidth="1"/>
    <col min="3340" max="3340" width="5.109375" style="1126" customWidth="1"/>
    <col min="3341" max="3341" width="13.77734375" style="1126" customWidth="1"/>
    <col min="3342" max="3584" width="9" style="1126"/>
    <col min="3585" max="3585" width="4.88671875" style="1126" customWidth="1"/>
    <col min="3586" max="3586" width="13.21875" style="1126" customWidth="1"/>
    <col min="3587" max="3587" width="15.6640625" style="1126" customWidth="1"/>
    <col min="3588" max="3588" width="9.33203125" style="1126" customWidth="1"/>
    <col min="3589" max="3589" width="13.44140625" style="1126" customWidth="1"/>
    <col min="3590" max="3590" width="9" style="1126"/>
    <col min="3591" max="3591" width="9.33203125" style="1126" customWidth="1"/>
    <col min="3592" max="3593" width="9" style="1126"/>
    <col min="3594" max="3594" width="9.33203125" style="1126" customWidth="1"/>
    <col min="3595" max="3595" width="4" style="1126" customWidth="1"/>
    <col min="3596" max="3596" width="5.109375" style="1126" customWidth="1"/>
    <col min="3597" max="3597" width="13.77734375" style="1126" customWidth="1"/>
    <col min="3598" max="3840" width="9" style="1126"/>
    <col min="3841" max="3841" width="4.88671875" style="1126" customWidth="1"/>
    <col min="3842" max="3842" width="13.21875" style="1126" customWidth="1"/>
    <col min="3843" max="3843" width="15.6640625" style="1126" customWidth="1"/>
    <col min="3844" max="3844" width="9.33203125" style="1126" customWidth="1"/>
    <col min="3845" max="3845" width="13.44140625" style="1126" customWidth="1"/>
    <col min="3846" max="3846" width="9" style="1126"/>
    <col min="3847" max="3847" width="9.33203125" style="1126" customWidth="1"/>
    <col min="3848" max="3849" width="9" style="1126"/>
    <col min="3850" max="3850" width="9.33203125" style="1126" customWidth="1"/>
    <col min="3851" max="3851" width="4" style="1126" customWidth="1"/>
    <col min="3852" max="3852" width="5.109375" style="1126" customWidth="1"/>
    <col min="3853" max="3853" width="13.77734375" style="1126" customWidth="1"/>
    <col min="3854" max="4096" width="9" style="1126"/>
    <col min="4097" max="4097" width="4.88671875" style="1126" customWidth="1"/>
    <col min="4098" max="4098" width="13.21875" style="1126" customWidth="1"/>
    <col min="4099" max="4099" width="15.6640625" style="1126" customWidth="1"/>
    <col min="4100" max="4100" width="9.33203125" style="1126" customWidth="1"/>
    <col min="4101" max="4101" width="13.44140625" style="1126" customWidth="1"/>
    <col min="4102" max="4102" width="9" style="1126"/>
    <col min="4103" max="4103" width="9.33203125" style="1126" customWidth="1"/>
    <col min="4104" max="4105" width="9" style="1126"/>
    <col min="4106" max="4106" width="9.33203125" style="1126" customWidth="1"/>
    <col min="4107" max="4107" width="4" style="1126" customWidth="1"/>
    <col min="4108" max="4108" width="5.109375" style="1126" customWidth="1"/>
    <col min="4109" max="4109" width="13.77734375" style="1126" customWidth="1"/>
    <col min="4110" max="4352" width="9" style="1126"/>
    <col min="4353" max="4353" width="4.88671875" style="1126" customWidth="1"/>
    <col min="4354" max="4354" width="13.21875" style="1126" customWidth="1"/>
    <col min="4355" max="4355" width="15.6640625" style="1126" customWidth="1"/>
    <col min="4356" max="4356" width="9.33203125" style="1126" customWidth="1"/>
    <col min="4357" max="4357" width="13.44140625" style="1126" customWidth="1"/>
    <col min="4358" max="4358" width="9" style="1126"/>
    <col min="4359" max="4359" width="9.33203125" style="1126" customWidth="1"/>
    <col min="4360" max="4361" width="9" style="1126"/>
    <col min="4362" max="4362" width="9.33203125" style="1126" customWidth="1"/>
    <col min="4363" max="4363" width="4" style="1126" customWidth="1"/>
    <col min="4364" max="4364" width="5.109375" style="1126" customWidth="1"/>
    <col min="4365" max="4365" width="13.77734375" style="1126" customWidth="1"/>
    <col min="4366" max="4608" width="9" style="1126"/>
    <col min="4609" max="4609" width="4.88671875" style="1126" customWidth="1"/>
    <col min="4610" max="4610" width="13.21875" style="1126" customWidth="1"/>
    <col min="4611" max="4611" width="15.6640625" style="1126" customWidth="1"/>
    <col min="4612" max="4612" width="9.33203125" style="1126" customWidth="1"/>
    <col min="4613" max="4613" width="13.44140625" style="1126" customWidth="1"/>
    <col min="4614" max="4614" width="9" style="1126"/>
    <col min="4615" max="4615" width="9.33203125" style="1126" customWidth="1"/>
    <col min="4616" max="4617" width="9" style="1126"/>
    <col min="4618" max="4618" width="9.33203125" style="1126" customWidth="1"/>
    <col min="4619" max="4619" width="4" style="1126" customWidth="1"/>
    <col min="4620" max="4620" width="5.109375" style="1126" customWidth="1"/>
    <col min="4621" max="4621" width="13.77734375" style="1126" customWidth="1"/>
    <col min="4622" max="4864" width="9" style="1126"/>
    <col min="4865" max="4865" width="4.88671875" style="1126" customWidth="1"/>
    <col min="4866" max="4866" width="13.21875" style="1126" customWidth="1"/>
    <col min="4867" max="4867" width="15.6640625" style="1126" customWidth="1"/>
    <col min="4868" max="4868" width="9.33203125" style="1126" customWidth="1"/>
    <col min="4869" max="4869" width="13.44140625" style="1126" customWidth="1"/>
    <col min="4870" max="4870" width="9" style="1126"/>
    <col min="4871" max="4871" width="9.33203125" style="1126" customWidth="1"/>
    <col min="4872" max="4873" width="9" style="1126"/>
    <col min="4874" max="4874" width="9.33203125" style="1126" customWidth="1"/>
    <col min="4875" max="4875" width="4" style="1126" customWidth="1"/>
    <col min="4876" max="4876" width="5.109375" style="1126" customWidth="1"/>
    <col min="4877" max="4877" width="13.77734375" style="1126" customWidth="1"/>
    <col min="4878" max="5120" width="9" style="1126"/>
    <col min="5121" max="5121" width="4.88671875" style="1126" customWidth="1"/>
    <col min="5122" max="5122" width="13.21875" style="1126" customWidth="1"/>
    <col min="5123" max="5123" width="15.6640625" style="1126" customWidth="1"/>
    <col min="5124" max="5124" width="9.33203125" style="1126" customWidth="1"/>
    <col min="5125" max="5125" width="13.44140625" style="1126" customWidth="1"/>
    <col min="5126" max="5126" width="9" style="1126"/>
    <col min="5127" max="5127" width="9.33203125" style="1126" customWidth="1"/>
    <col min="5128" max="5129" width="9" style="1126"/>
    <col min="5130" max="5130" width="9.33203125" style="1126" customWidth="1"/>
    <col min="5131" max="5131" width="4" style="1126" customWidth="1"/>
    <col min="5132" max="5132" width="5.109375" style="1126" customWidth="1"/>
    <col min="5133" max="5133" width="13.77734375" style="1126" customWidth="1"/>
    <col min="5134" max="5376" width="9" style="1126"/>
    <col min="5377" max="5377" width="4.88671875" style="1126" customWidth="1"/>
    <col min="5378" max="5378" width="13.21875" style="1126" customWidth="1"/>
    <col min="5379" max="5379" width="15.6640625" style="1126" customWidth="1"/>
    <col min="5380" max="5380" width="9.33203125" style="1126" customWidth="1"/>
    <col min="5381" max="5381" width="13.44140625" style="1126" customWidth="1"/>
    <col min="5382" max="5382" width="9" style="1126"/>
    <col min="5383" max="5383" width="9.33203125" style="1126" customWidth="1"/>
    <col min="5384" max="5385" width="9" style="1126"/>
    <col min="5386" max="5386" width="9.33203125" style="1126" customWidth="1"/>
    <col min="5387" max="5387" width="4" style="1126" customWidth="1"/>
    <col min="5388" max="5388" width="5.109375" style="1126" customWidth="1"/>
    <col min="5389" max="5389" width="13.77734375" style="1126" customWidth="1"/>
    <col min="5390" max="5632" width="9" style="1126"/>
    <col min="5633" max="5633" width="4.88671875" style="1126" customWidth="1"/>
    <col min="5634" max="5634" width="13.21875" style="1126" customWidth="1"/>
    <col min="5635" max="5635" width="15.6640625" style="1126" customWidth="1"/>
    <col min="5636" max="5636" width="9.33203125" style="1126" customWidth="1"/>
    <col min="5637" max="5637" width="13.44140625" style="1126" customWidth="1"/>
    <col min="5638" max="5638" width="9" style="1126"/>
    <col min="5639" max="5639" width="9.33203125" style="1126" customWidth="1"/>
    <col min="5640" max="5641" width="9" style="1126"/>
    <col min="5642" max="5642" width="9.33203125" style="1126" customWidth="1"/>
    <col min="5643" max="5643" width="4" style="1126" customWidth="1"/>
    <col min="5644" max="5644" width="5.109375" style="1126" customWidth="1"/>
    <col min="5645" max="5645" width="13.77734375" style="1126" customWidth="1"/>
    <col min="5646" max="5888" width="9" style="1126"/>
    <col min="5889" max="5889" width="4.88671875" style="1126" customWidth="1"/>
    <col min="5890" max="5890" width="13.21875" style="1126" customWidth="1"/>
    <col min="5891" max="5891" width="15.6640625" style="1126" customWidth="1"/>
    <col min="5892" max="5892" width="9.33203125" style="1126" customWidth="1"/>
    <col min="5893" max="5893" width="13.44140625" style="1126" customWidth="1"/>
    <col min="5894" max="5894" width="9" style="1126"/>
    <col min="5895" max="5895" width="9.33203125" style="1126" customWidth="1"/>
    <col min="5896" max="5897" width="9" style="1126"/>
    <col min="5898" max="5898" width="9.33203125" style="1126" customWidth="1"/>
    <col min="5899" max="5899" width="4" style="1126" customWidth="1"/>
    <col min="5900" max="5900" width="5.109375" style="1126" customWidth="1"/>
    <col min="5901" max="5901" width="13.77734375" style="1126" customWidth="1"/>
    <col min="5902" max="6144" width="9" style="1126"/>
    <col min="6145" max="6145" width="4.88671875" style="1126" customWidth="1"/>
    <col min="6146" max="6146" width="13.21875" style="1126" customWidth="1"/>
    <col min="6147" max="6147" width="15.6640625" style="1126" customWidth="1"/>
    <col min="6148" max="6148" width="9.33203125" style="1126" customWidth="1"/>
    <col min="6149" max="6149" width="13.44140625" style="1126" customWidth="1"/>
    <col min="6150" max="6150" width="9" style="1126"/>
    <col min="6151" max="6151" width="9.33203125" style="1126" customWidth="1"/>
    <col min="6152" max="6153" width="9" style="1126"/>
    <col min="6154" max="6154" width="9.33203125" style="1126" customWidth="1"/>
    <col min="6155" max="6155" width="4" style="1126" customWidth="1"/>
    <col min="6156" max="6156" width="5.109375" style="1126" customWidth="1"/>
    <col min="6157" max="6157" width="13.77734375" style="1126" customWidth="1"/>
    <col min="6158" max="6400" width="9" style="1126"/>
    <col min="6401" max="6401" width="4.88671875" style="1126" customWidth="1"/>
    <col min="6402" max="6402" width="13.21875" style="1126" customWidth="1"/>
    <col min="6403" max="6403" width="15.6640625" style="1126" customWidth="1"/>
    <col min="6404" max="6404" width="9.33203125" style="1126" customWidth="1"/>
    <col min="6405" max="6405" width="13.44140625" style="1126" customWidth="1"/>
    <col min="6406" max="6406" width="9" style="1126"/>
    <col min="6407" max="6407" width="9.33203125" style="1126" customWidth="1"/>
    <col min="6408" max="6409" width="9" style="1126"/>
    <col min="6410" max="6410" width="9.33203125" style="1126" customWidth="1"/>
    <col min="6411" max="6411" width="4" style="1126" customWidth="1"/>
    <col min="6412" max="6412" width="5.109375" style="1126" customWidth="1"/>
    <col min="6413" max="6413" width="13.77734375" style="1126" customWidth="1"/>
    <col min="6414" max="6656" width="9" style="1126"/>
    <col min="6657" max="6657" width="4.88671875" style="1126" customWidth="1"/>
    <col min="6658" max="6658" width="13.21875" style="1126" customWidth="1"/>
    <col min="6659" max="6659" width="15.6640625" style="1126" customWidth="1"/>
    <col min="6660" max="6660" width="9.33203125" style="1126" customWidth="1"/>
    <col min="6661" max="6661" width="13.44140625" style="1126" customWidth="1"/>
    <col min="6662" max="6662" width="9" style="1126"/>
    <col min="6663" max="6663" width="9.33203125" style="1126" customWidth="1"/>
    <col min="6664" max="6665" width="9" style="1126"/>
    <col min="6666" max="6666" width="9.33203125" style="1126" customWidth="1"/>
    <col min="6667" max="6667" width="4" style="1126" customWidth="1"/>
    <col min="6668" max="6668" width="5.109375" style="1126" customWidth="1"/>
    <col min="6669" max="6669" width="13.77734375" style="1126" customWidth="1"/>
    <col min="6670" max="6912" width="9" style="1126"/>
    <col min="6913" max="6913" width="4.88671875" style="1126" customWidth="1"/>
    <col min="6914" max="6914" width="13.21875" style="1126" customWidth="1"/>
    <col min="6915" max="6915" width="15.6640625" style="1126" customWidth="1"/>
    <col min="6916" max="6916" width="9.33203125" style="1126" customWidth="1"/>
    <col min="6917" max="6917" width="13.44140625" style="1126" customWidth="1"/>
    <col min="6918" max="6918" width="9" style="1126"/>
    <col min="6919" max="6919" width="9.33203125" style="1126" customWidth="1"/>
    <col min="6920" max="6921" width="9" style="1126"/>
    <col min="6922" max="6922" width="9.33203125" style="1126" customWidth="1"/>
    <col min="6923" max="6923" width="4" style="1126" customWidth="1"/>
    <col min="6924" max="6924" width="5.109375" style="1126" customWidth="1"/>
    <col min="6925" max="6925" width="13.77734375" style="1126" customWidth="1"/>
    <col min="6926" max="7168" width="9" style="1126"/>
    <col min="7169" max="7169" width="4.88671875" style="1126" customWidth="1"/>
    <col min="7170" max="7170" width="13.21875" style="1126" customWidth="1"/>
    <col min="7171" max="7171" width="15.6640625" style="1126" customWidth="1"/>
    <col min="7172" max="7172" width="9.33203125" style="1126" customWidth="1"/>
    <col min="7173" max="7173" width="13.44140625" style="1126" customWidth="1"/>
    <col min="7174" max="7174" width="9" style="1126"/>
    <col min="7175" max="7175" width="9.33203125" style="1126" customWidth="1"/>
    <col min="7176" max="7177" width="9" style="1126"/>
    <col min="7178" max="7178" width="9.33203125" style="1126" customWidth="1"/>
    <col min="7179" max="7179" width="4" style="1126" customWidth="1"/>
    <col min="7180" max="7180" width="5.109375" style="1126" customWidth="1"/>
    <col min="7181" max="7181" width="13.77734375" style="1126" customWidth="1"/>
    <col min="7182" max="7424" width="9" style="1126"/>
    <col min="7425" max="7425" width="4.88671875" style="1126" customWidth="1"/>
    <col min="7426" max="7426" width="13.21875" style="1126" customWidth="1"/>
    <col min="7427" max="7427" width="15.6640625" style="1126" customWidth="1"/>
    <col min="7428" max="7428" width="9.33203125" style="1126" customWidth="1"/>
    <col min="7429" max="7429" width="13.44140625" style="1126" customWidth="1"/>
    <col min="7430" max="7430" width="9" style="1126"/>
    <col min="7431" max="7431" width="9.33203125" style="1126" customWidth="1"/>
    <col min="7432" max="7433" width="9" style="1126"/>
    <col min="7434" max="7434" width="9.33203125" style="1126" customWidth="1"/>
    <col min="7435" max="7435" width="4" style="1126" customWidth="1"/>
    <col min="7436" max="7436" width="5.109375" style="1126" customWidth="1"/>
    <col min="7437" max="7437" width="13.77734375" style="1126" customWidth="1"/>
    <col min="7438" max="7680" width="9" style="1126"/>
    <col min="7681" max="7681" width="4.88671875" style="1126" customWidth="1"/>
    <col min="7682" max="7682" width="13.21875" style="1126" customWidth="1"/>
    <col min="7683" max="7683" width="15.6640625" style="1126" customWidth="1"/>
    <col min="7684" max="7684" width="9.33203125" style="1126" customWidth="1"/>
    <col min="7685" max="7685" width="13.44140625" style="1126" customWidth="1"/>
    <col min="7686" max="7686" width="9" style="1126"/>
    <col min="7687" max="7687" width="9.33203125" style="1126" customWidth="1"/>
    <col min="7688" max="7689" width="9" style="1126"/>
    <col min="7690" max="7690" width="9.33203125" style="1126" customWidth="1"/>
    <col min="7691" max="7691" width="4" style="1126" customWidth="1"/>
    <col min="7692" max="7692" width="5.109375" style="1126" customWidth="1"/>
    <col min="7693" max="7693" width="13.77734375" style="1126" customWidth="1"/>
    <col min="7694" max="7936" width="9" style="1126"/>
    <col min="7937" max="7937" width="4.88671875" style="1126" customWidth="1"/>
    <col min="7938" max="7938" width="13.21875" style="1126" customWidth="1"/>
    <col min="7939" max="7939" width="15.6640625" style="1126" customWidth="1"/>
    <col min="7940" max="7940" width="9.33203125" style="1126" customWidth="1"/>
    <col min="7941" max="7941" width="13.44140625" style="1126" customWidth="1"/>
    <col min="7942" max="7942" width="9" style="1126"/>
    <col min="7943" max="7943" width="9.33203125" style="1126" customWidth="1"/>
    <col min="7944" max="7945" width="9" style="1126"/>
    <col min="7946" max="7946" width="9.33203125" style="1126" customWidth="1"/>
    <col min="7947" max="7947" width="4" style="1126" customWidth="1"/>
    <col min="7948" max="7948" width="5.109375" style="1126" customWidth="1"/>
    <col min="7949" max="7949" width="13.77734375" style="1126" customWidth="1"/>
    <col min="7950" max="8192" width="9" style="1126"/>
    <col min="8193" max="8193" width="4.88671875" style="1126" customWidth="1"/>
    <col min="8194" max="8194" width="13.21875" style="1126" customWidth="1"/>
    <col min="8195" max="8195" width="15.6640625" style="1126" customWidth="1"/>
    <col min="8196" max="8196" width="9.33203125" style="1126" customWidth="1"/>
    <col min="8197" max="8197" width="13.44140625" style="1126" customWidth="1"/>
    <col min="8198" max="8198" width="9" style="1126"/>
    <col min="8199" max="8199" width="9.33203125" style="1126" customWidth="1"/>
    <col min="8200" max="8201" width="9" style="1126"/>
    <col min="8202" max="8202" width="9.33203125" style="1126" customWidth="1"/>
    <col min="8203" max="8203" width="4" style="1126" customWidth="1"/>
    <col min="8204" max="8204" width="5.109375" style="1126" customWidth="1"/>
    <col min="8205" max="8205" width="13.77734375" style="1126" customWidth="1"/>
    <col min="8206" max="8448" width="9" style="1126"/>
    <col min="8449" max="8449" width="4.88671875" style="1126" customWidth="1"/>
    <col min="8450" max="8450" width="13.21875" style="1126" customWidth="1"/>
    <col min="8451" max="8451" width="15.6640625" style="1126" customWidth="1"/>
    <col min="8452" max="8452" width="9.33203125" style="1126" customWidth="1"/>
    <col min="8453" max="8453" width="13.44140625" style="1126" customWidth="1"/>
    <col min="8454" max="8454" width="9" style="1126"/>
    <col min="8455" max="8455" width="9.33203125" style="1126" customWidth="1"/>
    <col min="8456" max="8457" width="9" style="1126"/>
    <col min="8458" max="8458" width="9.33203125" style="1126" customWidth="1"/>
    <col min="8459" max="8459" width="4" style="1126" customWidth="1"/>
    <col min="8460" max="8460" width="5.109375" style="1126" customWidth="1"/>
    <col min="8461" max="8461" width="13.77734375" style="1126" customWidth="1"/>
    <col min="8462" max="8704" width="9" style="1126"/>
    <col min="8705" max="8705" width="4.88671875" style="1126" customWidth="1"/>
    <col min="8706" max="8706" width="13.21875" style="1126" customWidth="1"/>
    <col min="8707" max="8707" width="15.6640625" style="1126" customWidth="1"/>
    <col min="8708" max="8708" width="9.33203125" style="1126" customWidth="1"/>
    <col min="8709" max="8709" width="13.44140625" style="1126" customWidth="1"/>
    <col min="8710" max="8710" width="9" style="1126"/>
    <col min="8711" max="8711" width="9.33203125" style="1126" customWidth="1"/>
    <col min="8712" max="8713" width="9" style="1126"/>
    <col min="8714" max="8714" width="9.33203125" style="1126" customWidth="1"/>
    <col min="8715" max="8715" width="4" style="1126" customWidth="1"/>
    <col min="8716" max="8716" width="5.109375" style="1126" customWidth="1"/>
    <col min="8717" max="8717" width="13.77734375" style="1126" customWidth="1"/>
    <col min="8718" max="8960" width="9" style="1126"/>
    <col min="8961" max="8961" width="4.88671875" style="1126" customWidth="1"/>
    <col min="8962" max="8962" width="13.21875" style="1126" customWidth="1"/>
    <col min="8963" max="8963" width="15.6640625" style="1126" customWidth="1"/>
    <col min="8964" max="8964" width="9.33203125" style="1126" customWidth="1"/>
    <col min="8965" max="8965" width="13.44140625" style="1126" customWidth="1"/>
    <col min="8966" max="8966" width="9" style="1126"/>
    <col min="8967" max="8967" width="9.33203125" style="1126" customWidth="1"/>
    <col min="8968" max="8969" width="9" style="1126"/>
    <col min="8970" max="8970" width="9.33203125" style="1126" customWidth="1"/>
    <col min="8971" max="8971" width="4" style="1126" customWidth="1"/>
    <col min="8972" max="8972" width="5.109375" style="1126" customWidth="1"/>
    <col min="8973" max="8973" width="13.77734375" style="1126" customWidth="1"/>
    <col min="8974" max="9216" width="9" style="1126"/>
    <col min="9217" max="9217" width="4.88671875" style="1126" customWidth="1"/>
    <col min="9218" max="9218" width="13.21875" style="1126" customWidth="1"/>
    <col min="9219" max="9219" width="15.6640625" style="1126" customWidth="1"/>
    <col min="9220" max="9220" width="9.33203125" style="1126" customWidth="1"/>
    <col min="9221" max="9221" width="13.44140625" style="1126" customWidth="1"/>
    <col min="9222" max="9222" width="9" style="1126"/>
    <col min="9223" max="9223" width="9.33203125" style="1126" customWidth="1"/>
    <col min="9224" max="9225" width="9" style="1126"/>
    <col min="9226" max="9226" width="9.33203125" style="1126" customWidth="1"/>
    <col min="9227" max="9227" width="4" style="1126" customWidth="1"/>
    <col min="9228" max="9228" width="5.109375" style="1126" customWidth="1"/>
    <col min="9229" max="9229" width="13.77734375" style="1126" customWidth="1"/>
    <col min="9230" max="9472" width="9" style="1126"/>
    <col min="9473" max="9473" width="4.88671875" style="1126" customWidth="1"/>
    <col min="9474" max="9474" width="13.21875" style="1126" customWidth="1"/>
    <col min="9475" max="9475" width="15.6640625" style="1126" customWidth="1"/>
    <col min="9476" max="9476" width="9.33203125" style="1126" customWidth="1"/>
    <col min="9477" max="9477" width="13.44140625" style="1126" customWidth="1"/>
    <col min="9478" max="9478" width="9" style="1126"/>
    <col min="9479" max="9479" width="9.33203125" style="1126" customWidth="1"/>
    <col min="9480" max="9481" width="9" style="1126"/>
    <col min="9482" max="9482" width="9.33203125" style="1126" customWidth="1"/>
    <col min="9483" max="9483" width="4" style="1126" customWidth="1"/>
    <col min="9484" max="9484" width="5.109375" style="1126" customWidth="1"/>
    <col min="9485" max="9485" width="13.77734375" style="1126" customWidth="1"/>
    <col min="9486" max="9728" width="9" style="1126"/>
    <col min="9729" max="9729" width="4.88671875" style="1126" customWidth="1"/>
    <col min="9730" max="9730" width="13.21875" style="1126" customWidth="1"/>
    <col min="9731" max="9731" width="15.6640625" style="1126" customWidth="1"/>
    <col min="9732" max="9732" width="9.33203125" style="1126" customWidth="1"/>
    <col min="9733" max="9733" width="13.44140625" style="1126" customWidth="1"/>
    <col min="9734" max="9734" width="9" style="1126"/>
    <col min="9735" max="9735" width="9.33203125" style="1126" customWidth="1"/>
    <col min="9736" max="9737" width="9" style="1126"/>
    <col min="9738" max="9738" width="9.33203125" style="1126" customWidth="1"/>
    <col min="9739" max="9739" width="4" style="1126" customWidth="1"/>
    <col min="9740" max="9740" width="5.109375" style="1126" customWidth="1"/>
    <col min="9741" max="9741" width="13.77734375" style="1126" customWidth="1"/>
    <col min="9742" max="9984" width="9" style="1126"/>
    <col min="9985" max="9985" width="4.88671875" style="1126" customWidth="1"/>
    <col min="9986" max="9986" width="13.21875" style="1126" customWidth="1"/>
    <col min="9987" max="9987" width="15.6640625" style="1126" customWidth="1"/>
    <col min="9988" max="9988" width="9.33203125" style="1126" customWidth="1"/>
    <col min="9989" max="9989" width="13.44140625" style="1126" customWidth="1"/>
    <col min="9990" max="9990" width="9" style="1126"/>
    <col min="9991" max="9991" width="9.33203125" style="1126" customWidth="1"/>
    <col min="9992" max="9993" width="9" style="1126"/>
    <col min="9994" max="9994" width="9.33203125" style="1126" customWidth="1"/>
    <col min="9995" max="9995" width="4" style="1126" customWidth="1"/>
    <col min="9996" max="9996" width="5.109375" style="1126" customWidth="1"/>
    <col min="9997" max="9997" width="13.77734375" style="1126" customWidth="1"/>
    <col min="9998" max="10240" width="9" style="1126"/>
    <col min="10241" max="10241" width="4.88671875" style="1126" customWidth="1"/>
    <col min="10242" max="10242" width="13.21875" style="1126" customWidth="1"/>
    <col min="10243" max="10243" width="15.6640625" style="1126" customWidth="1"/>
    <col min="10244" max="10244" width="9.33203125" style="1126" customWidth="1"/>
    <col min="10245" max="10245" width="13.44140625" style="1126" customWidth="1"/>
    <col min="10246" max="10246" width="9" style="1126"/>
    <col min="10247" max="10247" width="9.33203125" style="1126" customWidth="1"/>
    <col min="10248" max="10249" width="9" style="1126"/>
    <col min="10250" max="10250" width="9.33203125" style="1126" customWidth="1"/>
    <col min="10251" max="10251" width="4" style="1126" customWidth="1"/>
    <col min="10252" max="10252" width="5.109375" style="1126" customWidth="1"/>
    <col min="10253" max="10253" width="13.77734375" style="1126" customWidth="1"/>
    <col min="10254" max="10496" width="9" style="1126"/>
    <col min="10497" max="10497" width="4.88671875" style="1126" customWidth="1"/>
    <col min="10498" max="10498" width="13.21875" style="1126" customWidth="1"/>
    <col min="10499" max="10499" width="15.6640625" style="1126" customWidth="1"/>
    <col min="10500" max="10500" width="9.33203125" style="1126" customWidth="1"/>
    <col min="10501" max="10501" width="13.44140625" style="1126" customWidth="1"/>
    <col min="10502" max="10502" width="9" style="1126"/>
    <col min="10503" max="10503" width="9.33203125" style="1126" customWidth="1"/>
    <col min="10504" max="10505" width="9" style="1126"/>
    <col min="10506" max="10506" width="9.33203125" style="1126" customWidth="1"/>
    <col min="10507" max="10507" width="4" style="1126" customWidth="1"/>
    <col min="10508" max="10508" width="5.109375" style="1126" customWidth="1"/>
    <col min="10509" max="10509" width="13.77734375" style="1126" customWidth="1"/>
    <col min="10510" max="10752" width="9" style="1126"/>
    <col min="10753" max="10753" width="4.88671875" style="1126" customWidth="1"/>
    <col min="10754" max="10754" width="13.21875" style="1126" customWidth="1"/>
    <col min="10755" max="10755" width="15.6640625" style="1126" customWidth="1"/>
    <col min="10756" max="10756" width="9.33203125" style="1126" customWidth="1"/>
    <col min="10757" max="10757" width="13.44140625" style="1126" customWidth="1"/>
    <col min="10758" max="10758" width="9" style="1126"/>
    <col min="10759" max="10759" width="9.33203125" style="1126" customWidth="1"/>
    <col min="10760" max="10761" width="9" style="1126"/>
    <col min="10762" max="10762" width="9.33203125" style="1126" customWidth="1"/>
    <col min="10763" max="10763" width="4" style="1126" customWidth="1"/>
    <col min="10764" max="10764" width="5.109375" style="1126" customWidth="1"/>
    <col min="10765" max="10765" width="13.77734375" style="1126" customWidth="1"/>
    <col min="10766" max="11008" width="9" style="1126"/>
    <col min="11009" max="11009" width="4.88671875" style="1126" customWidth="1"/>
    <col min="11010" max="11010" width="13.21875" style="1126" customWidth="1"/>
    <col min="11011" max="11011" width="15.6640625" style="1126" customWidth="1"/>
    <col min="11012" max="11012" width="9.33203125" style="1126" customWidth="1"/>
    <col min="11013" max="11013" width="13.44140625" style="1126" customWidth="1"/>
    <col min="11014" max="11014" width="9" style="1126"/>
    <col min="11015" max="11015" width="9.33203125" style="1126" customWidth="1"/>
    <col min="11016" max="11017" width="9" style="1126"/>
    <col min="11018" max="11018" width="9.33203125" style="1126" customWidth="1"/>
    <col min="11019" max="11019" width="4" style="1126" customWidth="1"/>
    <col min="11020" max="11020" width="5.109375" style="1126" customWidth="1"/>
    <col min="11021" max="11021" width="13.77734375" style="1126" customWidth="1"/>
    <col min="11022" max="11264" width="9" style="1126"/>
    <col min="11265" max="11265" width="4.88671875" style="1126" customWidth="1"/>
    <col min="11266" max="11266" width="13.21875" style="1126" customWidth="1"/>
    <col min="11267" max="11267" width="15.6640625" style="1126" customWidth="1"/>
    <col min="11268" max="11268" width="9.33203125" style="1126" customWidth="1"/>
    <col min="11269" max="11269" width="13.44140625" style="1126" customWidth="1"/>
    <col min="11270" max="11270" width="9" style="1126"/>
    <col min="11271" max="11271" width="9.33203125" style="1126" customWidth="1"/>
    <col min="11272" max="11273" width="9" style="1126"/>
    <col min="11274" max="11274" width="9.33203125" style="1126" customWidth="1"/>
    <col min="11275" max="11275" width="4" style="1126" customWidth="1"/>
    <col min="11276" max="11276" width="5.109375" style="1126" customWidth="1"/>
    <col min="11277" max="11277" width="13.77734375" style="1126" customWidth="1"/>
    <col min="11278" max="11520" width="9" style="1126"/>
    <col min="11521" max="11521" width="4.88671875" style="1126" customWidth="1"/>
    <col min="11522" max="11522" width="13.21875" style="1126" customWidth="1"/>
    <col min="11523" max="11523" width="15.6640625" style="1126" customWidth="1"/>
    <col min="11524" max="11524" width="9.33203125" style="1126" customWidth="1"/>
    <col min="11525" max="11525" width="13.44140625" style="1126" customWidth="1"/>
    <col min="11526" max="11526" width="9" style="1126"/>
    <col min="11527" max="11527" width="9.33203125" style="1126" customWidth="1"/>
    <col min="11528" max="11529" width="9" style="1126"/>
    <col min="11530" max="11530" width="9.33203125" style="1126" customWidth="1"/>
    <col min="11531" max="11531" width="4" style="1126" customWidth="1"/>
    <col min="11532" max="11532" width="5.109375" style="1126" customWidth="1"/>
    <col min="11533" max="11533" width="13.77734375" style="1126" customWidth="1"/>
    <col min="11534" max="11776" width="9" style="1126"/>
    <col min="11777" max="11777" width="4.88671875" style="1126" customWidth="1"/>
    <col min="11778" max="11778" width="13.21875" style="1126" customWidth="1"/>
    <col min="11779" max="11779" width="15.6640625" style="1126" customWidth="1"/>
    <col min="11780" max="11780" width="9.33203125" style="1126" customWidth="1"/>
    <col min="11781" max="11781" width="13.44140625" style="1126" customWidth="1"/>
    <col min="11782" max="11782" width="9" style="1126"/>
    <col min="11783" max="11783" width="9.33203125" style="1126" customWidth="1"/>
    <col min="11784" max="11785" width="9" style="1126"/>
    <col min="11786" max="11786" width="9.33203125" style="1126" customWidth="1"/>
    <col min="11787" max="11787" width="4" style="1126" customWidth="1"/>
    <col min="11788" max="11788" width="5.109375" style="1126" customWidth="1"/>
    <col min="11789" max="11789" width="13.77734375" style="1126" customWidth="1"/>
    <col min="11790" max="12032" width="9" style="1126"/>
    <col min="12033" max="12033" width="4.88671875" style="1126" customWidth="1"/>
    <col min="12034" max="12034" width="13.21875" style="1126" customWidth="1"/>
    <col min="12035" max="12035" width="15.6640625" style="1126" customWidth="1"/>
    <col min="12036" max="12036" width="9.33203125" style="1126" customWidth="1"/>
    <col min="12037" max="12037" width="13.44140625" style="1126" customWidth="1"/>
    <col min="12038" max="12038" width="9" style="1126"/>
    <col min="12039" max="12039" width="9.33203125" style="1126" customWidth="1"/>
    <col min="12040" max="12041" width="9" style="1126"/>
    <col min="12042" max="12042" width="9.33203125" style="1126" customWidth="1"/>
    <col min="12043" max="12043" width="4" style="1126" customWidth="1"/>
    <col min="12044" max="12044" width="5.109375" style="1126" customWidth="1"/>
    <col min="12045" max="12045" width="13.77734375" style="1126" customWidth="1"/>
    <col min="12046" max="12288" width="9" style="1126"/>
    <col min="12289" max="12289" width="4.88671875" style="1126" customWidth="1"/>
    <col min="12290" max="12290" width="13.21875" style="1126" customWidth="1"/>
    <col min="12291" max="12291" width="15.6640625" style="1126" customWidth="1"/>
    <col min="12292" max="12292" width="9.33203125" style="1126" customWidth="1"/>
    <col min="12293" max="12293" width="13.44140625" style="1126" customWidth="1"/>
    <col min="12294" max="12294" width="9" style="1126"/>
    <col min="12295" max="12295" width="9.33203125" style="1126" customWidth="1"/>
    <col min="12296" max="12297" width="9" style="1126"/>
    <col min="12298" max="12298" width="9.33203125" style="1126" customWidth="1"/>
    <col min="12299" max="12299" width="4" style="1126" customWidth="1"/>
    <col min="12300" max="12300" width="5.109375" style="1126" customWidth="1"/>
    <col min="12301" max="12301" width="13.77734375" style="1126" customWidth="1"/>
    <col min="12302" max="12544" width="9" style="1126"/>
    <col min="12545" max="12545" width="4.88671875" style="1126" customWidth="1"/>
    <col min="12546" max="12546" width="13.21875" style="1126" customWidth="1"/>
    <col min="12547" max="12547" width="15.6640625" style="1126" customWidth="1"/>
    <col min="12548" max="12548" width="9.33203125" style="1126" customWidth="1"/>
    <col min="12549" max="12549" width="13.44140625" style="1126" customWidth="1"/>
    <col min="12550" max="12550" width="9" style="1126"/>
    <col min="12551" max="12551" width="9.33203125" style="1126" customWidth="1"/>
    <col min="12552" max="12553" width="9" style="1126"/>
    <col min="12554" max="12554" width="9.33203125" style="1126" customWidth="1"/>
    <col min="12555" max="12555" width="4" style="1126" customWidth="1"/>
    <col min="12556" max="12556" width="5.109375" style="1126" customWidth="1"/>
    <col min="12557" max="12557" width="13.77734375" style="1126" customWidth="1"/>
    <col min="12558" max="12800" width="9" style="1126"/>
    <col min="12801" max="12801" width="4.88671875" style="1126" customWidth="1"/>
    <col min="12802" max="12802" width="13.21875" style="1126" customWidth="1"/>
    <col min="12803" max="12803" width="15.6640625" style="1126" customWidth="1"/>
    <col min="12804" max="12804" width="9.33203125" style="1126" customWidth="1"/>
    <col min="12805" max="12805" width="13.44140625" style="1126" customWidth="1"/>
    <col min="12806" max="12806" width="9" style="1126"/>
    <col min="12807" max="12807" width="9.33203125" style="1126" customWidth="1"/>
    <col min="12808" max="12809" width="9" style="1126"/>
    <col min="12810" max="12810" width="9.33203125" style="1126" customWidth="1"/>
    <col min="12811" max="12811" width="4" style="1126" customWidth="1"/>
    <col min="12812" max="12812" width="5.109375" style="1126" customWidth="1"/>
    <col min="12813" max="12813" width="13.77734375" style="1126" customWidth="1"/>
    <col min="12814" max="13056" width="9" style="1126"/>
    <col min="13057" max="13057" width="4.88671875" style="1126" customWidth="1"/>
    <col min="13058" max="13058" width="13.21875" style="1126" customWidth="1"/>
    <col min="13059" max="13059" width="15.6640625" style="1126" customWidth="1"/>
    <col min="13060" max="13060" width="9.33203125" style="1126" customWidth="1"/>
    <col min="13061" max="13061" width="13.44140625" style="1126" customWidth="1"/>
    <col min="13062" max="13062" width="9" style="1126"/>
    <col min="13063" max="13063" width="9.33203125" style="1126" customWidth="1"/>
    <col min="13064" max="13065" width="9" style="1126"/>
    <col min="13066" max="13066" width="9.33203125" style="1126" customWidth="1"/>
    <col min="13067" max="13067" width="4" style="1126" customWidth="1"/>
    <col min="13068" max="13068" width="5.109375" style="1126" customWidth="1"/>
    <col min="13069" max="13069" width="13.77734375" style="1126" customWidth="1"/>
    <col min="13070" max="13312" width="9" style="1126"/>
    <col min="13313" max="13313" width="4.88671875" style="1126" customWidth="1"/>
    <col min="13314" max="13314" width="13.21875" style="1126" customWidth="1"/>
    <col min="13315" max="13315" width="15.6640625" style="1126" customWidth="1"/>
    <col min="13316" max="13316" width="9.33203125" style="1126" customWidth="1"/>
    <col min="13317" max="13317" width="13.44140625" style="1126" customWidth="1"/>
    <col min="13318" max="13318" width="9" style="1126"/>
    <col min="13319" max="13319" width="9.33203125" style="1126" customWidth="1"/>
    <col min="13320" max="13321" width="9" style="1126"/>
    <col min="13322" max="13322" width="9.33203125" style="1126" customWidth="1"/>
    <col min="13323" max="13323" width="4" style="1126" customWidth="1"/>
    <col min="13324" max="13324" width="5.109375" style="1126" customWidth="1"/>
    <col min="13325" max="13325" width="13.77734375" style="1126" customWidth="1"/>
    <col min="13326" max="13568" width="9" style="1126"/>
    <col min="13569" max="13569" width="4.88671875" style="1126" customWidth="1"/>
    <col min="13570" max="13570" width="13.21875" style="1126" customWidth="1"/>
    <col min="13571" max="13571" width="15.6640625" style="1126" customWidth="1"/>
    <col min="13572" max="13572" width="9.33203125" style="1126" customWidth="1"/>
    <col min="13573" max="13573" width="13.44140625" style="1126" customWidth="1"/>
    <col min="13574" max="13574" width="9" style="1126"/>
    <col min="13575" max="13575" width="9.33203125" style="1126" customWidth="1"/>
    <col min="13576" max="13577" width="9" style="1126"/>
    <col min="13578" max="13578" width="9.33203125" style="1126" customWidth="1"/>
    <col min="13579" max="13579" width="4" style="1126" customWidth="1"/>
    <col min="13580" max="13580" width="5.109375" style="1126" customWidth="1"/>
    <col min="13581" max="13581" width="13.77734375" style="1126" customWidth="1"/>
    <col min="13582" max="13824" width="9" style="1126"/>
    <col min="13825" max="13825" width="4.88671875" style="1126" customWidth="1"/>
    <col min="13826" max="13826" width="13.21875" style="1126" customWidth="1"/>
    <col min="13827" max="13827" width="15.6640625" style="1126" customWidth="1"/>
    <col min="13828" max="13828" width="9.33203125" style="1126" customWidth="1"/>
    <col min="13829" max="13829" width="13.44140625" style="1126" customWidth="1"/>
    <col min="13830" max="13830" width="9" style="1126"/>
    <col min="13831" max="13831" width="9.33203125" style="1126" customWidth="1"/>
    <col min="13832" max="13833" width="9" style="1126"/>
    <col min="13834" max="13834" width="9.33203125" style="1126" customWidth="1"/>
    <col min="13835" max="13835" width="4" style="1126" customWidth="1"/>
    <col min="13836" max="13836" width="5.109375" style="1126" customWidth="1"/>
    <col min="13837" max="13837" width="13.77734375" style="1126" customWidth="1"/>
    <col min="13838" max="14080" width="9" style="1126"/>
    <col min="14081" max="14081" width="4.88671875" style="1126" customWidth="1"/>
    <col min="14082" max="14082" width="13.21875" style="1126" customWidth="1"/>
    <col min="14083" max="14083" width="15.6640625" style="1126" customWidth="1"/>
    <col min="14084" max="14084" width="9.33203125" style="1126" customWidth="1"/>
    <col min="14085" max="14085" width="13.44140625" style="1126" customWidth="1"/>
    <col min="14086" max="14086" width="9" style="1126"/>
    <col min="14087" max="14087" width="9.33203125" style="1126" customWidth="1"/>
    <col min="14088" max="14089" width="9" style="1126"/>
    <col min="14090" max="14090" width="9.33203125" style="1126" customWidth="1"/>
    <col min="14091" max="14091" width="4" style="1126" customWidth="1"/>
    <col min="14092" max="14092" width="5.109375" style="1126" customWidth="1"/>
    <col min="14093" max="14093" width="13.77734375" style="1126" customWidth="1"/>
    <col min="14094" max="14336" width="9" style="1126"/>
    <col min="14337" max="14337" width="4.88671875" style="1126" customWidth="1"/>
    <col min="14338" max="14338" width="13.21875" style="1126" customWidth="1"/>
    <col min="14339" max="14339" width="15.6640625" style="1126" customWidth="1"/>
    <col min="14340" max="14340" width="9.33203125" style="1126" customWidth="1"/>
    <col min="14341" max="14341" width="13.44140625" style="1126" customWidth="1"/>
    <col min="14342" max="14342" width="9" style="1126"/>
    <col min="14343" max="14343" width="9.33203125" style="1126" customWidth="1"/>
    <col min="14344" max="14345" width="9" style="1126"/>
    <col min="14346" max="14346" width="9.33203125" style="1126" customWidth="1"/>
    <col min="14347" max="14347" width="4" style="1126" customWidth="1"/>
    <col min="14348" max="14348" width="5.109375" style="1126" customWidth="1"/>
    <col min="14349" max="14349" width="13.77734375" style="1126" customWidth="1"/>
    <col min="14350" max="14592" width="9" style="1126"/>
    <col min="14593" max="14593" width="4.88671875" style="1126" customWidth="1"/>
    <col min="14594" max="14594" width="13.21875" style="1126" customWidth="1"/>
    <col min="14595" max="14595" width="15.6640625" style="1126" customWidth="1"/>
    <col min="14596" max="14596" width="9.33203125" style="1126" customWidth="1"/>
    <col min="14597" max="14597" width="13.44140625" style="1126" customWidth="1"/>
    <col min="14598" max="14598" width="9" style="1126"/>
    <col min="14599" max="14599" width="9.33203125" style="1126" customWidth="1"/>
    <col min="14600" max="14601" width="9" style="1126"/>
    <col min="14602" max="14602" width="9.33203125" style="1126" customWidth="1"/>
    <col min="14603" max="14603" width="4" style="1126" customWidth="1"/>
    <col min="14604" max="14604" width="5.109375" style="1126" customWidth="1"/>
    <col min="14605" max="14605" width="13.77734375" style="1126" customWidth="1"/>
    <col min="14606" max="14848" width="9" style="1126"/>
    <col min="14849" max="14849" width="4.88671875" style="1126" customWidth="1"/>
    <col min="14850" max="14850" width="13.21875" style="1126" customWidth="1"/>
    <col min="14851" max="14851" width="15.6640625" style="1126" customWidth="1"/>
    <col min="14852" max="14852" width="9.33203125" style="1126" customWidth="1"/>
    <col min="14853" max="14853" width="13.44140625" style="1126" customWidth="1"/>
    <col min="14854" max="14854" width="9" style="1126"/>
    <col min="14855" max="14855" width="9.33203125" style="1126" customWidth="1"/>
    <col min="14856" max="14857" width="9" style="1126"/>
    <col min="14858" max="14858" width="9.33203125" style="1126" customWidth="1"/>
    <col min="14859" max="14859" width="4" style="1126" customWidth="1"/>
    <col min="14860" max="14860" width="5.109375" style="1126" customWidth="1"/>
    <col min="14861" max="14861" width="13.77734375" style="1126" customWidth="1"/>
    <col min="14862" max="15104" width="9" style="1126"/>
    <col min="15105" max="15105" width="4.88671875" style="1126" customWidth="1"/>
    <col min="15106" max="15106" width="13.21875" style="1126" customWidth="1"/>
    <col min="15107" max="15107" width="15.6640625" style="1126" customWidth="1"/>
    <col min="15108" max="15108" width="9.33203125" style="1126" customWidth="1"/>
    <col min="15109" max="15109" width="13.44140625" style="1126" customWidth="1"/>
    <col min="15110" max="15110" width="9" style="1126"/>
    <col min="15111" max="15111" width="9.33203125" style="1126" customWidth="1"/>
    <col min="15112" max="15113" width="9" style="1126"/>
    <col min="15114" max="15114" width="9.33203125" style="1126" customWidth="1"/>
    <col min="15115" max="15115" width="4" style="1126" customWidth="1"/>
    <col min="15116" max="15116" width="5.109375" style="1126" customWidth="1"/>
    <col min="15117" max="15117" width="13.77734375" style="1126" customWidth="1"/>
    <col min="15118" max="15360" width="9" style="1126"/>
    <col min="15361" max="15361" width="4.88671875" style="1126" customWidth="1"/>
    <col min="15362" max="15362" width="13.21875" style="1126" customWidth="1"/>
    <col min="15363" max="15363" width="15.6640625" style="1126" customWidth="1"/>
    <col min="15364" max="15364" width="9.33203125" style="1126" customWidth="1"/>
    <col min="15365" max="15365" width="13.44140625" style="1126" customWidth="1"/>
    <col min="15366" max="15366" width="9" style="1126"/>
    <col min="15367" max="15367" width="9.33203125" style="1126" customWidth="1"/>
    <col min="15368" max="15369" width="9" style="1126"/>
    <col min="15370" max="15370" width="9.33203125" style="1126" customWidth="1"/>
    <col min="15371" max="15371" width="4" style="1126" customWidth="1"/>
    <col min="15372" max="15372" width="5.109375" style="1126" customWidth="1"/>
    <col min="15373" max="15373" width="13.77734375" style="1126" customWidth="1"/>
    <col min="15374" max="15616" width="9" style="1126"/>
    <col min="15617" max="15617" width="4.88671875" style="1126" customWidth="1"/>
    <col min="15618" max="15618" width="13.21875" style="1126" customWidth="1"/>
    <col min="15619" max="15619" width="15.6640625" style="1126" customWidth="1"/>
    <col min="15620" max="15620" width="9.33203125" style="1126" customWidth="1"/>
    <col min="15621" max="15621" width="13.44140625" style="1126" customWidth="1"/>
    <col min="15622" max="15622" width="9" style="1126"/>
    <col min="15623" max="15623" width="9.33203125" style="1126" customWidth="1"/>
    <col min="15624" max="15625" width="9" style="1126"/>
    <col min="15626" max="15626" width="9.33203125" style="1126" customWidth="1"/>
    <col min="15627" max="15627" width="4" style="1126" customWidth="1"/>
    <col min="15628" max="15628" width="5.109375" style="1126" customWidth="1"/>
    <col min="15629" max="15629" width="13.77734375" style="1126" customWidth="1"/>
    <col min="15630" max="15872" width="9" style="1126"/>
    <col min="15873" max="15873" width="4.88671875" style="1126" customWidth="1"/>
    <col min="15874" max="15874" width="13.21875" style="1126" customWidth="1"/>
    <col min="15875" max="15875" width="15.6640625" style="1126" customWidth="1"/>
    <col min="15876" max="15876" width="9.33203125" style="1126" customWidth="1"/>
    <col min="15877" max="15877" width="13.44140625" style="1126" customWidth="1"/>
    <col min="15878" max="15878" width="9" style="1126"/>
    <col min="15879" max="15879" width="9.33203125" style="1126" customWidth="1"/>
    <col min="15880" max="15881" width="9" style="1126"/>
    <col min="15882" max="15882" width="9.33203125" style="1126" customWidth="1"/>
    <col min="15883" max="15883" width="4" style="1126" customWidth="1"/>
    <col min="15884" max="15884" width="5.109375" style="1126" customWidth="1"/>
    <col min="15885" max="15885" width="13.77734375" style="1126" customWidth="1"/>
    <col min="15886" max="16128" width="9" style="1126"/>
    <col min="16129" max="16129" width="4.88671875" style="1126" customWidth="1"/>
    <col min="16130" max="16130" width="13.21875" style="1126" customWidth="1"/>
    <col min="16131" max="16131" width="15.6640625" style="1126" customWidth="1"/>
    <col min="16132" max="16132" width="9.33203125" style="1126" customWidth="1"/>
    <col min="16133" max="16133" width="13.44140625" style="1126" customWidth="1"/>
    <col min="16134" max="16134" width="9" style="1126"/>
    <col min="16135" max="16135" width="9.33203125" style="1126" customWidth="1"/>
    <col min="16136" max="16137" width="9" style="1126"/>
    <col min="16138" max="16138" width="9.33203125" style="1126" customWidth="1"/>
    <col min="16139" max="16139" width="4" style="1126" customWidth="1"/>
    <col min="16140" max="16140" width="5.109375" style="1126" customWidth="1"/>
    <col min="16141" max="16141" width="13.77734375" style="1126" customWidth="1"/>
    <col min="16142" max="16384" width="9" style="1126"/>
  </cols>
  <sheetData>
    <row r="1" spans="1:257" s="1122" customFormat="1">
      <c r="A1" s="1127"/>
      <c r="B1" s="1128" t="s">
        <v>2652</v>
      </c>
      <c r="C1" s="1129">
        <f>项目基本情况!D3</f>
        <v>44904</v>
      </c>
      <c r="D1" s="1128" t="s">
        <v>2653</v>
      </c>
      <c r="E1" s="1130">
        <f>'数据-取费表'!B22</f>
        <v>3</v>
      </c>
      <c r="F1" s="1128" t="s">
        <v>2654</v>
      </c>
      <c r="G1" s="1131">
        <f ca="1">INDIRECT("d"&amp;$K$1)/100</f>
        <v>3.7000000000000005E-2</v>
      </c>
      <c r="H1" s="1128" t="s">
        <v>2655</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2654</v>
      </c>
      <c r="E2" s="1132"/>
      <c r="F2" s="1132" t="s">
        <v>2656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2657</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2658</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2659</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2660</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2661</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0.399999999999999">
      <c r="A9" s="1152"/>
      <c r="B9" s="1153" t="s">
        <v>2662</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2.2">
      <c r="A10" s="1156"/>
      <c r="B10" s="1157" t="s">
        <v>2663</v>
      </c>
      <c r="C10" s="1156"/>
      <c r="D10" s="1156"/>
      <c r="E10" s="1156"/>
      <c r="F10" s="1156"/>
      <c r="G10" s="1156"/>
      <c r="H10" s="1156"/>
      <c r="I10" s="1124"/>
      <c r="J10" s="1124"/>
      <c r="K10" s="1156"/>
      <c r="L10" s="1157" t="s">
        <v>2664</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2665</v>
      </c>
      <c r="C11" s="1160" t="s">
        <v>2666</v>
      </c>
      <c r="D11" s="1161" t="s">
        <v>2667</v>
      </c>
      <c r="E11" s="1162"/>
      <c r="F11" s="1161" t="s">
        <v>2668</v>
      </c>
      <c r="G11" s="1163"/>
      <c r="H11" s="1162"/>
      <c r="I11" s="1161" t="s">
        <v>2669</v>
      </c>
      <c r="J11" s="1162"/>
      <c r="K11" s="1158"/>
      <c r="L11" s="1159" t="s">
        <v>2665</v>
      </c>
      <c r="M11" s="1160" t="s">
        <v>2666</v>
      </c>
      <c r="N11" s="1159" t="s">
        <v>2670</v>
      </c>
      <c r="O11" s="1161" t="s">
        <v>2671</v>
      </c>
      <c r="P11" s="1163"/>
      <c r="Q11" s="1163"/>
      <c r="R11" s="1163"/>
      <c r="S11" s="1163"/>
      <c r="T11" s="1162"/>
      <c r="U11" s="1161" t="s">
        <v>2672</v>
      </c>
      <c r="V11" s="1163"/>
      <c r="W11" s="1162"/>
      <c r="X11" s="1159" t="s">
        <v>2673</v>
      </c>
      <c r="Y11" s="1159" t="s">
        <v>2674</v>
      </c>
      <c r="Z11" s="1159" t="s">
        <v>2675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2676</v>
      </c>
      <c r="E12" s="1166" t="s">
        <v>2658</v>
      </c>
      <c r="F12" s="1166" t="s">
        <v>2659</v>
      </c>
      <c r="G12" s="1166" t="s">
        <v>2660</v>
      </c>
      <c r="H12" s="1166" t="s">
        <v>2661</v>
      </c>
      <c r="I12" s="1180" t="s">
        <v>2677</v>
      </c>
      <c r="J12" s="1180" t="s">
        <v>2677</v>
      </c>
      <c r="K12" s="1158"/>
      <c r="L12" s="1164"/>
      <c r="M12" s="1165"/>
      <c r="N12" s="1164"/>
      <c r="O12" s="1180" t="s">
        <v>2678</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1.2">
      <c r="A13" s="1167"/>
      <c r="B13" s="1168" t="s">
        <v>2679</v>
      </c>
      <c r="C13" s="1169">
        <v>44581</v>
      </c>
      <c r="D13" s="1170">
        <v>3.7</v>
      </c>
      <c r="E13" s="1170">
        <f>D13</f>
        <v>3.7</v>
      </c>
      <c r="F13" s="1170">
        <f>D13</f>
        <v>3.7</v>
      </c>
      <c r="G13" s="1170">
        <f>D13</f>
        <v>3.7</v>
      </c>
      <c r="H13" s="1170">
        <v>4.5999999999999996</v>
      </c>
      <c r="I13" s="1170"/>
      <c r="J13" s="1170"/>
      <c r="K13" s="1167"/>
      <c r="L13" s="1168" t="s">
        <v>2679</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5.6">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5.6">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5.6">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5.6">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6.8">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5.6">
      <c r="A19" s="1167"/>
      <c r="B19" s="1168" t="s">
        <v>2680</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6">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2681</v>
      </c>
      <c r="Y42" s="1171" t="s">
        <v>2681</v>
      </c>
      <c r="Z42" s="1171" t="s">
        <v>2681</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2681</v>
      </c>
      <c r="Y43" s="1171" t="s">
        <v>2681</v>
      </c>
      <c r="Z43" s="1171" t="s">
        <v>2681</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2681</v>
      </c>
      <c r="Y44" s="1171" t="s">
        <v>2681</v>
      </c>
      <c r="Z44" s="1171" t="s">
        <v>2681</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2681</v>
      </c>
      <c r="Y45" s="1171" t="s">
        <v>2681</v>
      </c>
      <c r="Z45" s="1171" t="s">
        <v>2681</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2681</v>
      </c>
      <c r="Y46" s="1171" t="s">
        <v>2681</v>
      </c>
      <c r="Z46" s="1171" t="s">
        <v>2681</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2681</v>
      </c>
      <c r="Y47" s="1171" t="s">
        <v>2681</v>
      </c>
      <c r="Z47" s="1171" t="s">
        <v>2681</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2681</v>
      </c>
      <c r="Y48" s="1171" t="s">
        <v>2681</v>
      </c>
      <c r="Z48" s="1171" t="s">
        <v>2681</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2681</v>
      </c>
      <c r="Y49" s="1171" t="s">
        <v>2681</v>
      </c>
      <c r="Z49" s="1171" t="s">
        <v>2681</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2681</v>
      </c>
      <c r="Y50" s="1171" t="s">
        <v>2681</v>
      </c>
      <c r="Z50" s="1171" t="s">
        <v>2681</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2681</v>
      </c>
      <c r="V51" s="1171" t="s">
        <v>2681</v>
      </c>
      <c r="W51" s="1171" t="s">
        <v>2681</v>
      </c>
      <c r="X51" s="1171" t="s">
        <v>2681</v>
      </c>
      <c r="Y51" s="1171" t="s">
        <v>2681</v>
      </c>
      <c r="Z51" s="1171" t="s">
        <v>2681</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2681</v>
      </c>
      <c r="J62" s="1171" t="s">
        <v>2681</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109" t="s">
        <v>2682</v>
      </c>
      <c r="E1" s="1110" t="s">
        <v>2683</v>
      </c>
      <c r="F1" s="1111" t="s">
        <v>2684</v>
      </c>
    </row>
    <row r="2" spans="1:13" ht="19.8">
      <c r="A2" s="1112" t="s">
        <v>2685</v>
      </c>
    </row>
    <row r="3" spans="1:13" ht="15.6">
      <c r="A3" s="1113" t="s">
        <v>2686</v>
      </c>
    </row>
    <row r="4" spans="1:13">
      <c r="A4" s="1114" t="s">
        <v>1915</v>
      </c>
      <c r="B4" s="1115" t="s">
        <v>1277</v>
      </c>
      <c r="C4" s="1116"/>
      <c r="D4" s="1117"/>
      <c r="E4" s="1115" t="s">
        <v>447</v>
      </c>
      <c r="F4" s="1116"/>
      <c r="G4" s="1117"/>
      <c r="H4" s="1115" t="s">
        <v>1947</v>
      </c>
      <c r="I4" s="1116"/>
      <c r="J4" s="1117"/>
      <c r="K4" s="1115" t="s">
        <v>1716</v>
      </c>
      <c r="L4" s="1116"/>
      <c r="M4" s="1117"/>
    </row>
    <row r="5" spans="1:13">
      <c r="A5" s="1118" t="s">
        <v>210</v>
      </c>
      <c r="B5" s="1114" t="s">
        <v>2687</v>
      </c>
      <c r="C5" s="1114" t="s">
        <v>2688</v>
      </c>
      <c r="D5" s="1114" t="s">
        <v>2689</v>
      </c>
      <c r="E5" s="1114" t="s">
        <v>2687</v>
      </c>
      <c r="F5" s="1114" t="s">
        <v>2688</v>
      </c>
      <c r="G5" s="1114" t="s">
        <v>2689</v>
      </c>
      <c r="H5" s="1114" t="s">
        <v>2687</v>
      </c>
      <c r="I5" s="1114" t="s">
        <v>2688</v>
      </c>
      <c r="J5" s="1114" t="s">
        <v>2689</v>
      </c>
      <c r="K5" s="1114" t="s">
        <v>2687</v>
      </c>
      <c r="L5" s="1114" t="s">
        <v>2688</v>
      </c>
      <c r="M5" s="1114" t="s">
        <v>2689</v>
      </c>
    </row>
    <row r="6" spans="1:13">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4" sqref="J4"/>
    </sheetView>
  </sheetViews>
  <sheetFormatPr defaultColWidth="12.6640625" defaultRowHeight="21.75" customHeight="1"/>
  <cols>
    <col min="1" max="2" width="12.6640625" style="714"/>
    <col min="3" max="4" width="12.6640625" style="714" customWidth="1"/>
    <col min="5" max="9" width="12.6640625" style="714"/>
    <col min="10" max="11" width="12.6640625" style="712" customWidth="1"/>
    <col min="12" max="12" width="12.6640625" style="712"/>
    <col min="13" max="13" width="14.109375" style="712" customWidth="1"/>
    <col min="14" max="26" width="12.6640625" style="712"/>
    <col min="27" max="35" width="12.6640625" style="713"/>
    <col min="36" max="16384" width="12.6640625" style="714"/>
  </cols>
  <sheetData>
    <row r="1" spans="1:12" ht="21.75" customHeight="1">
      <c r="A1" s="715" t="s">
        <v>836</v>
      </c>
      <c r="B1" s="315"/>
      <c r="C1" s="716" t="s">
        <v>450</v>
      </c>
      <c r="D1" s="315"/>
      <c r="E1" s="315"/>
      <c r="F1" s="717" t="s">
        <v>837</v>
      </c>
      <c r="G1" s="718" t="s">
        <v>397</v>
      </c>
      <c r="H1" s="717" t="str">
        <f>IF(G1="现房","——","估价对象范围")</f>
        <v>——</v>
      </c>
      <c r="I1" s="856" t="s">
        <v>838</v>
      </c>
    </row>
    <row r="2" spans="1:12" ht="21.75" customHeight="1">
      <c r="A2" s="3095" t="str">
        <f>项目基本情况!S2</f>
        <v>北京市朝阳区建国门外大街甲6号1幢房地产</v>
      </c>
      <c r="B2" s="3096"/>
      <c r="C2" s="3096"/>
      <c r="D2" s="3096"/>
      <c r="E2" s="3096"/>
      <c r="F2" s="3096"/>
      <c r="G2" s="3096"/>
      <c r="H2" s="3096"/>
      <c r="I2" s="3097"/>
    </row>
    <row r="3" spans="1:12" ht="13.2">
      <c r="A3" s="3098" t="s">
        <v>839</v>
      </c>
      <c r="B3" s="3099"/>
      <c r="C3" s="3099"/>
      <c r="D3" s="3099"/>
      <c r="E3" s="3099"/>
      <c r="F3" s="3099"/>
      <c r="G3" s="3099"/>
      <c r="H3" s="3099"/>
      <c r="I3" s="3099"/>
    </row>
    <row r="4" spans="1:12" ht="14.4">
      <c r="A4" s="719" t="s">
        <v>840</v>
      </c>
      <c r="B4" s="720" t="s">
        <v>841</v>
      </c>
      <c r="C4" s="721" t="s">
        <v>305</v>
      </c>
      <c r="D4" s="721" t="s">
        <v>309</v>
      </c>
      <c r="E4" s="3100" t="s">
        <v>843</v>
      </c>
      <c r="F4" s="3101"/>
      <c r="G4" s="3101"/>
      <c r="H4" s="3101"/>
      <c r="I4" s="3102"/>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3.2">
      <c r="A5" s="3145" t="s">
        <v>844</v>
      </c>
      <c r="B5" s="3186">
        <v>25</v>
      </c>
      <c r="C5" s="3115"/>
      <c r="D5" s="3114"/>
      <c r="E5" s="208" t="s">
        <v>845</v>
      </c>
      <c r="F5" s="726"/>
      <c r="G5" s="726"/>
      <c r="H5" s="726"/>
      <c r="I5" s="287"/>
    </row>
    <row r="6" spans="1:12" ht="13.2">
      <c r="A6" s="3145"/>
      <c r="B6" s="3186"/>
      <c r="C6" s="3116"/>
      <c r="D6" s="3114"/>
      <c r="E6" s="208" t="s">
        <v>846</v>
      </c>
      <c r="F6" s="726"/>
      <c r="G6" s="726"/>
      <c r="H6" s="726"/>
      <c r="I6" s="287"/>
    </row>
    <row r="7" spans="1:12" ht="13.2">
      <c r="A7" s="3145"/>
      <c r="B7" s="3186"/>
      <c r="C7" s="3117"/>
      <c r="D7" s="3114"/>
      <c r="E7" s="208" t="s">
        <v>847</v>
      </c>
      <c r="F7" s="726"/>
      <c r="G7" s="726"/>
      <c r="H7" s="726"/>
      <c r="I7" s="287"/>
    </row>
    <row r="8" spans="1:12" ht="13.2">
      <c r="A8" s="3145" t="s">
        <v>848</v>
      </c>
      <c r="B8" s="3186">
        <v>15</v>
      </c>
      <c r="C8" s="3115"/>
      <c r="D8" s="3114"/>
      <c r="E8" s="208" t="s">
        <v>849</v>
      </c>
      <c r="F8" s="726"/>
      <c r="G8" s="726"/>
      <c r="H8" s="726"/>
      <c r="I8" s="287"/>
    </row>
    <row r="9" spans="1:12" ht="13.2">
      <c r="A9" s="3145"/>
      <c r="B9" s="3186"/>
      <c r="C9" s="3117"/>
      <c r="D9" s="3114"/>
      <c r="E9" s="208" t="s">
        <v>850</v>
      </c>
      <c r="F9" s="726"/>
      <c r="G9" s="726"/>
      <c r="H9" s="726"/>
      <c r="I9" s="287"/>
    </row>
    <row r="10" spans="1:12" ht="13.2">
      <c r="A10" s="3145" t="s">
        <v>851</v>
      </c>
      <c r="B10" s="3186">
        <v>15</v>
      </c>
      <c r="C10" s="3115"/>
      <c r="D10" s="3114"/>
      <c r="E10" s="208" t="s">
        <v>852</v>
      </c>
      <c r="F10" s="726"/>
      <c r="G10" s="726"/>
      <c r="H10" s="726"/>
      <c r="I10" s="287"/>
    </row>
    <row r="11" spans="1:12" ht="13.2">
      <c r="A11" s="3145"/>
      <c r="B11" s="3186"/>
      <c r="C11" s="3117"/>
      <c r="D11" s="3114"/>
      <c r="E11" s="208" t="s">
        <v>853</v>
      </c>
      <c r="F11" s="726"/>
      <c r="G11" s="726"/>
      <c r="H11" s="726"/>
      <c r="I11" s="287"/>
    </row>
    <row r="12" spans="1:12" ht="13.2">
      <c r="A12" s="3145" t="s">
        <v>854</v>
      </c>
      <c r="B12" s="3186">
        <v>15</v>
      </c>
      <c r="C12" s="3115"/>
      <c r="D12" s="3114"/>
      <c r="E12" s="208" t="s">
        <v>855</v>
      </c>
      <c r="F12" s="726"/>
      <c r="G12" s="726"/>
      <c r="H12" s="726"/>
      <c r="I12" s="287"/>
    </row>
    <row r="13" spans="1:12" ht="13.2">
      <c r="A13" s="3145"/>
      <c r="B13" s="3186"/>
      <c r="C13" s="3117"/>
      <c r="D13" s="3114"/>
      <c r="E13" s="208" t="s">
        <v>856</v>
      </c>
      <c r="F13" s="726"/>
      <c r="G13" s="726"/>
      <c r="H13" s="726"/>
      <c r="I13" s="287"/>
    </row>
    <row r="14" spans="1:12" ht="13.2">
      <c r="A14" s="3145" t="s">
        <v>857</v>
      </c>
      <c r="B14" s="3186">
        <v>30</v>
      </c>
      <c r="C14" s="3115">
        <v>5</v>
      </c>
      <c r="D14" s="3114">
        <v>5</v>
      </c>
      <c r="E14" s="208" t="s">
        <v>858</v>
      </c>
      <c r="F14" s="726"/>
      <c r="G14" s="726"/>
      <c r="H14" s="726"/>
      <c r="I14" s="287"/>
    </row>
    <row r="15" spans="1:12" ht="13.2">
      <c r="A15" s="3145"/>
      <c r="B15" s="3186"/>
      <c r="C15" s="3116"/>
      <c r="D15" s="3114"/>
      <c r="E15" s="208" t="s">
        <v>859</v>
      </c>
      <c r="F15" s="726"/>
      <c r="G15" s="726"/>
      <c r="H15" s="726"/>
      <c r="I15" s="287"/>
    </row>
    <row r="16" spans="1:12" ht="13.2">
      <c r="A16" s="3145"/>
      <c r="B16" s="3186"/>
      <c r="C16" s="3117"/>
      <c r="D16" s="3114"/>
      <c r="E16" s="208" t="s">
        <v>860</v>
      </c>
      <c r="F16" s="726"/>
      <c r="G16" s="726"/>
      <c r="H16" s="726"/>
      <c r="I16" s="287"/>
    </row>
    <row r="17" spans="1:36" ht="14.4">
      <c r="A17" s="727" t="s">
        <v>861</v>
      </c>
      <c r="B17" s="728"/>
      <c r="C17" s="729">
        <f>SUM(C5:C16)</f>
        <v>5</v>
      </c>
      <c r="D17" s="729">
        <f>SUM(D5:D16)</f>
        <v>5</v>
      </c>
      <c r="E17" s="246"/>
      <c r="F17" s="246"/>
      <c r="G17" s="246"/>
      <c r="H17" s="246"/>
      <c r="I17" s="246"/>
      <c r="K17" s="165"/>
      <c r="L17" s="165" t="s">
        <v>862</v>
      </c>
      <c r="M17" s="165" t="s">
        <v>863</v>
      </c>
    </row>
    <row r="18" spans="1:36" ht="31.95" customHeight="1">
      <c r="A18" s="730" t="s">
        <v>864</v>
      </c>
      <c r="B18" s="731"/>
      <c r="C18" s="732">
        <f>ROUND(C17/SUM(C17:D17),2)</f>
        <v>0.5</v>
      </c>
      <c r="D18" s="732">
        <f>1-C18</f>
        <v>0.5</v>
      </c>
      <c r="E18" s="3103" t="s">
        <v>865</v>
      </c>
      <c r="F18" s="3104"/>
      <c r="G18" s="3104"/>
      <c r="H18" s="3104"/>
      <c r="I18" s="3104"/>
      <c r="K18" s="165" t="s">
        <v>366</v>
      </c>
      <c r="L18" s="165">
        <f>IF(C1="",'数据-汇总表'!E3,SUMIF(项目类型,C1,'数据-汇总表'!E17:E26)+SUMIF(项目类型,C1,'数据-汇总表'!I17:I26))</f>
        <v>0</v>
      </c>
      <c r="M18" s="165">
        <f>IF(C1="",'数据-汇总表'!E3,SUMIF(项目类型,C1,'数据-汇总表'!E17:E26))</f>
        <v>0</v>
      </c>
    </row>
    <row r="19" spans="1:36" ht="14.4">
      <c r="A19" s="733" t="s">
        <v>866</v>
      </c>
      <c r="B19" s="734" t="s">
        <v>867</v>
      </c>
      <c r="C19" s="735">
        <f ca="1">SUMIF(INDIRECT("'"&amp;C4&amp;"'"&amp;"!A:A"),结果表下!B19,INDIRECT("'"&amp;C4&amp;"'"&amp;"!B:B"))</f>
        <v>36235</v>
      </c>
      <c r="D19" s="736" t="e">
        <f ca="1">SUMIF(INDIRECT("'"&amp;D4&amp;"'"&amp;"!A:A"),结果表下!B19,INDIRECT("'"&amp;D4&amp;"'"&amp;"!B:B"))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4">
      <c r="A20" s="739"/>
      <c r="B20" s="740" t="s">
        <v>870</v>
      </c>
      <c r="C20" s="741">
        <f ca="1">SUMIF(INDIRECT("'"&amp;C4&amp;"'"&amp;"!A:A"),结果表下!B20,INDIRECT("'"&amp;C4&amp;"'"&amp;"!B:B"))</f>
        <v>38879</v>
      </c>
      <c r="D20" s="742">
        <f ca="1">SUMIF(INDIRECT("'"&amp;D4&amp;"'"&amp;"!A:A"),结果表下!B20,INDIRECT("'"&amp;D4&amp;"'"&amp;"!B:B"))</f>
        <v>0</v>
      </c>
      <c r="E20" s="739"/>
      <c r="F20" s="740" t="s">
        <v>870</v>
      </c>
      <c r="G20" s="743">
        <f ca="1">ROUND(C20*$C$18+D20*$D$18,0)</f>
        <v>19440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4">
      <c r="A22" s="749" t="s">
        <v>873</v>
      </c>
      <c r="B22" s="750"/>
      <c r="C22" s="751"/>
      <c r="D22" s="752" t="e">
        <f ca="1">IF(C19&lt;D19,D19/C19-1,C19/D19-1)</f>
        <v>#N/A</v>
      </c>
      <c r="E22" s="246"/>
      <c r="F22" s="246"/>
      <c r="G22" s="246"/>
      <c r="H22" s="246"/>
      <c r="I22" s="246"/>
    </row>
    <row r="23" spans="1:36" ht="13.2">
      <c r="A23" s="315"/>
      <c r="B23" s="315"/>
      <c r="C23" s="315"/>
      <c r="D23" s="315"/>
      <c r="E23" s="246"/>
      <c r="F23" s="246"/>
      <c r="G23" s="246"/>
      <c r="H23" s="246"/>
      <c r="I23" s="246"/>
    </row>
    <row r="24" spans="1:36" ht="14.4">
      <c r="A24" s="3179" t="s">
        <v>874</v>
      </c>
      <c r="B24" s="734" t="s">
        <v>867</v>
      </c>
      <c r="C24" s="737">
        <f>IF(B30=0,0,D30)</f>
        <v>0</v>
      </c>
      <c r="D24" s="753"/>
      <c r="E24" s="246"/>
      <c r="F24" s="246"/>
      <c r="G24" s="246"/>
      <c r="H24" s="246"/>
      <c r="I24" s="246"/>
    </row>
    <row r="25" spans="1:36" ht="14.4">
      <c r="A25" s="3180"/>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3.8">
      <c r="A27" s="756"/>
      <c r="B27" s="757">
        <v>0</v>
      </c>
      <c r="C27" s="757">
        <v>0</v>
      </c>
      <c r="D27" s="758">
        <f>ROUND(C27*B27/10000,0)</f>
        <v>0</v>
      </c>
      <c r="E27" s="246"/>
      <c r="F27" s="246"/>
      <c r="G27" s="246"/>
      <c r="H27" s="246"/>
      <c r="I27" s="246"/>
    </row>
    <row r="28" spans="1:36" ht="13.8">
      <c r="A28" s="756"/>
      <c r="B28" s="757"/>
      <c r="C28" s="757"/>
      <c r="D28" s="758"/>
      <c r="E28" s="246"/>
      <c r="F28" s="246"/>
      <c r="G28" s="246"/>
      <c r="H28" s="246"/>
      <c r="I28" s="246"/>
    </row>
    <row r="29" spans="1:36" ht="13.8">
      <c r="A29" s="756"/>
      <c r="B29" s="757"/>
      <c r="C29" s="757"/>
      <c r="D29" s="758"/>
      <c r="E29" s="246"/>
      <c r="F29" s="246"/>
      <c r="G29" s="246"/>
      <c r="H29" s="246"/>
      <c r="I29" s="246"/>
    </row>
    <row r="30" spans="1:36" ht="14.4">
      <c r="A30" s="757" t="s">
        <v>879</v>
      </c>
      <c r="B30" s="757"/>
      <c r="C30" s="757"/>
      <c r="D30" s="757"/>
      <c r="E30" s="759" t="s">
        <v>880</v>
      </c>
      <c r="F30" s="246"/>
      <c r="G30" s="246"/>
      <c r="H30" s="246"/>
      <c r="I30" s="246"/>
    </row>
    <row r="31" spans="1:36" s="709" customFormat="1" ht="26.5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4">
      <c r="A32" s="762" t="s">
        <v>882</v>
      </c>
      <c r="B32" s="763"/>
      <c r="C32" s="764" t="e">
        <f ca="1">IF(D32="总价",G19-C24,G20-C25)</f>
        <v>#N/A</v>
      </c>
      <c r="D32" s="765" t="s">
        <v>883</v>
      </c>
      <c r="E32" s="246"/>
      <c r="F32" s="246"/>
      <c r="G32" s="246"/>
      <c r="H32" s="246"/>
      <c r="I32" s="246"/>
    </row>
    <row r="33" spans="1:15" ht="14.4">
      <c r="A33" s="766" t="s">
        <v>884</v>
      </c>
      <c r="B33" s="208"/>
      <c r="C33" s="767" t="s">
        <v>885</v>
      </c>
      <c r="D33" s="768" t="s">
        <v>886</v>
      </c>
      <c r="E33" s="769" t="s">
        <v>887</v>
      </c>
      <c r="F33" s="770" t="str">
        <f>IF(D32="楼面单价","取值（单价）","取值（总价）")</f>
        <v>取值（总价）</v>
      </c>
      <c r="G33" s="246"/>
      <c r="H33" s="246"/>
      <c r="I33" s="246"/>
    </row>
    <row r="34" spans="1:15" ht="14.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4">
      <c r="A36" s="3181" t="s">
        <v>892</v>
      </c>
      <c r="B36" s="783" t="s">
        <v>893</v>
      </c>
      <c r="C36" s="784"/>
      <c r="D36" s="785"/>
      <c r="E36" s="786"/>
      <c r="F36" s="787"/>
      <c r="G36" s="246"/>
      <c r="H36" s="246"/>
      <c r="I36" s="246"/>
    </row>
    <row r="37" spans="1:15" ht="14.4">
      <c r="A37" s="3182"/>
      <c r="B37" s="788" t="s">
        <v>894</v>
      </c>
      <c r="C37" s="789"/>
      <c r="D37" s="790"/>
      <c r="E37" s="790"/>
      <c r="F37" s="787"/>
      <c r="G37" s="246"/>
      <c r="H37" s="246"/>
      <c r="I37" s="246"/>
    </row>
    <row r="38" spans="1:15" ht="14.4">
      <c r="A38" s="3183"/>
      <c r="B38" s="791" t="s">
        <v>895</v>
      </c>
      <c r="C38" s="792"/>
      <c r="D38" s="793" t="s">
        <v>896</v>
      </c>
      <c r="E38" s="790"/>
      <c r="F38" s="787"/>
      <c r="G38" s="246"/>
      <c r="H38" s="246"/>
      <c r="I38" s="246"/>
    </row>
    <row r="39" spans="1:15" ht="14.4">
      <c r="A39" s="739" t="s">
        <v>897</v>
      </c>
      <c r="B39" s="794" t="s">
        <v>876</v>
      </c>
      <c r="C39" s="795" t="s">
        <v>877</v>
      </c>
      <c r="D39" s="795" t="s">
        <v>898</v>
      </c>
      <c r="E39" s="796" t="s">
        <v>878</v>
      </c>
      <c r="F39" s="787"/>
      <c r="G39" s="246"/>
      <c r="H39" s="246"/>
      <c r="I39" s="246"/>
    </row>
    <row r="40" spans="1:15" ht="13.8">
      <c r="A40" s="797" t="s">
        <v>899</v>
      </c>
      <c r="B40" s="798"/>
      <c r="C40" s="799"/>
      <c r="D40" s="799"/>
      <c r="E40" s="800"/>
      <c r="F40" s="787"/>
      <c r="G40" s="246"/>
      <c r="H40" s="246"/>
      <c r="I40" s="246"/>
    </row>
    <row r="41" spans="1:15" ht="13.8">
      <c r="A41" s="797" t="s">
        <v>900</v>
      </c>
      <c r="B41" s="798"/>
      <c r="C41" s="799"/>
      <c r="D41" s="799"/>
      <c r="E41" s="800"/>
      <c r="F41" s="787"/>
      <c r="G41" s="246"/>
      <c r="H41" s="246"/>
      <c r="I41" s="246"/>
    </row>
    <row r="42" spans="1:15" ht="13.8">
      <c r="A42" s="801"/>
      <c r="B42" s="802"/>
      <c r="C42" s="803"/>
      <c r="D42" s="803"/>
      <c r="E42" s="782"/>
      <c r="F42" s="787"/>
      <c r="G42" s="246"/>
      <c r="H42" s="246"/>
      <c r="I42" s="246"/>
    </row>
    <row r="43" spans="1:15" ht="13.2">
      <c r="A43" s="804"/>
      <c r="B43" s="804"/>
      <c r="C43" s="804"/>
      <c r="D43" s="804"/>
      <c r="E43" s="804"/>
      <c r="F43" s="805"/>
      <c r="G43" s="805"/>
      <c r="H43" s="805"/>
      <c r="I43" s="861"/>
    </row>
    <row r="44" spans="1:15" ht="17.399999999999999">
      <c r="A44" s="806" t="s">
        <v>901</v>
      </c>
      <c r="B44" s="807"/>
      <c r="C44" s="807"/>
      <c r="D44" s="808"/>
      <c r="E44" s="808"/>
      <c r="F44" s="809"/>
      <c r="G44" s="809"/>
      <c r="H44" s="809"/>
      <c r="I44" s="809"/>
      <c r="J44" s="862" t="s">
        <v>902</v>
      </c>
      <c r="K44" s="863"/>
      <c r="L44" s="863"/>
      <c r="M44" s="863"/>
      <c r="N44" s="863"/>
      <c r="O44" s="863"/>
    </row>
    <row r="45" spans="1:15" ht="14.25" customHeight="1">
      <c r="A45" s="3105" t="s">
        <v>903</v>
      </c>
      <c r="B45" s="3106"/>
      <c r="C45" s="3107"/>
      <c r="D45" s="164" t="e">
        <f ca="1">ROUND(H101*F45,0)</f>
        <v>#N/A</v>
      </c>
      <c r="E45" s="810" t="s">
        <v>904</v>
      </c>
      <c r="F45" s="811">
        <v>1</v>
      </c>
      <c r="G45" s="176" t="s">
        <v>905</v>
      </c>
      <c r="H45" s="246"/>
      <c r="I45" s="246"/>
      <c r="J45" s="3108" t="s">
        <v>906</v>
      </c>
      <c r="K45" s="3108"/>
      <c r="L45" s="3108"/>
      <c r="M45" s="3108"/>
      <c r="N45" s="3108"/>
      <c r="O45" s="3108"/>
    </row>
    <row r="46" spans="1:15" ht="14.25" customHeight="1">
      <c r="A46" s="3109" t="s">
        <v>907</v>
      </c>
      <c r="B46" s="3110"/>
      <c r="C46" s="3110"/>
      <c r="D46" s="3110"/>
      <c r="E46" s="3110"/>
      <c r="F46" s="3110"/>
      <c r="G46" s="3111"/>
      <c r="H46" s="812"/>
      <c r="I46" s="845"/>
      <c r="J46" s="864">
        <v>1</v>
      </c>
      <c r="K46" s="3112" t="s">
        <v>908</v>
      </c>
      <c r="L46" s="3112"/>
      <c r="M46" s="3113"/>
      <c r="N46" s="3113"/>
      <c r="O46" s="3113"/>
    </row>
    <row r="47" spans="1:15" ht="12" customHeight="1">
      <c r="A47" s="813" t="s">
        <v>909</v>
      </c>
      <c r="B47" s="814"/>
      <c r="C47" s="815"/>
      <c r="D47" s="219" t="s">
        <v>910</v>
      </c>
      <c r="E47" s="165" t="s">
        <v>911</v>
      </c>
      <c r="F47" s="816" t="s">
        <v>912</v>
      </c>
      <c r="G47" s="817" t="s">
        <v>913</v>
      </c>
      <c r="H47" s="818"/>
      <c r="I47" s="845"/>
      <c r="J47" s="864">
        <v>2</v>
      </c>
      <c r="K47" s="3112" t="s">
        <v>914</v>
      </c>
      <c r="L47" s="3112"/>
      <c r="M47" s="3118">
        <f>'数据-取费表'!B2</f>
        <v>44904</v>
      </c>
      <c r="N47" s="3118"/>
      <c r="O47" s="3118"/>
    </row>
    <row r="48" spans="1:15" ht="26.4">
      <c r="A48" s="3119" t="s">
        <v>915</v>
      </c>
      <c r="B48" s="3120"/>
      <c r="C48" s="312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2" t="s">
        <v>917</v>
      </c>
      <c r="L48" s="3112"/>
      <c r="M48" s="3121" t="e">
        <f ca="1">H101</f>
        <v>#N/A</v>
      </c>
      <c r="N48" s="3121"/>
      <c r="O48" s="3121"/>
    </row>
    <row r="49" spans="1:35" ht="25.5" customHeight="1">
      <c r="A49" s="819" t="s">
        <v>918</v>
      </c>
      <c r="B49" s="3122" t="s">
        <v>919</v>
      </c>
      <c r="C49" s="3122"/>
      <c r="D49" s="823">
        <v>0</v>
      </c>
      <c r="E49" s="229" t="s">
        <v>920</v>
      </c>
      <c r="F49" s="824" t="s">
        <v>124</v>
      </c>
      <c r="G49" s="3128"/>
      <c r="H49" s="825" t="s">
        <v>921</v>
      </c>
      <c r="I49" s="866"/>
      <c r="J49" s="864">
        <v>4</v>
      </c>
      <c r="K49" s="3112" t="str">
        <f>IF(项目基本情况!E8="房地产抵押价值","房地产抵押价值","抵押担保权已注销时的房地产抵押价值")</f>
        <v>房地产抵押价值</v>
      </c>
      <c r="L49" s="3112"/>
      <c r="M49" s="3121" t="e">
        <f ca="1">IF(项目基本情况!E8="房地产抵押价值",H107,H109)</f>
        <v>#N/A</v>
      </c>
      <c r="N49" s="3121"/>
      <c r="O49" s="3121"/>
    </row>
    <row r="50" spans="1:35" ht="25.5" customHeight="1">
      <c r="A50" s="826"/>
      <c r="B50" s="3122" t="s">
        <v>922</v>
      </c>
      <c r="C50" s="3122"/>
      <c r="D50" s="827"/>
      <c r="E50" s="244"/>
      <c r="F50" s="824"/>
      <c r="G50" s="3129"/>
      <c r="H50" s="828" t="s">
        <v>923</v>
      </c>
      <c r="I50" s="866"/>
      <c r="J50" s="3108" t="s">
        <v>924</v>
      </c>
      <c r="K50" s="3108"/>
      <c r="L50" s="3108"/>
      <c r="M50" s="3108"/>
      <c r="N50" s="3108"/>
      <c r="O50" s="3108"/>
    </row>
    <row r="51" spans="1:35" ht="20.55" customHeight="1">
      <c r="A51" s="829"/>
      <c r="B51" s="3122" t="s">
        <v>925</v>
      </c>
      <c r="C51" s="3122"/>
      <c r="D51" s="219"/>
      <c r="E51" s="233"/>
      <c r="F51" s="824"/>
      <c r="G51" s="3130"/>
      <c r="H51" s="828" t="s">
        <v>926</v>
      </c>
      <c r="I51" s="866"/>
      <c r="J51" s="865" t="s">
        <v>927</v>
      </c>
      <c r="K51" s="3112" t="s">
        <v>928</v>
      </c>
      <c r="L51" s="3112"/>
      <c r="M51" s="865" t="s">
        <v>929</v>
      </c>
      <c r="N51" s="865" t="s">
        <v>930</v>
      </c>
      <c r="O51" s="865" t="s">
        <v>931</v>
      </c>
    </row>
    <row r="52" spans="1:35" ht="24" customHeight="1">
      <c r="A52" s="830" t="s">
        <v>932</v>
      </c>
      <c r="B52" s="3122" t="s">
        <v>933</v>
      </c>
      <c r="C52" s="3122"/>
      <c r="D52" s="219" t="e">
        <f ca="1">ROUND(D45*'数据-取费表'!B41/(1+'数据-取费表'!C42),0)</f>
        <v>#N/A</v>
      </c>
      <c r="E52" s="223" t="s">
        <v>934</v>
      </c>
      <c r="F52" s="831">
        <f>'数据-取费表'!B41</f>
        <v>5.6000000000000001E-2</v>
      </c>
      <c r="G52" s="832"/>
      <c r="H52" s="336"/>
      <c r="I52" s="867"/>
      <c r="J52" s="864">
        <v>1</v>
      </c>
      <c r="K52" s="3124" t="s">
        <v>935</v>
      </c>
      <c r="L52" s="3124"/>
      <c r="M52" s="868" t="b">
        <f>D48</f>
        <v>0</v>
      </c>
      <c r="N52" s="864" t="str">
        <f>E48</f>
        <v>销售额×税（费）率</v>
      </c>
      <c r="O52" s="869">
        <f>F48</f>
        <v>5.6000000000000001E-2</v>
      </c>
    </row>
    <row r="53" spans="1:35" ht="12" customHeight="1">
      <c r="A53" s="830" t="s">
        <v>936</v>
      </c>
      <c r="B53" s="3125" t="s">
        <v>937</v>
      </c>
      <c r="C53" s="3126"/>
      <c r="D53" s="219" t="e">
        <f ca="1">ROUND(D45*'数据-取费表'!B41/(1+'数据-取费表'!C42),0)</f>
        <v>#N/A</v>
      </c>
      <c r="E53" s="223" t="s">
        <v>934</v>
      </c>
      <c r="F53" s="831">
        <f>'数据-取费表'!B41</f>
        <v>5.6000000000000001E-2</v>
      </c>
      <c r="G53" s="832"/>
      <c r="H53" s="336"/>
      <c r="I53" s="867"/>
      <c r="J53" s="864">
        <v>2</v>
      </c>
      <c r="K53" s="3124" t="s">
        <v>938</v>
      </c>
      <c r="L53" s="3124"/>
      <c r="M53" s="868" t="e">
        <f t="shared" ref="M53:O54" ca="1" si="0">D55</f>
        <v>#N/A</v>
      </c>
      <c r="N53" s="864" t="str">
        <f t="shared" si="0"/>
        <v>销售额×税（费）率</v>
      </c>
      <c r="O53" s="869" t="str">
        <f t="shared" si="0"/>
        <v>免征</v>
      </c>
    </row>
    <row r="54" spans="1:35" ht="12" customHeight="1">
      <c r="A54" s="830" t="s">
        <v>939</v>
      </c>
      <c r="B54" s="3125" t="s">
        <v>940</v>
      </c>
      <c r="C54" s="3126"/>
      <c r="D54" s="219" t="e">
        <f ca="1">C68</f>
        <v>#N/A</v>
      </c>
      <c r="E54" s="233" t="s">
        <v>941</v>
      </c>
      <c r="F54" s="831">
        <f>'数据-取费表'!B41</f>
        <v>5.6000000000000001E-2</v>
      </c>
      <c r="G54" s="832"/>
      <c r="H54" s="833"/>
      <c r="I54" s="867"/>
      <c r="J54" s="864">
        <v>3</v>
      </c>
      <c r="K54" s="3124" t="s">
        <v>942</v>
      </c>
      <c r="L54" s="3124"/>
      <c r="M54" s="868" t="e">
        <f t="shared" ca="1" si="0"/>
        <v>#N/A</v>
      </c>
      <c r="N54" s="864" t="str">
        <f t="shared" si="0"/>
        <v>增值额×税（费）率</v>
      </c>
      <c r="O54" s="870" t="str">
        <f t="shared" si="0"/>
        <v>免征</v>
      </c>
    </row>
    <row r="55" spans="1:35" ht="24" customHeight="1">
      <c r="A55" s="3127" t="s">
        <v>943</v>
      </c>
      <c r="B55" s="3120"/>
      <c r="C55" s="3120"/>
      <c r="D55" s="322" t="e">
        <f ca="1">IF(H55="个人住宅",0,ROUND(D45*I55,0))</f>
        <v>#N/A</v>
      </c>
      <c r="E55" s="223" t="s">
        <v>944</v>
      </c>
      <c r="F55" s="831" t="str">
        <f>IF(H55="正常",I55,"免征")</f>
        <v>免征</v>
      </c>
      <c r="G55" s="832"/>
      <c r="H55" s="822"/>
      <c r="I55" s="871">
        <f>'数据-取费表'!B49</f>
        <v>5.0000000000000001E-4</v>
      </c>
      <c r="J55" s="864">
        <f>IF(H59="非个人房产","",4)</f>
        <v>4</v>
      </c>
      <c r="K55" s="3124" t="str">
        <f>IF(H59="非个人房产","——","个人所得税")</f>
        <v>个人所得税</v>
      </c>
      <c r="L55" s="3124"/>
      <c r="M55" s="872" t="e">
        <f ca="1">D59</f>
        <v>#N/A</v>
      </c>
      <c r="N55" s="873" t="str">
        <f>E59</f>
        <v>差额计税</v>
      </c>
      <c r="O55" s="874">
        <f>F59</f>
        <v>0.01</v>
      </c>
    </row>
    <row r="56" spans="1:35" ht="25.2">
      <c r="A56" s="3127" t="s">
        <v>945</v>
      </c>
      <c r="B56" s="3120"/>
      <c r="C56" s="3120"/>
      <c r="D56" s="322" t="e">
        <f ca="1">IF(H56="个人住宅",D57,D58)</f>
        <v>#N/A</v>
      </c>
      <c r="E56" s="223" t="s">
        <v>946</v>
      </c>
      <c r="F56" s="831" t="str">
        <f>IF(H56="正常",F58,"免征")</f>
        <v>免征</v>
      </c>
      <c r="G56" s="834" t="s">
        <v>947</v>
      </c>
      <c r="H56" s="835"/>
      <c r="I56" s="844"/>
      <c r="J56" s="864" t="str">
        <f>IF(项目基本情况!K6="上海银行",IF(J55="",4,J55+1),"")</f>
        <v/>
      </c>
      <c r="K56" s="3131" t="str">
        <f>IF(项目基本情况!K6="上海银行","其他处置费用","")</f>
        <v/>
      </c>
      <c r="L56" s="3132"/>
      <c r="M56" s="868" t="str">
        <f>IF(项目基本情况!K6="上海银行",M69,"")</f>
        <v/>
      </c>
      <c r="N56" s="3131" t="str">
        <f>IF(项目基本情况!K6="上海银行","包含处置中涉及的律师、诉讼、拍卖、评估等费用","")</f>
        <v/>
      </c>
      <c r="O56" s="3133"/>
    </row>
    <row r="57" spans="1:35" ht="13.2">
      <c r="A57" s="830" t="s">
        <v>918</v>
      </c>
      <c r="B57" s="3125" t="s">
        <v>948</v>
      </c>
      <c r="C57" s="3126"/>
      <c r="D57" s="823">
        <v>0</v>
      </c>
      <c r="E57" s="229" t="s">
        <v>920</v>
      </c>
      <c r="F57" s="165"/>
      <c r="G57" s="832"/>
      <c r="H57" s="836"/>
      <c r="I57" s="844"/>
      <c r="J57" s="3124">
        <f>IF(AND(J55="",J56=""),4,IF(项目基本情况!K6="上海银行",结果表下!J56+1,结果表下!J55+1))</f>
        <v>5</v>
      </c>
      <c r="K57" s="3124" t="s">
        <v>949</v>
      </c>
      <c r="L57" s="876" t="s">
        <v>950</v>
      </c>
      <c r="M57" s="877"/>
      <c r="N57" s="878">
        <f ca="1">SUMIF(M52:M56,"&lt;9e307")</f>
        <v>0</v>
      </c>
      <c r="O57" s="879"/>
      <c r="P57" s="880" t="e">
        <f ca="1">N57/M49</f>
        <v>#N/A</v>
      </c>
    </row>
    <row r="58" spans="1:35" ht="25.2">
      <c r="A58" s="830" t="s">
        <v>932</v>
      </c>
      <c r="B58" s="3125" t="s">
        <v>951</v>
      </c>
      <c r="C58" s="3122"/>
      <c r="D58" s="322" t="e">
        <f ca="1">IF(H58="转让取得",C81,C97)</f>
        <v>#N/A</v>
      </c>
      <c r="E58" s="223" t="s">
        <v>946</v>
      </c>
      <c r="F58" s="165" t="s">
        <v>124</v>
      </c>
      <c r="G58" s="832"/>
      <c r="H58" s="835"/>
      <c r="I58" s="844"/>
      <c r="J58" s="3124"/>
      <c r="K58" s="3124"/>
      <c r="L58" s="876" t="s">
        <v>952</v>
      </c>
      <c r="M58" s="881"/>
      <c r="N58" s="882" t="str">
        <f ca="1">NUMBERSTRING(INT(N57*10000),2)&amp;"元整"</f>
        <v>零元整</v>
      </c>
      <c r="O58" s="883"/>
    </row>
    <row r="59" spans="1:35" ht="24">
      <c r="A59" s="3134" t="s">
        <v>953</v>
      </c>
      <c r="B59" s="3135"/>
      <c r="C59" s="313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9">
        <f>J57+1</f>
        <v>6</v>
      </c>
      <c r="K59" s="3124" t="s">
        <v>955</v>
      </c>
      <c r="L59" s="864" t="s">
        <v>950</v>
      </c>
      <c r="M59" s="885"/>
      <c r="N59" s="886" t="e">
        <f ca="1">M49-N57</f>
        <v>#N/A</v>
      </c>
      <c r="O59" s="887"/>
    </row>
    <row r="60" spans="1:35" ht="12" customHeight="1">
      <c r="A60" s="842"/>
      <c r="B60" s="315"/>
      <c r="C60" s="315"/>
      <c r="D60" s="315"/>
      <c r="E60" s="843"/>
      <c r="F60" s="844"/>
      <c r="G60" s="844"/>
      <c r="H60" s="845"/>
      <c r="I60" s="246"/>
      <c r="J60" s="3140"/>
      <c r="K60" s="3124"/>
      <c r="L60" s="876" t="s">
        <v>952</v>
      </c>
      <c r="M60" s="881"/>
      <c r="N60" s="882" t="e">
        <f ca="1">NUMBERSTRING(INT(N59*10000),2)&amp;"元整"</f>
        <v>#N/A</v>
      </c>
      <c r="O60" s="883"/>
    </row>
    <row r="61" spans="1:35" ht="13.2">
      <c r="A61" s="3136" t="s">
        <v>956</v>
      </c>
      <c r="B61" s="3136"/>
      <c r="C61" s="3136"/>
      <c r="D61" s="3136"/>
      <c r="E61" s="3136"/>
      <c r="F61" s="844"/>
      <c r="G61" s="844"/>
      <c r="H61" s="845"/>
      <c r="I61" s="246"/>
      <c r="J61" s="864">
        <f>J59+1</f>
        <v>7</v>
      </c>
      <c r="K61" s="3124" t="s">
        <v>957</v>
      </c>
      <c r="L61" s="3124"/>
      <c r="M61" s="889"/>
      <c r="N61" s="890" t="e">
        <f ca="1">ROUND(N59*10000/'数据-汇总表'!E3,0)</f>
        <v>#N/A</v>
      </c>
      <c r="O61" s="891"/>
    </row>
    <row r="62" spans="1:35" ht="13.2">
      <c r="A62" s="3137" t="s">
        <v>958</v>
      </c>
      <c r="B62" s="3138"/>
      <c r="C62" s="846"/>
      <c r="D62" s="846" t="s">
        <v>959</v>
      </c>
      <c r="E62" s="847" t="s">
        <v>913</v>
      </c>
      <c r="F62" s="844"/>
      <c r="G62" s="844"/>
      <c r="H62" s="845"/>
      <c r="I62" s="246"/>
    </row>
    <row r="63" spans="1:35" ht="13.2">
      <c r="A63" s="848" t="s">
        <v>960</v>
      </c>
      <c r="B63" s="849" t="s">
        <v>961</v>
      </c>
      <c r="C63" s="850" t="e">
        <f ca="1">ROUND((C64+C65)/(1+'数据-取费表'!C42),0)</f>
        <v>#N/A</v>
      </c>
      <c r="D63" s="849"/>
      <c r="E63" s="851"/>
      <c r="F63" s="844"/>
      <c r="G63" s="844"/>
      <c r="H63" s="845"/>
      <c r="I63" s="246"/>
      <c r="J63" s="3123"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23"/>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23"/>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23"/>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23"/>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23"/>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23"/>
      <c r="K69" s="892" t="s">
        <v>982</v>
      </c>
      <c r="L69" s="892"/>
      <c r="M69" s="165" t="e">
        <f ca="1">ROUND(SUM(M63:M68),0)</f>
        <v>#N/A</v>
      </c>
      <c r="N69" s="971" t="e">
        <f ca="1">M69/M49</f>
        <v>#N/A</v>
      </c>
      <c r="Z69" s="713"/>
      <c r="AI69" s="714"/>
    </row>
    <row r="70" spans="1:35" s="710" customFormat="1" ht="13.8">
      <c r="A70" s="3164" t="s">
        <v>983</v>
      </c>
      <c r="B70" s="3165"/>
      <c r="C70" s="3165"/>
      <c r="D70" s="3165"/>
      <c r="E70" s="3165"/>
      <c r="F70" s="3165"/>
      <c r="G70" s="3165"/>
      <c r="H70" s="316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3.8">
      <c r="A71" s="3137" t="s">
        <v>958</v>
      </c>
      <c r="B71" s="3138"/>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3.8">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3.8">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28.8">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5" t="s">
        <v>993</v>
      </c>
      <c r="F76" s="3122"/>
      <c r="G76" s="3122"/>
      <c r="H76" s="316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67" t="s">
        <v>998</v>
      </c>
      <c r="F78" s="3168"/>
      <c r="G78" s="3168"/>
      <c r="H78" s="316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3.8">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3.8">
      <c r="A83" s="3164" t="s">
        <v>1003</v>
      </c>
      <c r="B83" s="3165"/>
      <c r="C83" s="3165"/>
      <c r="D83" s="3165"/>
      <c r="E83" s="3165"/>
      <c r="F83" s="3165"/>
      <c r="G83" s="3165"/>
      <c r="H83" s="316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3.8">
      <c r="A84" s="3137" t="s">
        <v>958</v>
      </c>
      <c r="B84" s="3138"/>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3.8">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3.8">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3.8">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3.8">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4">
      <c r="A90" s="852" t="s">
        <v>968</v>
      </c>
      <c r="B90" s="853" t="s">
        <v>1010</v>
      </c>
      <c r="C90" s="940"/>
      <c r="D90" s="925"/>
      <c r="E90" s="941" t="str">
        <f>IF(H88="-","土地取得成本中已包含该笔费用"," ")</f>
        <v xml:space="preserve"> </v>
      </c>
      <c r="F90" s="927"/>
      <c r="G90" s="3176" t="s">
        <v>1011</v>
      </c>
      <c r="H90" s="3177"/>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7" t="s">
        <v>1015</v>
      </c>
      <c r="F91" s="3168"/>
      <c r="G91" s="316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7" t="s">
        <v>1018</v>
      </c>
      <c r="F92" s="3168"/>
      <c r="G92" s="3168"/>
      <c r="H92" s="3169"/>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67" t="s">
        <v>998</v>
      </c>
      <c r="F93" s="3168"/>
      <c r="G93" s="3168"/>
      <c r="H93" s="316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9" t="s">
        <v>1023</v>
      </c>
      <c r="F94" s="3190"/>
      <c r="G94" s="3190"/>
      <c r="H94" s="319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3.8">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52"/>
      <c r="E100" s="3090" t="s">
        <v>1026</v>
      </c>
      <c r="F100" s="3090"/>
      <c r="G100" s="3090"/>
      <c r="H100" s="3152"/>
      <c r="I100" s="246"/>
    </row>
    <row r="101" spans="1:35" ht="18.75" customHeight="1">
      <c r="A101" s="3153" t="s">
        <v>1027</v>
      </c>
      <c r="B101" s="3154"/>
      <c r="C101" s="948" t="str">
        <f>C4</f>
        <v>典型户型修正</v>
      </c>
      <c r="D101" s="949" t="str">
        <f>D4</f>
        <v>收益法下</v>
      </c>
      <c r="E101" s="3170" t="s">
        <v>1028</v>
      </c>
      <c r="F101" s="3171"/>
      <c r="G101" s="951" t="s">
        <v>1029</v>
      </c>
      <c r="H101" s="952" t="e">
        <f ca="1">H118</f>
        <v>#N/A</v>
      </c>
      <c r="I101" s="246"/>
    </row>
    <row r="102" spans="1:35" ht="18.75" customHeight="1">
      <c r="A102" s="3184" t="s">
        <v>1030</v>
      </c>
      <c r="B102" s="953" t="s">
        <v>1029</v>
      </c>
      <c r="C102" s="948">
        <f ca="1">C19</f>
        <v>36235</v>
      </c>
      <c r="D102" s="949" t="e">
        <f ca="1">D19</f>
        <v>#N/A</v>
      </c>
      <c r="E102" s="3170"/>
      <c r="F102" s="3171"/>
      <c r="G102" s="951" t="s">
        <v>99</v>
      </c>
      <c r="H102" s="832" t="e">
        <f ca="1">I118</f>
        <v>#N/A</v>
      </c>
      <c r="I102" s="246"/>
    </row>
    <row r="103" spans="1:35" ht="42.75" customHeight="1">
      <c r="A103" s="3184"/>
      <c r="B103" s="953" t="s">
        <v>99</v>
      </c>
      <c r="C103" s="954">
        <f ca="1">C20</f>
        <v>38879</v>
      </c>
      <c r="D103" s="955">
        <f ca="1">D20</f>
        <v>0</v>
      </c>
      <c r="E103" s="3155" t="s">
        <v>1031</v>
      </c>
      <c r="F103" s="3156"/>
      <c r="G103" s="956" t="s">
        <v>102</v>
      </c>
      <c r="H103" s="952">
        <f>IF(D36="正常操作",H104+H105+H106,H105+H106)</f>
        <v>0</v>
      </c>
      <c r="I103" s="246"/>
    </row>
    <row r="104" spans="1:35" ht="18.75" customHeight="1">
      <c r="A104" s="3184"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5"/>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2" t="str">
        <f>IF(项目基本情况!E8="已注销","——","3.房地产抵押价值")</f>
        <v>3.房地产抵押价值</v>
      </c>
      <c r="F107" s="3171"/>
      <c r="G107" s="951" t="s">
        <v>1029</v>
      </c>
      <c r="H107" s="952" t="e">
        <f ca="1">IF(E107="——","——",H101-H103)</f>
        <v>#N/A</v>
      </c>
      <c r="I107" s="246"/>
    </row>
    <row r="108" spans="1:35" ht="18.75" customHeight="1">
      <c r="A108" s="246"/>
      <c r="B108" s="246"/>
      <c r="C108" s="246"/>
      <c r="D108" s="246"/>
      <c r="E108" s="3172"/>
      <c r="F108" s="3171"/>
      <c r="G108" s="951" t="s">
        <v>99</v>
      </c>
      <c r="H108" s="832" t="e">
        <f ca="1">ROUND(H107*10000/'数据-汇总表'!E3,0)</f>
        <v>#N/A</v>
      </c>
      <c r="I108" s="246"/>
    </row>
    <row r="109" spans="1:35" ht="18.75" customHeight="1">
      <c r="A109" s="246"/>
      <c r="B109" s="246"/>
      <c r="C109" s="246"/>
      <c r="D109" s="246"/>
      <c r="E109" s="3172" t="str">
        <f>IF(项目基本情况!E8="已注销及未注销","4.抵押担保权已注销时的房地产抵押价值",IF(项目基本情况!E8="已注销","3.抵押担保权已注销时的房地产抵押价值","——"))</f>
        <v>——</v>
      </c>
      <c r="F109" s="3171"/>
      <c r="G109" s="951" t="s">
        <v>1029</v>
      </c>
      <c r="H109" s="967" t="str">
        <f>IF(E109="——","——",H101-H105-H106)</f>
        <v>——</v>
      </c>
      <c r="I109" s="246"/>
    </row>
    <row r="110" spans="1:35" ht="18.75" customHeight="1">
      <c r="A110" s="246"/>
      <c r="B110" s="246"/>
      <c r="C110" s="246"/>
      <c r="D110" s="246"/>
      <c r="E110" s="3172"/>
      <c r="F110" s="3171"/>
      <c r="G110" s="951" t="s">
        <v>99</v>
      </c>
      <c r="H110" s="832" t="str">
        <f>IF(H109="——","——",ROUND(H109*10000/'数据-汇总表'!E3,0))</f>
        <v>——</v>
      </c>
      <c r="I110" s="246"/>
    </row>
    <row r="111" spans="1:35" ht="18.75" customHeight="1">
      <c r="A111" s="246"/>
      <c r="B111" s="246"/>
      <c r="C111" s="246"/>
      <c r="D111" s="246"/>
      <c r="E111" s="3173" t="str">
        <f>IF(项目基本情况!E9="抵押净值",IF(OR(项目基本情况!E8="已注销",项目基本情况!E8="房地产抵押价值"),"4.抵押净值","5.抵押净值"),"——")</f>
        <v>——</v>
      </c>
      <c r="F111" s="3141"/>
      <c r="G111" s="951" t="s">
        <v>1029</v>
      </c>
      <c r="H111" s="952" t="str">
        <f>IF(E111="——","——",N59)</f>
        <v>——</v>
      </c>
      <c r="I111" s="246"/>
    </row>
    <row r="112" spans="1:35" ht="18.75" customHeight="1">
      <c r="A112" s="246"/>
      <c r="B112" s="246"/>
      <c r="C112" s="246"/>
      <c r="D112" s="246"/>
      <c r="E112" s="3174"/>
      <c r="F112" s="3175"/>
      <c r="G112" s="968" t="s">
        <v>99</v>
      </c>
      <c r="H112" s="969" t="str">
        <f>IF(E111="——","——",N61)</f>
        <v>——</v>
      </c>
      <c r="I112" s="246"/>
    </row>
    <row r="113" spans="1:27" ht="18.75" customHeight="1">
      <c r="A113" s="246"/>
      <c r="B113" s="246"/>
      <c r="C113" s="246"/>
      <c r="D113" s="246"/>
      <c r="E113" s="3157" t="s">
        <v>1035</v>
      </c>
      <c r="F113" s="3157"/>
      <c r="G113" s="3157"/>
      <c r="H113" s="3157"/>
      <c r="I113" s="246"/>
    </row>
    <row r="114" spans="1:27" ht="3.75" customHeight="1">
      <c r="A114" s="315"/>
      <c r="B114" s="315"/>
      <c r="C114" s="315"/>
      <c r="D114" s="315"/>
      <c r="E114" s="842"/>
      <c r="F114" s="842"/>
      <c r="G114" s="842"/>
      <c r="H114" s="842"/>
      <c r="I114" s="315"/>
    </row>
    <row r="115" spans="1:27" ht="18.75" customHeight="1">
      <c r="A115" s="3158" t="s">
        <v>1037</v>
      </c>
      <c r="B115" s="3159"/>
      <c r="C115" s="3159"/>
      <c r="D115" s="3159"/>
      <c r="E115" s="3159"/>
      <c r="F115" s="3159"/>
      <c r="G115" s="3159"/>
      <c r="H115" s="3159"/>
      <c r="I115" s="3160"/>
    </row>
    <row r="116" spans="1:27" ht="27" customHeight="1">
      <c r="A116" s="3145" t="s">
        <v>1038</v>
      </c>
      <c r="B116" s="3187" t="s">
        <v>1039</v>
      </c>
      <c r="C116" s="3187" t="s">
        <v>1040</v>
      </c>
      <c r="D116" s="3161" t="s">
        <v>1041</v>
      </c>
      <c r="E116" s="3162"/>
      <c r="F116" s="3163" t="s">
        <v>1042</v>
      </c>
      <c r="G116" s="3163"/>
      <c r="H116" s="3145" t="s">
        <v>1043</v>
      </c>
      <c r="I116" s="3145"/>
    </row>
    <row r="117" spans="1:27" ht="18.75" customHeight="1">
      <c r="A117" s="3145"/>
      <c r="B117" s="3188"/>
      <c r="C117" s="318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5" t="s">
        <v>1045</v>
      </c>
      <c r="B119" s="3145"/>
      <c r="C119" s="3145"/>
      <c r="D119" s="3146" t="e">
        <f ca="1">NUMBERSTRING(INT(D118*10000),2)&amp;"元整"</f>
        <v>#N/A</v>
      </c>
      <c r="E119" s="3148"/>
      <c r="F119" s="3146" t="e">
        <f ca="1">NUMBERSTRING(INT(F118*10000),2)&amp;"元整"</f>
        <v>#N/A</v>
      </c>
      <c r="G119" s="3148"/>
      <c r="H119" s="3146" t="e">
        <f ca="1">NUMBERSTRING(INT(H118*10000),2)&amp;"元整"</f>
        <v>#N/A</v>
      </c>
      <c r="I119" s="3148"/>
    </row>
    <row r="120" spans="1:27" ht="18.75" customHeight="1">
      <c r="A120" s="3142" t="str">
        <f>IF(项目基本情况!B9="房地产市场价值","",MID(E103,3,LEN(E103)-2))</f>
        <v>估价师知悉的法定优先受偿款</v>
      </c>
      <c r="B120" s="3143"/>
      <c r="C120" s="3144"/>
      <c r="D120" s="3142">
        <f>H103</f>
        <v>0</v>
      </c>
      <c r="E120" s="3143"/>
      <c r="F120" s="3143"/>
      <c r="G120" s="3143"/>
      <c r="H120" s="3143"/>
      <c r="I120" s="314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9" t="s">
        <v>1045</v>
      </c>
      <c r="B121" s="3150"/>
      <c r="C121" s="3151"/>
      <c r="D121" s="3146" t="str">
        <f>IF(D120=0,"零元整",NUMBERSTRING(INT(D120*10000),2)&amp;"元整")</f>
        <v>零元整</v>
      </c>
      <c r="E121" s="3147"/>
      <c r="F121" s="3147"/>
      <c r="G121" s="3147"/>
      <c r="H121" s="3147"/>
      <c r="I121" s="3148"/>
      <c r="AA121" s="712"/>
    </row>
    <row r="122" spans="1:27" ht="18.75" customHeight="1">
      <c r="A122" s="3141" t="str">
        <f>IF(项目基本情况!B9="房地产市场价值","",MID(E107,3,LEN(E107)-2))</f>
        <v>房地产抵押价值</v>
      </c>
      <c r="B122" s="3141"/>
      <c r="C122" s="3141"/>
      <c r="D122" s="3142" t="e">
        <f ca="1">H107</f>
        <v>#N/A</v>
      </c>
      <c r="E122" s="3143"/>
      <c r="F122" s="3143"/>
      <c r="G122" s="3143"/>
      <c r="H122" s="3143"/>
      <c r="I122" s="3144"/>
      <c r="AA122" s="712"/>
    </row>
    <row r="123" spans="1:27" ht="18.75" customHeight="1">
      <c r="A123" s="3145" t="s">
        <v>1045</v>
      </c>
      <c r="B123" s="3145"/>
      <c r="C123" s="3145"/>
      <c r="D123" s="3146" t="e">
        <f ca="1">NUMBERSTRING(INT(D122*10000),2)&amp;"元整"</f>
        <v>#N/A</v>
      </c>
      <c r="E123" s="3147"/>
      <c r="F123" s="3147"/>
      <c r="G123" s="3147"/>
      <c r="H123" s="3147"/>
      <c r="I123" s="3148"/>
      <c r="AA123" s="712"/>
    </row>
    <row r="124" spans="1:27" ht="18.75" customHeight="1">
      <c r="A124" s="3141" t="str">
        <f>IF(项目基本情况!B9="房地产市场价值","",MID(E109,3,LEN(E109)-2))</f>
        <v/>
      </c>
      <c r="B124" s="3141"/>
      <c r="C124" s="3141"/>
      <c r="D124" s="3142" t="str">
        <f>H109</f>
        <v>——</v>
      </c>
      <c r="E124" s="3143"/>
      <c r="F124" s="3143"/>
      <c r="G124" s="3143"/>
      <c r="H124" s="3143"/>
      <c r="I124" s="3144"/>
      <c r="AA124" s="712"/>
    </row>
    <row r="125" spans="1:27" ht="18.75" customHeight="1">
      <c r="A125" s="3145" t="s">
        <v>1045</v>
      </c>
      <c r="B125" s="3145"/>
      <c r="C125" s="3145"/>
      <c r="D125" s="3146" t="e">
        <f>NUMBERSTRING(INT(D124*10000),2)&amp;"元整"</f>
        <v>#VALUE!</v>
      </c>
      <c r="E125" s="3147"/>
      <c r="F125" s="3147"/>
      <c r="G125" s="3147"/>
      <c r="H125" s="3147"/>
      <c r="I125" s="3148"/>
      <c r="AA125" s="712"/>
    </row>
    <row r="126" spans="1:27" ht="18.75" customHeight="1">
      <c r="A126" s="3141" t="str">
        <f>IF(项目基本情况!B9="房地产市场价值","",MID(E111,3,LEN(E111)-2))</f>
        <v/>
      </c>
      <c r="B126" s="3141"/>
      <c r="C126" s="3141"/>
      <c r="D126" s="3142" t="str">
        <f>H111</f>
        <v>——</v>
      </c>
      <c r="E126" s="3143"/>
      <c r="F126" s="3143"/>
      <c r="G126" s="3143"/>
      <c r="H126" s="3143"/>
      <c r="I126" s="3144"/>
      <c r="AA126" s="712"/>
    </row>
    <row r="127" spans="1:27" ht="18.75" customHeight="1">
      <c r="A127" s="3145" t="s">
        <v>1045</v>
      </c>
      <c r="B127" s="3145"/>
      <c r="C127" s="3145"/>
      <c r="D127" s="3146" t="e">
        <f>NUMBERSTRING(INT(D126*10000),2)&amp;"元整"</f>
        <v>#VALUE!</v>
      </c>
      <c r="E127" s="3147"/>
      <c r="F127" s="3147"/>
      <c r="G127" s="3147"/>
      <c r="H127" s="3147"/>
      <c r="I127" s="3148"/>
      <c r="AA127" s="712"/>
    </row>
    <row r="128" spans="1:27" ht="21.75" customHeight="1">
      <c r="A128" s="3178" t="s">
        <v>113</v>
      </c>
      <c r="B128" s="3178"/>
      <c r="C128" s="3178"/>
      <c r="D128" s="3178"/>
      <c r="E128" s="3178"/>
      <c r="F128" s="3178"/>
      <c r="G128" s="3178"/>
      <c r="H128" s="3178"/>
      <c r="I128" s="3178"/>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3.2"/>
  <cols>
    <col min="1" max="1" width="11.44140625" style="711" customWidth="1"/>
    <col min="2" max="2" width="9.2187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2690</v>
      </c>
      <c r="C1" s="3335" t="s">
        <v>2691</v>
      </c>
      <c r="D1" s="3336"/>
      <c r="E1" s="3336"/>
      <c r="F1" s="3336"/>
      <c r="G1" s="3336"/>
      <c r="H1" s="3336"/>
      <c r="I1" s="3336"/>
      <c r="J1" s="3336"/>
      <c r="K1" s="3336"/>
      <c r="L1" s="3336"/>
      <c r="M1" s="3336"/>
      <c r="N1" s="3336"/>
      <c r="O1" s="3336"/>
      <c r="P1" s="3336"/>
      <c r="Q1" s="3336"/>
      <c r="R1" s="3336"/>
      <c r="S1" s="3337"/>
      <c r="T1" s="1009" t="s">
        <v>1793</v>
      </c>
    </row>
    <row r="2" spans="1:45" s="132" customFormat="1" ht="52.8">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c r="A5" s="277"/>
      <c r="B5" s="1024" t="s">
        <v>2692</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c r="A7" s="277"/>
      <c r="B7" s="1032" t="s">
        <v>2693</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c r="A9" s="277"/>
      <c r="B9" s="1032" t="s">
        <v>2694</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c r="A11" s="277"/>
      <c r="B11" s="1024" t="s">
        <v>2695</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c r="A13" s="277"/>
      <c r="B13" s="1024" t="s">
        <v>2696</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c r="A15" s="277"/>
      <c r="B15" s="1024" t="s">
        <v>2697</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ht="24">
      <c r="A17" s="1041" t="s">
        <v>2698</v>
      </c>
      <c r="B17" s="1042" t="s">
        <v>2699</v>
      </c>
      <c r="C17" s="1043" t="s">
        <v>2700</v>
      </c>
      <c r="D17" s="1044" t="s">
        <v>2701</v>
      </c>
      <c r="E17" s="1044" t="s">
        <v>2702</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c r="A19" s="246"/>
      <c r="B19" s="845"/>
      <c r="C19" s="845"/>
      <c r="D19" s="1050" t="s">
        <v>2703</v>
      </c>
      <c r="E19" s="1051"/>
      <c r="F19" s="1051"/>
      <c r="G19" s="1051"/>
      <c r="H19" s="262"/>
      <c r="I19" s="845"/>
      <c r="J19" s="845"/>
      <c r="K19" s="845"/>
      <c r="L19" s="845"/>
      <c r="M19" s="845"/>
      <c r="N19" s="845"/>
      <c r="O19" s="845"/>
      <c r="P19" s="845"/>
      <c r="Q19" s="845"/>
      <c r="R19" s="845"/>
      <c r="S19" s="246"/>
    </row>
    <row r="20" spans="1:45" ht="15.6">
      <c r="A20" s="1052" t="s">
        <v>2704</v>
      </c>
      <c r="B20" s="1053">
        <f>IF(D20="——",S22,S22-F20)</f>
        <v>36235</v>
      </c>
      <c r="C20" s="845"/>
      <c r="D20" s="1054" t="s">
        <v>124</v>
      </c>
      <c r="E20" s="1055"/>
      <c r="F20" s="1009" t="e">
        <f ca="1">SUMIF(INDIRECT("'"&amp;H20&amp;"'"&amp;"!A:A"),"承租人权益价值",INDIRECT("'"&amp;H20&amp;"'"&amp;"!c:c"))</f>
        <v>#REF!</v>
      </c>
      <c r="G20" s="1009" t="s">
        <v>869</v>
      </c>
      <c r="H20" s="1056"/>
      <c r="I20" s="845"/>
      <c r="J20" s="845"/>
      <c r="K20" s="845"/>
      <c r="L20" s="845"/>
      <c r="M20" s="845"/>
      <c r="N20" s="845"/>
      <c r="O20" s="845"/>
      <c r="P20" s="845"/>
      <c r="Q20" s="845"/>
      <c r="R20" s="845"/>
      <c r="S20" s="246"/>
    </row>
    <row r="21" spans="1:45" ht="15.6">
      <c r="A21" s="1052" t="s">
        <v>2705</v>
      </c>
      <c r="B21" s="1053">
        <f>ROUND(B20*10000/B22,0)</f>
        <v>38879</v>
      </c>
      <c r="C21" s="845"/>
      <c r="D21" s="845"/>
      <c r="E21" s="845"/>
      <c r="F21" s="845"/>
      <c r="G21" s="845"/>
      <c r="H21" s="845"/>
      <c r="I21" s="845"/>
      <c r="J21" s="845"/>
      <c r="K21" s="845"/>
      <c r="L21" s="845"/>
      <c r="M21" s="845"/>
      <c r="N21" s="845"/>
      <c r="O21" s="845"/>
      <c r="P21" s="845"/>
      <c r="Q21" s="845"/>
      <c r="R21" s="845"/>
      <c r="S21" s="246"/>
    </row>
    <row r="22" spans="1:45">
      <c r="A22" s="175" t="s">
        <v>2706</v>
      </c>
      <c r="B22" s="201">
        <f>SUM(B24:B10000)</f>
        <v>9319.9499999999989</v>
      </c>
      <c r="C22" s="3338" t="s">
        <v>124</v>
      </c>
      <c r="D22" s="3339"/>
      <c r="E22" s="3339"/>
      <c r="F22" s="3339"/>
      <c r="G22" s="3339"/>
      <c r="H22" s="3339"/>
      <c r="I22" s="3339"/>
      <c r="J22" s="3339"/>
      <c r="K22" s="3339"/>
      <c r="L22" s="3339"/>
      <c r="M22" s="3339"/>
      <c r="N22" s="3339"/>
      <c r="O22" s="3339"/>
      <c r="P22" s="3339"/>
      <c r="Q22" s="3340"/>
      <c r="R22" s="201">
        <f>ROUND(S22*10000/B22,0)</f>
        <v>38879</v>
      </c>
      <c r="S22" s="201">
        <f>SUM(S24:S10000)</f>
        <v>36235</v>
      </c>
    </row>
    <row r="23" spans="1:45" s="1007" customFormat="1" ht="24">
      <c r="A23" s="1057" t="s">
        <v>2707</v>
      </c>
      <c r="B23" s="1057" t="s">
        <v>366</v>
      </c>
      <c r="C23" s="1057" t="s">
        <v>1793</v>
      </c>
      <c r="D23" s="1057" t="str">
        <f>B5</f>
        <v>修正项2</v>
      </c>
      <c r="E23" s="1057" t="s">
        <v>1793</v>
      </c>
      <c r="F23" s="1057" t="str">
        <f>B7</f>
        <v>修正项3</v>
      </c>
      <c r="G23" s="1057" t="s">
        <v>1793</v>
      </c>
      <c r="H23" s="1057" t="str">
        <f>B9</f>
        <v>修正项4</v>
      </c>
      <c r="I23" s="1057" t="s">
        <v>1793</v>
      </c>
      <c r="J23" s="1057" t="str">
        <f>B11</f>
        <v>修正项5</v>
      </c>
      <c r="K23" s="1057" t="s">
        <v>1793</v>
      </c>
      <c r="L23" s="1057" t="str">
        <f>B13</f>
        <v>修正项6</v>
      </c>
      <c r="M23" s="1057" t="s">
        <v>1793</v>
      </c>
      <c r="N23" s="1057" t="str">
        <f>B15</f>
        <v>修正项7</v>
      </c>
      <c r="O23" s="1057" t="s">
        <v>1793</v>
      </c>
      <c r="P23" s="1057" t="str">
        <f>B17</f>
        <v>楼层</v>
      </c>
      <c r="Q23" s="1057" t="s">
        <v>1793</v>
      </c>
      <c r="R23" s="1057" t="s">
        <v>2708</v>
      </c>
      <c r="S23" s="1057" t="s">
        <v>2709</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c r="A24" s="1058" t="s">
        <v>2710</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84170</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2700</v>
      </c>
      <c r="Q25" s="201">
        <f>(SUMIF($17:$17,P25,$18:$18)-SUMIF($17:$17,$P$24,$18:$18)+100)/100</f>
        <v>0.5</v>
      </c>
      <c r="R25" s="201">
        <f>IF(B25="",0,ROUND($R$24*C25*E25*G25*I25*K25*M25*O25*Q25,0))</f>
        <v>42085</v>
      </c>
      <c r="S25" s="175">
        <f t="shared" si="11"/>
        <v>26057</v>
      </c>
    </row>
    <row r="26" spans="1:45">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2701</v>
      </c>
      <c r="Q26" s="201">
        <f t="shared" ref="Q26:Q89" si="19">(SUMIF($17:$17,P26,$18:$18)-SUMIF($17:$17,$P$24,$18:$18)+100)/100</f>
        <v>0.4</v>
      </c>
      <c r="R26" s="201">
        <f t="shared" ref="R26:R89" si="20">IF(B26="",0,ROUND($R$24*C26*E26*G26*I26*K26*M26*O26*Q26,0))</f>
        <v>33668</v>
      </c>
      <c r="S26" s="175">
        <f t="shared" si="11"/>
        <v>9112</v>
      </c>
    </row>
    <row r="27" spans="1:45">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2702</v>
      </c>
      <c r="Q27" s="201">
        <f t="shared" si="19"/>
        <v>0.3</v>
      </c>
      <c r="R27" s="201">
        <f t="shared" si="20"/>
        <v>25251</v>
      </c>
      <c r="S27" s="175">
        <f t="shared" si="11"/>
        <v>1066</v>
      </c>
    </row>
    <row r="28" spans="1:45">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D4" sqref="D4"/>
    </sheetView>
  </sheetViews>
  <sheetFormatPr defaultColWidth="9" defaultRowHeight="13.2"/>
  <cols>
    <col min="1" max="1" width="9" style="36" customWidth="1"/>
    <col min="2" max="2" width="20.6640625" style="132" customWidth="1"/>
    <col min="3" max="3" width="11.88671875" style="132" customWidth="1"/>
    <col min="4" max="4" width="40.44140625" style="36" customWidth="1"/>
    <col min="5" max="5" width="15.77734375" style="36" customWidth="1"/>
    <col min="6" max="6" width="10.6640625" style="36" customWidth="1"/>
    <col min="7" max="7" width="4.88671875" style="36" customWidth="1"/>
    <col min="8" max="8" width="8.44140625" style="36" customWidth="1"/>
    <col min="9" max="9" width="21.21875" style="36" customWidth="1"/>
    <col min="10" max="10" width="12.21875" style="36" customWidth="1"/>
    <col min="11" max="11" width="45.109375" style="133" customWidth="1"/>
    <col min="12" max="12" width="16.33203125" style="36" customWidth="1"/>
    <col min="13" max="13" width="13" style="36" customWidth="1"/>
    <col min="14" max="14" width="13.77734375" style="131" customWidth="1"/>
    <col min="15" max="15" width="5.109375" style="131" customWidth="1"/>
    <col min="16" max="16" width="25.77734375" style="131" customWidth="1"/>
    <col min="17" max="17" width="13.77734375" style="131" customWidth="1"/>
    <col min="18" max="18" width="20.44140625" style="131" customWidth="1"/>
    <col min="19" max="19" width="13.21875" style="131" customWidth="1"/>
    <col min="20" max="37" width="9" style="131"/>
    <col min="38" max="16384" width="9" style="36"/>
  </cols>
  <sheetData>
    <row r="1" spans="1:37" s="129" customFormat="1" ht="21.6">
      <c r="A1" s="134" t="s">
        <v>1302</v>
      </c>
      <c r="B1" s="135"/>
      <c r="C1" s="136" t="s">
        <v>450</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39.6">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3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4">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6">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4">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4">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4">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6">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6">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4">
      <c r="A67" s="291" t="s">
        <v>470</v>
      </c>
      <c r="B67" s="392" t="s">
        <v>1376</v>
      </c>
      <c r="C67" s="175" t="e">
        <f ca="1">C48-C58</f>
        <v>#N/A</v>
      </c>
      <c r="D67" s="303" t="s">
        <v>1377</v>
      </c>
      <c r="E67" s="393"/>
      <c r="F67" s="394"/>
      <c r="O67" s="359" t="s">
        <v>1424</v>
      </c>
      <c r="P67" s="352" t="s">
        <v>1456</v>
      </c>
      <c r="Q67" s="415" t="e">
        <f ca="1">L51</f>
        <v>#N/A</v>
      </c>
      <c r="R67" s="390" t="s">
        <v>1473</v>
      </c>
    </row>
    <row r="68" spans="1:18" s="131" customFormat="1" ht="15.6">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c r="A69" s="397"/>
      <c r="B69" s="398"/>
      <c r="C69" s="172"/>
      <c r="D69" s="399" t="s">
        <v>1386</v>
      </c>
      <c r="E69" s="296" t="s">
        <v>1387</v>
      </c>
      <c r="F69" s="245" t="e">
        <f ca="1">F41</f>
        <v>#N/A</v>
      </c>
      <c r="O69" s="359" t="s">
        <v>1476</v>
      </c>
      <c r="P69" s="414" t="s">
        <v>1477</v>
      </c>
      <c r="Q69" s="390" t="e">
        <f ca="1">C39</f>
        <v>#N/A</v>
      </c>
      <c r="R69" s="390" t="s">
        <v>1412</v>
      </c>
    </row>
    <row r="70" spans="1:18" s="131" customFormat="1">
      <c r="A70" s="400"/>
      <c r="B70" s="401"/>
      <c r="C70" s="193"/>
      <c r="D70" s="308"/>
      <c r="E70" s="296" t="s">
        <v>1390</v>
      </c>
      <c r="F70" s="285"/>
      <c r="O70" s="359" t="s">
        <v>1478</v>
      </c>
      <c r="P70" s="414" t="s">
        <v>1479</v>
      </c>
      <c r="Q70" s="390" t="e">
        <f ca="1">C13</f>
        <v>#N/A</v>
      </c>
      <c r="R70" s="390" t="s">
        <v>1412</v>
      </c>
    </row>
    <row r="71" spans="1:18" s="131" customFormat="1">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c r="B72" s="338"/>
      <c r="C72" s="338"/>
      <c r="O72" s="359" t="s">
        <v>1432</v>
      </c>
      <c r="P72" s="352" t="s">
        <v>1458</v>
      </c>
      <c r="Q72" s="391">
        <f>L52</f>
        <v>0.05</v>
      </c>
      <c r="R72" s="390"/>
    </row>
    <row r="73" spans="1:18" ht="15.6">
      <c r="A73" s="131"/>
      <c r="B73" s="338"/>
      <c r="C73" s="338"/>
      <c r="D73" s="131"/>
      <c r="E73" s="131"/>
      <c r="F73" s="131"/>
      <c r="O73" s="359" t="s">
        <v>1436</v>
      </c>
      <c r="P73" s="352" t="s">
        <v>1461</v>
      </c>
      <c r="Q73" s="390" t="e">
        <f ca="1">L58</f>
        <v>#N/A</v>
      </c>
      <c r="R73" s="390" t="s">
        <v>1462</v>
      </c>
    </row>
    <row r="74" spans="1:18">
      <c r="A74" s="131"/>
      <c r="B74" s="125" t="s">
        <v>1482</v>
      </c>
      <c r="C74" s="406"/>
      <c r="D74" s="131"/>
      <c r="E74" s="131"/>
      <c r="F74" s="131"/>
      <c r="O74" s="359" t="s">
        <v>1483</v>
      </c>
      <c r="P74" s="352" t="str">
        <f>K59</f>
        <v>建筑物剩余耐用年限下的土地年期修正系数Kn</v>
      </c>
      <c r="Q74" s="390" t="e">
        <f ca="1">L59</f>
        <v>#N/A</v>
      </c>
      <c r="R74" s="390" t="s">
        <v>1463</v>
      </c>
    </row>
    <row r="75" spans="1:18">
      <c r="A75" s="131"/>
      <c r="B75" s="407" t="s">
        <v>1484</v>
      </c>
      <c r="C75" s="408" t="e">
        <f ca="1">ROUND(C13*C76,0)</f>
        <v>#N/A</v>
      </c>
      <c r="D75" s="131"/>
      <c r="E75" s="131"/>
      <c r="F75" s="131"/>
      <c r="K75" s="337"/>
      <c r="L75" s="131"/>
      <c r="O75" s="351" t="s">
        <v>1166</v>
      </c>
      <c r="P75" s="352" t="s">
        <v>1442</v>
      </c>
      <c r="Q75" s="390" t="e">
        <f ca="1">Q65+Q66</f>
        <v>#N/A</v>
      </c>
      <c r="R75" s="390" t="s">
        <v>1443</v>
      </c>
    </row>
    <row r="76" spans="1:18">
      <c r="B76" s="409" t="s">
        <v>1485</v>
      </c>
      <c r="C76" s="410" t="e">
        <f ca="1">INDIRECT("'数据-取费表'!j"&amp;$G$1)</f>
        <v>#N/A</v>
      </c>
      <c r="I76" s="131"/>
      <c r="J76" s="131"/>
      <c r="K76" s="337"/>
      <c r="L76" s="131"/>
    </row>
    <row r="77" spans="1:18">
      <c r="B77" s="411" t="s">
        <v>1486</v>
      </c>
      <c r="C77" s="412"/>
      <c r="I77" s="131"/>
      <c r="J77" s="131"/>
      <c r="K77" s="337"/>
      <c r="L77" s="131"/>
    </row>
    <row r="78" spans="1:18">
      <c r="B78" s="123" t="s">
        <v>1487</v>
      </c>
      <c r="C78" s="413"/>
    </row>
    <row r="79" spans="1:18">
      <c r="B79" s="407" t="s">
        <v>1488</v>
      </c>
      <c r="C79" s="127" t="e">
        <f ca="1">1-C80</f>
        <v>#N/A</v>
      </c>
    </row>
    <row r="80" spans="1:18">
      <c r="B80" s="407" t="s">
        <v>1489</v>
      </c>
      <c r="C80" s="127" t="e">
        <f ca="1">ROUND(C75/C39,3)</f>
        <v>#N/A</v>
      </c>
    </row>
    <row r="81" spans="2:3">
      <c r="B81" s="123" t="s">
        <v>1490</v>
      </c>
      <c r="C81" s="91"/>
    </row>
    <row r="82" spans="2:3">
      <c r="B82" s="125" t="s">
        <v>1145</v>
      </c>
      <c r="C82" s="126" t="e">
        <f ca="1">1-C83</f>
        <v>#N/A</v>
      </c>
    </row>
    <row r="83" spans="2: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4" sqref="J4"/>
    </sheetView>
  </sheetViews>
  <sheetFormatPr defaultColWidth="12.6640625" defaultRowHeight="21.75" customHeight="1"/>
  <cols>
    <col min="1" max="2" width="12.6640625" style="714"/>
    <col min="3" max="4" width="12.6640625" style="714" customWidth="1"/>
    <col min="5" max="9" width="12.6640625" style="714"/>
    <col min="10" max="11" width="12.6640625" style="712" customWidth="1"/>
    <col min="12" max="12" width="12.6640625" style="712"/>
    <col min="13" max="13" width="14.109375" style="712" customWidth="1"/>
    <col min="14" max="26" width="12.6640625" style="712"/>
    <col min="27" max="35" width="12.6640625" style="713"/>
    <col min="36" max="16384" width="12.6640625" style="714"/>
  </cols>
  <sheetData>
    <row r="1" spans="1:12" ht="21.75" customHeight="1">
      <c r="A1" s="715" t="s">
        <v>836</v>
      </c>
      <c r="B1" s="315"/>
      <c r="C1" s="716" t="s">
        <v>589</v>
      </c>
      <c r="D1" s="315"/>
      <c r="E1" s="315"/>
      <c r="F1" s="717" t="s">
        <v>837</v>
      </c>
      <c r="G1" s="718" t="s">
        <v>397</v>
      </c>
      <c r="H1" s="717" t="str">
        <f>IF(G1="现房","——","估价对象范围")</f>
        <v>——</v>
      </c>
      <c r="I1" s="856" t="s">
        <v>838</v>
      </c>
    </row>
    <row r="2" spans="1:12" ht="21.75" customHeight="1">
      <c r="A2" s="3095" t="str">
        <f>项目基本情况!S2</f>
        <v>北京市朝阳区建国门外大街甲6号1幢房地产</v>
      </c>
      <c r="B2" s="3096"/>
      <c r="C2" s="3096"/>
      <c r="D2" s="3096"/>
      <c r="E2" s="3096"/>
      <c r="F2" s="3096"/>
      <c r="G2" s="3096"/>
      <c r="H2" s="3096"/>
      <c r="I2" s="3097"/>
    </row>
    <row r="3" spans="1:12" ht="13.2">
      <c r="A3" s="3098" t="s">
        <v>839</v>
      </c>
      <c r="B3" s="3099"/>
      <c r="C3" s="3099"/>
      <c r="D3" s="3099"/>
      <c r="E3" s="3099"/>
      <c r="F3" s="3099"/>
      <c r="G3" s="3099"/>
      <c r="H3" s="3099"/>
      <c r="I3" s="3099"/>
    </row>
    <row r="4" spans="1:12" ht="14.4">
      <c r="A4" s="719" t="s">
        <v>840</v>
      </c>
      <c r="B4" s="720" t="s">
        <v>841</v>
      </c>
      <c r="C4" s="721" t="s">
        <v>2713</v>
      </c>
      <c r="D4" s="721" t="s">
        <v>311</v>
      </c>
      <c r="E4" s="3100" t="s">
        <v>843</v>
      </c>
      <c r="F4" s="3101"/>
      <c r="G4" s="3101"/>
      <c r="H4" s="3101"/>
      <c r="I4" s="3102"/>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145" t="s">
        <v>844</v>
      </c>
      <c r="B5" s="3186">
        <v>25</v>
      </c>
      <c r="C5" s="3115"/>
      <c r="D5" s="3114"/>
      <c r="E5" s="208" t="s">
        <v>845</v>
      </c>
      <c r="F5" s="726"/>
      <c r="G5" s="726"/>
      <c r="H5" s="726"/>
      <c r="I5" s="287"/>
    </row>
    <row r="6" spans="1:12" ht="13.2">
      <c r="A6" s="3145"/>
      <c r="B6" s="3186"/>
      <c r="C6" s="3116"/>
      <c r="D6" s="3114"/>
      <c r="E6" s="208" t="s">
        <v>846</v>
      </c>
      <c r="F6" s="726"/>
      <c r="G6" s="726"/>
      <c r="H6" s="726"/>
      <c r="I6" s="287"/>
    </row>
    <row r="7" spans="1:12" ht="13.2">
      <c r="A7" s="3145"/>
      <c r="B7" s="3186"/>
      <c r="C7" s="3117"/>
      <c r="D7" s="3114"/>
      <c r="E7" s="208" t="s">
        <v>847</v>
      </c>
      <c r="F7" s="726"/>
      <c r="G7" s="726"/>
      <c r="H7" s="726"/>
      <c r="I7" s="287"/>
    </row>
    <row r="8" spans="1:12" ht="13.2">
      <c r="A8" s="3145" t="s">
        <v>848</v>
      </c>
      <c r="B8" s="3186">
        <v>15</v>
      </c>
      <c r="C8" s="3115"/>
      <c r="D8" s="3114"/>
      <c r="E8" s="208" t="s">
        <v>849</v>
      </c>
      <c r="F8" s="726"/>
      <c r="G8" s="726"/>
      <c r="H8" s="726"/>
      <c r="I8" s="287"/>
    </row>
    <row r="9" spans="1:12" ht="13.2">
      <c r="A9" s="3145"/>
      <c r="B9" s="3186"/>
      <c r="C9" s="3117"/>
      <c r="D9" s="3114"/>
      <c r="E9" s="208" t="s">
        <v>850</v>
      </c>
      <c r="F9" s="726"/>
      <c r="G9" s="726"/>
      <c r="H9" s="726"/>
      <c r="I9" s="287"/>
    </row>
    <row r="10" spans="1:12" ht="13.2">
      <c r="A10" s="3145" t="s">
        <v>851</v>
      </c>
      <c r="B10" s="3186">
        <v>15</v>
      </c>
      <c r="C10" s="3115"/>
      <c r="D10" s="3114"/>
      <c r="E10" s="208" t="s">
        <v>852</v>
      </c>
      <c r="F10" s="726"/>
      <c r="G10" s="726"/>
      <c r="H10" s="726"/>
      <c r="I10" s="287"/>
    </row>
    <row r="11" spans="1:12" ht="13.2">
      <c r="A11" s="3145"/>
      <c r="B11" s="3186"/>
      <c r="C11" s="3117"/>
      <c r="D11" s="3114"/>
      <c r="E11" s="208" t="s">
        <v>853</v>
      </c>
      <c r="F11" s="726"/>
      <c r="G11" s="726"/>
      <c r="H11" s="726"/>
      <c r="I11" s="287"/>
    </row>
    <row r="12" spans="1:12" ht="13.2">
      <c r="A12" s="3145" t="s">
        <v>854</v>
      </c>
      <c r="B12" s="3186">
        <v>15</v>
      </c>
      <c r="C12" s="3115"/>
      <c r="D12" s="3114"/>
      <c r="E12" s="208" t="s">
        <v>855</v>
      </c>
      <c r="F12" s="726"/>
      <c r="G12" s="726"/>
      <c r="H12" s="726"/>
      <c r="I12" s="287"/>
    </row>
    <row r="13" spans="1:12" ht="13.2">
      <c r="A13" s="3145"/>
      <c r="B13" s="3186"/>
      <c r="C13" s="3117"/>
      <c r="D13" s="3114"/>
      <c r="E13" s="208" t="s">
        <v>856</v>
      </c>
      <c r="F13" s="726"/>
      <c r="G13" s="726"/>
      <c r="H13" s="726"/>
      <c r="I13" s="287"/>
    </row>
    <row r="14" spans="1:12" ht="13.2">
      <c r="A14" s="3145" t="s">
        <v>857</v>
      </c>
      <c r="B14" s="3186">
        <v>30</v>
      </c>
      <c r="C14" s="3115">
        <v>4</v>
      </c>
      <c r="D14" s="3114">
        <v>6</v>
      </c>
      <c r="E14" s="208" t="s">
        <v>858</v>
      </c>
      <c r="F14" s="726"/>
      <c r="G14" s="726"/>
      <c r="H14" s="726"/>
      <c r="I14" s="287"/>
    </row>
    <row r="15" spans="1:12" ht="13.2">
      <c r="A15" s="3145"/>
      <c r="B15" s="3186"/>
      <c r="C15" s="3116"/>
      <c r="D15" s="3114"/>
      <c r="E15" s="208" t="s">
        <v>859</v>
      </c>
      <c r="F15" s="726"/>
      <c r="G15" s="726"/>
      <c r="H15" s="726"/>
      <c r="I15" s="287"/>
    </row>
    <row r="16" spans="1:12" ht="13.2">
      <c r="A16" s="3145"/>
      <c r="B16" s="3186"/>
      <c r="C16" s="3117"/>
      <c r="D16" s="3114"/>
      <c r="E16" s="208" t="s">
        <v>860</v>
      </c>
      <c r="F16" s="726"/>
      <c r="G16" s="726"/>
      <c r="H16" s="726"/>
      <c r="I16" s="287"/>
    </row>
    <row r="17" spans="1:36" ht="14.4">
      <c r="A17" s="727" t="s">
        <v>861</v>
      </c>
      <c r="B17" s="728"/>
      <c r="C17" s="729">
        <f>SUM(C5:C16)</f>
        <v>4</v>
      </c>
      <c r="D17" s="729">
        <f>SUM(D5:D16)</f>
        <v>6</v>
      </c>
      <c r="E17" s="246"/>
      <c r="F17" s="246"/>
      <c r="G17" s="246"/>
      <c r="H17" s="246"/>
      <c r="I17" s="246"/>
      <c r="K17" s="165"/>
      <c r="L17" s="165" t="s">
        <v>862</v>
      </c>
      <c r="M17" s="165" t="s">
        <v>863</v>
      </c>
    </row>
    <row r="18" spans="1:36" ht="31.95" customHeight="1">
      <c r="A18" s="730" t="s">
        <v>864</v>
      </c>
      <c r="B18" s="731"/>
      <c r="C18" s="732">
        <f>ROUND(C17/SUM(C17:D17),2)</f>
        <v>0.4</v>
      </c>
      <c r="D18" s="732">
        <f>1-C18</f>
        <v>0.6</v>
      </c>
      <c r="E18" s="3103" t="s">
        <v>865</v>
      </c>
      <c r="F18" s="3104"/>
      <c r="G18" s="3104"/>
      <c r="H18" s="3104"/>
      <c r="I18" s="3104"/>
      <c r="K18" s="165" t="s">
        <v>366</v>
      </c>
      <c r="L18" s="165">
        <f>IF(C1="",'数据-汇总表'!E3,SUMIF(项目类型,C1,'数据-汇总表'!E17:E26)+SUMIF(项目类型,C1,'数据-汇总表'!I17:I26))</f>
        <v>0</v>
      </c>
      <c r="M18" s="165">
        <f>IF(C1="",'数据-汇总表'!E3,SUMIF(项目类型,C1,'数据-汇总表'!E17:E26))</f>
        <v>0</v>
      </c>
    </row>
    <row r="19" spans="1:36" ht="14.4">
      <c r="A19" s="733" t="s">
        <v>866</v>
      </c>
      <c r="B19" s="734" t="s">
        <v>867</v>
      </c>
      <c r="C19" s="735">
        <f ca="1">SUMIF(INDIRECT("'"&amp;C4&amp;"'"&amp;"!A:A"),结果表车!B19,INDIRECT("'"&amp;C4&amp;"'"&amp;"!B:B"))</f>
        <v>0</v>
      </c>
      <c r="D19" s="736" t="e">
        <f ca="1">SUMIF(INDIRECT("'"&amp;D4&amp;"'"&amp;"!A:A"),结果表车!B19,INDIRECT("'"&amp;D4&amp;"'"&amp;"!B:B"))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4">
      <c r="A20" s="739"/>
      <c r="B20" s="740" t="s">
        <v>870</v>
      </c>
      <c r="C20" s="741" t="e">
        <f ca="1">SUMIF(INDIRECT("'"&amp;C4&amp;"'"&amp;"!A:A"),结果表车!B20,INDIRECT("'"&amp;C4&amp;"'"&amp;"!B:B"))</f>
        <v>#DIV/0!</v>
      </c>
      <c r="D20" s="742">
        <f ca="1">SUMIF(INDIRECT("'"&amp;D4&amp;"'"&amp;"!A:A"),结果表车!B20,INDIRECT("'"&amp;D4&amp;"'"&amp;"!B:B"))</f>
        <v>0</v>
      </c>
      <c r="E20" s="739"/>
      <c r="F20" s="740" t="s">
        <v>870</v>
      </c>
      <c r="G20" s="743" t="e">
        <f ca="1">ROUND(C20*$C$18+D20*$D$18,0)</f>
        <v>#DIV/0!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4">
      <c r="A22" s="749" t="s">
        <v>873</v>
      </c>
      <c r="B22" s="750"/>
      <c r="C22" s="751"/>
      <c r="D22" s="752" t="e">
        <f ca="1">IF(C19&lt;D19,D19/C19-1,C19/D19-1)</f>
        <v>#N/A</v>
      </c>
      <c r="E22" s="246"/>
      <c r="F22" s="246"/>
      <c r="G22" s="246"/>
      <c r="H22" s="246"/>
      <c r="I22" s="246"/>
    </row>
    <row r="23" spans="1:36" ht="13.2">
      <c r="A23" s="315"/>
      <c r="B23" s="315"/>
      <c r="C23" s="315"/>
      <c r="D23" s="315"/>
      <c r="E23" s="246"/>
      <c r="F23" s="246"/>
      <c r="G23" s="246"/>
      <c r="H23" s="246"/>
      <c r="I23" s="246"/>
    </row>
    <row r="24" spans="1:36" ht="14.4">
      <c r="A24" s="3179" t="s">
        <v>874</v>
      </c>
      <c r="B24" s="734" t="s">
        <v>867</v>
      </c>
      <c r="C24" s="737">
        <f>IF(B30=0,0,D30)</f>
        <v>0</v>
      </c>
      <c r="D24" s="753"/>
      <c r="E24" s="246"/>
      <c r="F24" s="246"/>
      <c r="G24" s="246"/>
      <c r="H24" s="246"/>
      <c r="I24" s="246"/>
    </row>
    <row r="25" spans="1:36" ht="14.4">
      <c r="A25" s="3180"/>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3.8">
      <c r="A27" s="756"/>
      <c r="B27" s="757">
        <v>0</v>
      </c>
      <c r="C27" s="757">
        <v>0</v>
      </c>
      <c r="D27" s="758">
        <f>ROUND(C27*B27/10000,0)</f>
        <v>0</v>
      </c>
      <c r="E27" s="246"/>
      <c r="F27" s="246"/>
      <c r="G27" s="246"/>
      <c r="H27" s="246"/>
      <c r="I27" s="246"/>
    </row>
    <row r="28" spans="1:36" ht="13.8">
      <c r="A28" s="756"/>
      <c r="B28" s="757"/>
      <c r="C28" s="757"/>
      <c r="D28" s="758"/>
      <c r="E28" s="246"/>
      <c r="F28" s="246"/>
      <c r="G28" s="246"/>
      <c r="H28" s="246"/>
      <c r="I28" s="246"/>
    </row>
    <row r="29" spans="1:36" ht="13.8">
      <c r="A29" s="756"/>
      <c r="B29" s="757"/>
      <c r="C29" s="757"/>
      <c r="D29" s="758"/>
      <c r="E29" s="246"/>
      <c r="F29" s="246"/>
      <c r="G29" s="246"/>
      <c r="H29" s="246"/>
      <c r="I29" s="246"/>
    </row>
    <row r="30" spans="1:36" ht="14.4">
      <c r="A30" s="757" t="s">
        <v>879</v>
      </c>
      <c r="B30" s="757"/>
      <c r="C30" s="757"/>
      <c r="D30" s="757"/>
      <c r="E30" s="759" t="s">
        <v>880</v>
      </c>
      <c r="F30" s="246"/>
      <c r="G30" s="246"/>
      <c r="H30" s="246"/>
      <c r="I30" s="246"/>
    </row>
    <row r="31" spans="1:36" s="709" customFormat="1" ht="26.5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4">
      <c r="A32" s="762" t="s">
        <v>882</v>
      </c>
      <c r="B32" s="763"/>
      <c r="C32" s="764" t="e">
        <f ca="1">IF(D32="总价",G19-C24,G20-C25)</f>
        <v>#N/A</v>
      </c>
      <c r="D32" s="765" t="s">
        <v>883</v>
      </c>
      <c r="E32" s="246"/>
      <c r="F32" s="246"/>
      <c r="G32" s="246"/>
      <c r="H32" s="246"/>
      <c r="I32" s="246"/>
    </row>
    <row r="33" spans="1:15" ht="14.4">
      <c r="A33" s="766" t="s">
        <v>884</v>
      </c>
      <c r="B33" s="208"/>
      <c r="C33" s="767" t="s">
        <v>885</v>
      </c>
      <c r="D33" s="768" t="s">
        <v>886</v>
      </c>
      <c r="E33" s="769" t="s">
        <v>887</v>
      </c>
      <c r="F33" s="770" t="str">
        <f>IF(D32="楼面单价","取值（单价）","取值（总价）")</f>
        <v>取值（总价）</v>
      </c>
      <c r="G33" s="246"/>
      <c r="H33" s="246"/>
      <c r="I33" s="246"/>
    </row>
    <row r="34" spans="1:15" ht="14.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4">
      <c r="A36" s="3181" t="s">
        <v>892</v>
      </c>
      <c r="B36" s="783" t="s">
        <v>893</v>
      </c>
      <c r="C36" s="784"/>
      <c r="D36" s="785"/>
      <c r="E36" s="786"/>
      <c r="F36" s="787"/>
      <c r="G36" s="246"/>
      <c r="H36" s="246"/>
      <c r="I36" s="246"/>
    </row>
    <row r="37" spans="1:15" ht="14.4">
      <c r="A37" s="3182"/>
      <c r="B37" s="788" t="s">
        <v>894</v>
      </c>
      <c r="C37" s="789"/>
      <c r="D37" s="790"/>
      <c r="E37" s="790"/>
      <c r="F37" s="787"/>
      <c r="G37" s="246"/>
      <c r="H37" s="246"/>
      <c r="I37" s="246"/>
    </row>
    <row r="38" spans="1:15" ht="14.4">
      <c r="A38" s="3183"/>
      <c r="B38" s="791" t="s">
        <v>895</v>
      </c>
      <c r="C38" s="792"/>
      <c r="D38" s="793" t="s">
        <v>896</v>
      </c>
      <c r="E38" s="790"/>
      <c r="F38" s="787"/>
      <c r="G38" s="246"/>
      <c r="H38" s="246"/>
      <c r="I38" s="246"/>
    </row>
    <row r="39" spans="1:15" ht="14.4">
      <c r="A39" s="739" t="s">
        <v>897</v>
      </c>
      <c r="B39" s="794" t="s">
        <v>876</v>
      </c>
      <c r="C39" s="795" t="s">
        <v>877</v>
      </c>
      <c r="D39" s="795" t="s">
        <v>898</v>
      </c>
      <c r="E39" s="796" t="s">
        <v>878</v>
      </c>
      <c r="F39" s="787"/>
      <c r="G39" s="246"/>
      <c r="H39" s="246"/>
      <c r="I39" s="246"/>
    </row>
    <row r="40" spans="1:15" ht="13.8">
      <c r="A40" s="797" t="s">
        <v>899</v>
      </c>
      <c r="B40" s="798"/>
      <c r="C40" s="799"/>
      <c r="D40" s="799"/>
      <c r="E40" s="800"/>
      <c r="F40" s="787"/>
      <c r="G40" s="246"/>
      <c r="H40" s="246"/>
      <c r="I40" s="246"/>
    </row>
    <row r="41" spans="1:15" ht="13.8">
      <c r="A41" s="797" t="s">
        <v>900</v>
      </c>
      <c r="B41" s="798"/>
      <c r="C41" s="799"/>
      <c r="D41" s="799"/>
      <c r="E41" s="800"/>
      <c r="F41" s="787"/>
      <c r="G41" s="246"/>
      <c r="H41" s="246"/>
      <c r="I41" s="246"/>
    </row>
    <row r="42" spans="1:15" ht="13.8">
      <c r="A42" s="801"/>
      <c r="B42" s="802"/>
      <c r="C42" s="803"/>
      <c r="D42" s="803"/>
      <c r="E42" s="782"/>
      <c r="F42" s="787"/>
      <c r="G42" s="246"/>
      <c r="H42" s="246"/>
      <c r="I42" s="246"/>
    </row>
    <row r="43" spans="1:15" ht="13.2">
      <c r="A43" s="804"/>
      <c r="B43" s="804"/>
      <c r="C43" s="804"/>
      <c r="D43" s="804"/>
      <c r="E43" s="804"/>
      <c r="F43" s="805"/>
      <c r="G43" s="805"/>
      <c r="H43" s="805"/>
      <c r="I43" s="861"/>
    </row>
    <row r="44" spans="1:15" ht="17.399999999999999">
      <c r="A44" s="806" t="s">
        <v>901</v>
      </c>
      <c r="B44" s="807"/>
      <c r="C44" s="807"/>
      <c r="D44" s="808"/>
      <c r="E44" s="808"/>
      <c r="F44" s="809"/>
      <c r="G44" s="809"/>
      <c r="H44" s="809"/>
      <c r="I44" s="809"/>
      <c r="J44" s="862" t="s">
        <v>902</v>
      </c>
      <c r="K44" s="863"/>
      <c r="L44" s="863"/>
      <c r="M44" s="863"/>
      <c r="N44" s="863"/>
      <c r="O44" s="863"/>
    </row>
    <row r="45" spans="1:15" ht="14.25" customHeight="1">
      <c r="A45" s="3105" t="s">
        <v>903</v>
      </c>
      <c r="B45" s="3106"/>
      <c r="C45" s="3107"/>
      <c r="D45" s="164" t="e">
        <f ca="1">ROUND(H101*F45,0)</f>
        <v>#N/A</v>
      </c>
      <c r="E45" s="810" t="s">
        <v>904</v>
      </c>
      <c r="F45" s="811">
        <v>1</v>
      </c>
      <c r="G45" s="176" t="s">
        <v>905</v>
      </c>
      <c r="H45" s="246"/>
      <c r="I45" s="246"/>
      <c r="J45" s="3108" t="s">
        <v>906</v>
      </c>
      <c r="K45" s="3108"/>
      <c r="L45" s="3108"/>
      <c r="M45" s="3108"/>
      <c r="N45" s="3108"/>
      <c r="O45" s="3108"/>
    </row>
    <row r="46" spans="1:15" ht="14.25" customHeight="1">
      <c r="A46" s="3109" t="s">
        <v>907</v>
      </c>
      <c r="B46" s="3110"/>
      <c r="C46" s="3110"/>
      <c r="D46" s="3110"/>
      <c r="E46" s="3110"/>
      <c r="F46" s="3110"/>
      <c r="G46" s="3111"/>
      <c r="H46" s="812"/>
      <c r="I46" s="845"/>
      <c r="J46" s="864">
        <v>1</v>
      </c>
      <c r="K46" s="3112" t="s">
        <v>908</v>
      </c>
      <c r="L46" s="3112"/>
      <c r="M46" s="3113"/>
      <c r="N46" s="3113"/>
      <c r="O46" s="3113"/>
    </row>
    <row r="47" spans="1:15" ht="12" customHeight="1">
      <c r="A47" s="813" t="s">
        <v>909</v>
      </c>
      <c r="B47" s="814"/>
      <c r="C47" s="815"/>
      <c r="D47" s="219" t="s">
        <v>910</v>
      </c>
      <c r="E47" s="165" t="s">
        <v>911</v>
      </c>
      <c r="F47" s="816" t="s">
        <v>912</v>
      </c>
      <c r="G47" s="817" t="s">
        <v>913</v>
      </c>
      <c r="H47" s="818"/>
      <c r="I47" s="845"/>
      <c r="J47" s="864">
        <v>2</v>
      </c>
      <c r="K47" s="3112" t="s">
        <v>914</v>
      </c>
      <c r="L47" s="3112"/>
      <c r="M47" s="3118">
        <f>'数据-取费表'!B2</f>
        <v>44904</v>
      </c>
      <c r="N47" s="3118"/>
      <c r="O47" s="3118"/>
    </row>
    <row r="48" spans="1:15" ht="26.4">
      <c r="A48" s="3119" t="s">
        <v>915</v>
      </c>
      <c r="B48" s="3120"/>
      <c r="C48" s="312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2" t="s">
        <v>917</v>
      </c>
      <c r="L48" s="3112"/>
      <c r="M48" s="3121" t="e">
        <f ca="1">H101</f>
        <v>#N/A</v>
      </c>
      <c r="N48" s="3121"/>
      <c r="O48" s="3121"/>
    </row>
    <row r="49" spans="1:35" ht="25.5" customHeight="1">
      <c r="A49" s="819" t="s">
        <v>918</v>
      </c>
      <c r="B49" s="3122" t="s">
        <v>919</v>
      </c>
      <c r="C49" s="3122"/>
      <c r="D49" s="823">
        <v>0</v>
      </c>
      <c r="E49" s="229" t="s">
        <v>920</v>
      </c>
      <c r="F49" s="824" t="s">
        <v>124</v>
      </c>
      <c r="G49" s="3128"/>
      <c r="H49" s="825" t="s">
        <v>921</v>
      </c>
      <c r="I49" s="866"/>
      <c r="J49" s="864">
        <v>4</v>
      </c>
      <c r="K49" s="3112" t="str">
        <f>IF(项目基本情况!E8="房地产抵押价值","房地产抵押价值","抵押担保权已注销时的房地产抵押价值")</f>
        <v>房地产抵押价值</v>
      </c>
      <c r="L49" s="3112"/>
      <c r="M49" s="3121" t="e">
        <f ca="1">IF(项目基本情况!E8="房地产抵押价值",H107,H109)</f>
        <v>#N/A</v>
      </c>
      <c r="N49" s="3121"/>
      <c r="O49" s="3121"/>
    </row>
    <row r="50" spans="1:35" ht="25.5" customHeight="1">
      <c r="A50" s="826"/>
      <c r="B50" s="3122" t="s">
        <v>922</v>
      </c>
      <c r="C50" s="3122"/>
      <c r="D50" s="827"/>
      <c r="E50" s="244"/>
      <c r="F50" s="824"/>
      <c r="G50" s="3129"/>
      <c r="H50" s="828" t="s">
        <v>923</v>
      </c>
      <c r="I50" s="866"/>
      <c r="J50" s="3108" t="s">
        <v>924</v>
      </c>
      <c r="K50" s="3108"/>
      <c r="L50" s="3108"/>
      <c r="M50" s="3108"/>
      <c r="N50" s="3108"/>
      <c r="O50" s="3108"/>
    </row>
    <row r="51" spans="1:35" ht="20.55" customHeight="1">
      <c r="A51" s="829"/>
      <c r="B51" s="3122" t="s">
        <v>925</v>
      </c>
      <c r="C51" s="3122"/>
      <c r="D51" s="219"/>
      <c r="E51" s="233"/>
      <c r="F51" s="824"/>
      <c r="G51" s="3130"/>
      <c r="H51" s="828" t="s">
        <v>926</v>
      </c>
      <c r="I51" s="866"/>
      <c r="J51" s="865" t="s">
        <v>927</v>
      </c>
      <c r="K51" s="3112" t="s">
        <v>928</v>
      </c>
      <c r="L51" s="3112"/>
      <c r="M51" s="865" t="s">
        <v>929</v>
      </c>
      <c r="N51" s="865" t="s">
        <v>930</v>
      </c>
      <c r="O51" s="865" t="s">
        <v>931</v>
      </c>
    </row>
    <row r="52" spans="1:35" ht="24" customHeight="1">
      <c r="A52" s="830" t="s">
        <v>932</v>
      </c>
      <c r="B52" s="3122" t="s">
        <v>933</v>
      </c>
      <c r="C52" s="3122"/>
      <c r="D52" s="219" t="e">
        <f ca="1">ROUND(D45*'数据-取费表'!B41/(1+'数据-取费表'!C42),0)</f>
        <v>#N/A</v>
      </c>
      <c r="E52" s="223" t="s">
        <v>934</v>
      </c>
      <c r="F52" s="831">
        <f>'数据-取费表'!B41</f>
        <v>5.6000000000000001E-2</v>
      </c>
      <c r="G52" s="832"/>
      <c r="H52" s="336"/>
      <c r="I52" s="867"/>
      <c r="J52" s="864">
        <v>1</v>
      </c>
      <c r="K52" s="3124" t="s">
        <v>935</v>
      </c>
      <c r="L52" s="3124"/>
      <c r="M52" s="868" t="b">
        <f>D48</f>
        <v>0</v>
      </c>
      <c r="N52" s="864" t="str">
        <f>E48</f>
        <v>销售额×税（费）率</v>
      </c>
      <c r="O52" s="869">
        <f>F48</f>
        <v>5.6000000000000001E-2</v>
      </c>
    </row>
    <row r="53" spans="1:35" ht="12" customHeight="1">
      <c r="A53" s="830" t="s">
        <v>936</v>
      </c>
      <c r="B53" s="3125" t="s">
        <v>937</v>
      </c>
      <c r="C53" s="3126"/>
      <c r="D53" s="219" t="e">
        <f ca="1">ROUND(D45*'数据-取费表'!B41/(1+'数据-取费表'!C42),0)</f>
        <v>#N/A</v>
      </c>
      <c r="E53" s="223" t="s">
        <v>934</v>
      </c>
      <c r="F53" s="831">
        <f>'数据-取费表'!B41</f>
        <v>5.6000000000000001E-2</v>
      </c>
      <c r="G53" s="832"/>
      <c r="H53" s="336"/>
      <c r="I53" s="867"/>
      <c r="J53" s="864">
        <v>2</v>
      </c>
      <c r="K53" s="3124" t="s">
        <v>938</v>
      </c>
      <c r="L53" s="3124"/>
      <c r="M53" s="868" t="e">
        <f t="shared" ref="M53:O54" ca="1" si="0">D55</f>
        <v>#N/A</v>
      </c>
      <c r="N53" s="864" t="str">
        <f t="shared" si="0"/>
        <v>销售额×税（费）率</v>
      </c>
      <c r="O53" s="869" t="str">
        <f t="shared" si="0"/>
        <v>免征</v>
      </c>
    </row>
    <row r="54" spans="1:35" ht="12" customHeight="1">
      <c r="A54" s="830" t="s">
        <v>939</v>
      </c>
      <c r="B54" s="3125" t="s">
        <v>940</v>
      </c>
      <c r="C54" s="3126"/>
      <c r="D54" s="219" t="e">
        <f ca="1">C68</f>
        <v>#N/A</v>
      </c>
      <c r="E54" s="233" t="s">
        <v>941</v>
      </c>
      <c r="F54" s="831">
        <f>'数据-取费表'!B41</f>
        <v>5.6000000000000001E-2</v>
      </c>
      <c r="G54" s="832"/>
      <c r="H54" s="833"/>
      <c r="I54" s="867"/>
      <c r="J54" s="864">
        <v>3</v>
      </c>
      <c r="K54" s="3124" t="s">
        <v>942</v>
      </c>
      <c r="L54" s="3124"/>
      <c r="M54" s="868" t="e">
        <f t="shared" ca="1" si="0"/>
        <v>#N/A</v>
      </c>
      <c r="N54" s="864" t="str">
        <f t="shared" si="0"/>
        <v>增值额×税（费）率</v>
      </c>
      <c r="O54" s="870" t="str">
        <f t="shared" si="0"/>
        <v>免征</v>
      </c>
    </row>
    <row r="55" spans="1:35" ht="24" customHeight="1">
      <c r="A55" s="3127" t="s">
        <v>943</v>
      </c>
      <c r="B55" s="3120"/>
      <c r="C55" s="3120"/>
      <c r="D55" s="322" t="e">
        <f ca="1">IF(H55="个人住宅",0,ROUND(D45*I55,0))</f>
        <v>#N/A</v>
      </c>
      <c r="E55" s="223" t="s">
        <v>944</v>
      </c>
      <c r="F55" s="831" t="str">
        <f>IF(H55="正常",I55,"免征")</f>
        <v>免征</v>
      </c>
      <c r="G55" s="832"/>
      <c r="H55" s="822"/>
      <c r="I55" s="871">
        <f>'数据-取费表'!B49</f>
        <v>5.0000000000000001E-4</v>
      </c>
      <c r="J55" s="864">
        <f>IF(H59="非个人房产","",4)</f>
        <v>4</v>
      </c>
      <c r="K55" s="3124" t="str">
        <f>IF(H59="非个人房产","——","个人所得税")</f>
        <v>个人所得税</v>
      </c>
      <c r="L55" s="3124"/>
      <c r="M55" s="872" t="e">
        <f ca="1">D59</f>
        <v>#N/A</v>
      </c>
      <c r="N55" s="873" t="str">
        <f>E59</f>
        <v>差额计税</v>
      </c>
      <c r="O55" s="874">
        <f>F59</f>
        <v>0.01</v>
      </c>
    </row>
    <row r="56" spans="1:35" ht="25.2">
      <c r="A56" s="3127" t="s">
        <v>945</v>
      </c>
      <c r="B56" s="3120"/>
      <c r="C56" s="3120"/>
      <c r="D56" s="322" t="e">
        <f ca="1">IF(H56="个人住宅",D57,D58)</f>
        <v>#N/A</v>
      </c>
      <c r="E56" s="223" t="s">
        <v>946</v>
      </c>
      <c r="F56" s="831" t="str">
        <f>IF(H56="正常",F58,"免征")</f>
        <v>免征</v>
      </c>
      <c r="G56" s="834" t="s">
        <v>947</v>
      </c>
      <c r="H56" s="835"/>
      <c r="I56" s="844"/>
      <c r="J56" s="864" t="str">
        <f>IF(项目基本情况!K6="上海银行",IF(J55="",4,J55+1),"")</f>
        <v/>
      </c>
      <c r="K56" s="3131" t="str">
        <f>IF(项目基本情况!K6="上海银行","其他处置费用","")</f>
        <v/>
      </c>
      <c r="L56" s="3132"/>
      <c r="M56" s="868" t="str">
        <f>IF(项目基本情况!K6="上海银行",M69,"")</f>
        <v/>
      </c>
      <c r="N56" s="3131" t="str">
        <f>IF(项目基本情况!K6="上海银行","包含处置中涉及的律师、诉讼、拍卖、评估等费用","")</f>
        <v/>
      </c>
      <c r="O56" s="3133"/>
    </row>
    <row r="57" spans="1:35" ht="13.2">
      <c r="A57" s="830" t="s">
        <v>918</v>
      </c>
      <c r="B57" s="3125" t="s">
        <v>948</v>
      </c>
      <c r="C57" s="3126"/>
      <c r="D57" s="823">
        <v>0</v>
      </c>
      <c r="E57" s="229" t="s">
        <v>920</v>
      </c>
      <c r="F57" s="165"/>
      <c r="G57" s="832"/>
      <c r="H57" s="836"/>
      <c r="I57" s="844"/>
      <c r="J57" s="3124">
        <f>IF(AND(J55="",J56=""),4,IF(项目基本情况!K6="上海银行",结果表车!J56+1,结果表车!J55+1))</f>
        <v>5</v>
      </c>
      <c r="K57" s="3124" t="s">
        <v>949</v>
      </c>
      <c r="L57" s="876" t="s">
        <v>950</v>
      </c>
      <c r="M57" s="877"/>
      <c r="N57" s="878">
        <f ca="1">SUMIF(M52:M56,"&lt;9e307")</f>
        <v>0</v>
      </c>
      <c r="O57" s="879"/>
      <c r="P57" s="880" t="e">
        <f ca="1">N57/M49</f>
        <v>#N/A</v>
      </c>
    </row>
    <row r="58" spans="1:35" ht="25.2">
      <c r="A58" s="830" t="s">
        <v>932</v>
      </c>
      <c r="B58" s="3125" t="s">
        <v>951</v>
      </c>
      <c r="C58" s="3122"/>
      <c r="D58" s="322" t="e">
        <f ca="1">IF(H58="转让取得",C81,C97)</f>
        <v>#N/A</v>
      </c>
      <c r="E58" s="223" t="s">
        <v>946</v>
      </c>
      <c r="F58" s="165" t="s">
        <v>124</v>
      </c>
      <c r="G58" s="832"/>
      <c r="H58" s="835"/>
      <c r="I58" s="844"/>
      <c r="J58" s="3124"/>
      <c r="K58" s="3124"/>
      <c r="L58" s="876" t="s">
        <v>952</v>
      </c>
      <c r="M58" s="881"/>
      <c r="N58" s="882" t="str">
        <f ca="1">NUMBERSTRING(INT(N57*10000),2)&amp;"元整"</f>
        <v>零元整</v>
      </c>
      <c r="O58" s="883"/>
    </row>
    <row r="59" spans="1:35" ht="24">
      <c r="A59" s="3134" t="s">
        <v>953</v>
      </c>
      <c r="B59" s="3135"/>
      <c r="C59" s="313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9">
        <f>J57+1</f>
        <v>6</v>
      </c>
      <c r="K59" s="3124" t="s">
        <v>955</v>
      </c>
      <c r="L59" s="864" t="s">
        <v>950</v>
      </c>
      <c r="M59" s="885"/>
      <c r="N59" s="886" t="e">
        <f ca="1">M49-N57</f>
        <v>#N/A</v>
      </c>
      <c r="O59" s="887"/>
    </row>
    <row r="60" spans="1:35" ht="12" customHeight="1">
      <c r="A60" s="842"/>
      <c r="B60" s="315"/>
      <c r="C60" s="315"/>
      <c r="D60" s="315"/>
      <c r="E60" s="843"/>
      <c r="F60" s="844"/>
      <c r="G60" s="844"/>
      <c r="H60" s="845"/>
      <c r="I60" s="246"/>
      <c r="J60" s="3140"/>
      <c r="K60" s="3124"/>
      <c r="L60" s="876" t="s">
        <v>952</v>
      </c>
      <c r="M60" s="881"/>
      <c r="N60" s="882" t="e">
        <f ca="1">NUMBERSTRING(INT(N59*10000),2)&amp;"元整"</f>
        <v>#N/A</v>
      </c>
      <c r="O60" s="883"/>
    </row>
    <row r="61" spans="1:35" ht="13.2">
      <c r="A61" s="3136" t="s">
        <v>956</v>
      </c>
      <c r="B61" s="3136"/>
      <c r="C61" s="3136"/>
      <c r="D61" s="3136"/>
      <c r="E61" s="3136"/>
      <c r="F61" s="844"/>
      <c r="G61" s="844"/>
      <c r="H61" s="845"/>
      <c r="I61" s="246"/>
      <c r="J61" s="864">
        <f>J59+1</f>
        <v>7</v>
      </c>
      <c r="K61" s="3124" t="s">
        <v>957</v>
      </c>
      <c r="L61" s="3124"/>
      <c r="M61" s="889"/>
      <c r="N61" s="890" t="e">
        <f ca="1">ROUND(N59*10000/'数据-汇总表'!E3,0)</f>
        <v>#N/A</v>
      </c>
      <c r="O61" s="891"/>
    </row>
    <row r="62" spans="1:35" ht="13.2">
      <c r="A62" s="3137" t="s">
        <v>958</v>
      </c>
      <c r="B62" s="3138"/>
      <c r="C62" s="846"/>
      <c r="D62" s="846" t="s">
        <v>959</v>
      </c>
      <c r="E62" s="847" t="s">
        <v>913</v>
      </c>
      <c r="F62" s="844"/>
      <c r="G62" s="844"/>
      <c r="H62" s="845"/>
      <c r="I62" s="246"/>
    </row>
    <row r="63" spans="1:35" ht="13.2">
      <c r="A63" s="848" t="s">
        <v>960</v>
      </c>
      <c r="B63" s="849" t="s">
        <v>961</v>
      </c>
      <c r="C63" s="850" t="e">
        <f ca="1">ROUND((C64+C65)/(1+'数据-取费表'!C42),0)</f>
        <v>#N/A</v>
      </c>
      <c r="D63" s="849"/>
      <c r="E63" s="851"/>
      <c r="F63" s="844"/>
      <c r="G63" s="844"/>
      <c r="H63" s="845"/>
      <c r="I63" s="246"/>
      <c r="J63" s="3123"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23"/>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23"/>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23"/>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23"/>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23"/>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23"/>
      <c r="K69" s="892" t="s">
        <v>982</v>
      </c>
      <c r="L69" s="892"/>
      <c r="M69" s="165" t="e">
        <f ca="1">ROUND(SUM(M63:M68),0)</f>
        <v>#N/A</v>
      </c>
      <c r="N69" s="971" t="e">
        <f ca="1">M69/M49</f>
        <v>#N/A</v>
      </c>
      <c r="Z69" s="713"/>
      <c r="AI69" s="714"/>
    </row>
    <row r="70" spans="1:35" s="710" customFormat="1" ht="13.8">
      <c r="A70" s="3164" t="s">
        <v>983</v>
      </c>
      <c r="B70" s="3165"/>
      <c r="C70" s="3165"/>
      <c r="D70" s="3165"/>
      <c r="E70" s="3165"/>
      <c r="F70" s="3165"/>
      <c r="G70" s="3165"/>
      <c r="H70" s="316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3.8">
      <c r="A71" s="3137" t="s">
        <v>958</v>
      </c>
      <c r="B71" s="3138"/>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3.8">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3.8">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28.8">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5" t="s">
        <v>993</v>
      </c>
      <c r="F76" s="3122"/>
      <c r="G76" s="3122"/>
      <c r="H76" s="316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67" t="s">
        <v>998</v>
      </c>
      <c r="F78" s="3168"/>
      <c r="G78" s="3168"/>
      <c r="H78" s="316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3.8">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3.8">
      <c r="A83" s="3164" t="s">
        <v>1003</v>
      </c>
      <c r="B83" s="3165"/>
      <c r="C83" s="3165"/>
      <c r="D83" s="3165"/>
      <c r="E83" s="3165"/>
      <c r="F83" s="3165"/>
      <c r="G83" s="3165"/>
      <c r="H83" s="316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3.8">
      <c r="A84" s="3137" t="s">
        <v>958</v>
      </c>
      <c r="B84" s="3138"/>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3.8">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3.8">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3.8">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3.8">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4">
      <c r="A90" s="852" t="s">
        <v>968</v>
      </c>
      <c r="B90" s="853" t="s">
        <v>1010</v>
      </c>
      <c r="C90" s="940"/>
      <c r="D90" s="925"/>
      <c r="E90" s="941" t="str">
        <f>IF(H88="-","土地取得成本中已包含该笔费用"," ")</f>
        <v xml:space="preserve"> </v>
      </c>
      <c r="F90" s="927"/>
      <c r="G90" s="3176" t="s">
        <v>1011</v>
      </c>
      <c r="H90" s="3177"/>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7" t="s">
        <v>1015</v>
      </c>
      <c r="F91" s="3168"/>
      <c r="G91" s="316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7" t="s">
        <v>1018</v>
      </c>
      <c r="F92" s="3168"/>
      <c r="G92" s="3168"/>
      <c r="H92" s="3169"/>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67" t="s">
        <v>998</v>
      </c>
      <c r="F93" s="3168"/>
      <c r="G93" s="3168"/>
      <c r="H93" s="316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9" t="s">
        <v>1023</v>
      </c>
      <c r="F94" s="3190"/>
      <c r="G94" s="3190"/>
      <c r="H94" s="319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3.8">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52"/>
      <c r="E100" s="3090" t="s">
        <v>1026</v>
      </c>
      <c r="F100" s="3090"/>
      <c r="G100" s="3090"/>
      <c r="H100" s="3152"/>
      <c r="I100" s="246"/>
    </row>
    <row r="101" spans="1:35" ht="18.75" customHeight="1">
      <c r="A101" s="3153" t="s">
        <v>1027</v>
      </c>
      <c r="B101" s="3154"/>
      <c r="C101" s="948" t="str">
        <f>C4</f>
        <v>比较法-车位</v>
      </c>
      <c r="D101" s="949" t="str">
        <f>D4</f>
        <v>收益法车</v>
      </c>
      <c r="E101" s="3170" t="s">
        <v>1028</v>
      </c>
      <c r="F101" s="3171"/>
      <c r="G101" s="951" t="s">
        <v>1029</v>
      </c>
      <c r="H101" s="952" t="e">
        <f ca="1">H118</f>
        <v>#N/A</v>
      </c>
      <c r="I101" s="246"/>
    </row>
    <row r="102" spans="1:35" ht="18.75" customHeight="1">
      <c r="A102" s="3184" t="s">
        <v>1030</v>
      </c>
      <c r="B102" s="953" t="s">
        <v>1029</v>
      </c>
      <c r="C102" s="948">
        <f ca="1">C19</f>
        <v>0</v>
      </c>
      <c r="D102" s="949" t="e">
        <f ca="1">D19</f>
        <v>#N/A</v>
      </c>
      <c r="E102" s="3170"/>
      <c r="F102" s="3171"/>
      <c r="G102" s="951" t="s">
        <v>99</v>
      </c>
      <c r="H102" s="832" t="e">
        <f ca="1">I118</f>
        <v>#N/A</v>
      </c>
      <c r="I102" s="246"/>
    </row>
    <row r="103" spans="1:35" ht="42.75" customHeight="1">
      <c r="A103" s="3184"/>
      <c r="B103" s="953" t="s">
        <v>99</v>
      </c>
      <c r="C103" s="954" t="e">
        <f ca="1">C20</f>
        <v>#DIV/0!</v>
      </c>
      <c r="D103" s="955">
        <f ca="1">D20</f>
        <v>0</v>
      </c>
      <c r="E103" s="3155" t="s">
        <v>1031</v>
      </c>
      <c r="F103" s="3156"/>
      <c r="G103" s="956" t="s">
        <v>102</v>
      </c>
      <c r="H103" s="952">
        <f>IF(D36="正常操作",H104+H105+H106,H105+H106)</f>
        <v>0</v>
      </c>
      <c r="I103" s="246"/>
    </row>
    <row r="104" spans="1:35" ht="18.75" customHeight="1">
      <c r="A104" s="3184"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5"/>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2" t="str">
        <f>IF(项目基本情况!E8="已注销","——","3.房地产抵押价值")</f>
        <v>3.房地产抵押价值</v>
      </c>
      <c r="F107" s="3171"/>
      <c r="G107" s="951" t="s">
        <v>1029</v>
      </c>
      <c r="H107" s="952" t="e">
        <f ca="1">IF(E107="——","——",H101-H103)</f>
        <v>#N/A</v>
      </c>
      <c r="I107" s="246"/>
    </row>
    <row r="108" spans="1:35" ht="18.75" customHeight="1">
      <c r="A108" s="246"/>
      <c r="B108" s="246"/>
      <c r="C108" s="246"/>
      <c r="D108" s="246"/>
      <c r="E108" s="3172"/>
      <c r="F108" s="3171"/>
      <c r="G108" s="951" t="s">
        <v>99</v>
      </c>
      <c r="H108" s="832" t="e">
        <f ca="1">ROUND(H107*10000/'数据-汇总表'!E3,0)</f>
        <v>#N/A</v>
      </c>
      <c r="I108" s="246"/>
    </row>
    <row r="109" spans="1:35" ht="18.75" customHeight="1">
      <c r="A109" s="246"/>
      <c r="B109" s="246"/>
      <c r="C109" s="246"/>
      <c r="D109" s="246"/>
      <c r="E109" s="3172" t="str">
        <f>IF(项目基本情况!E8="已注销及未注销","4.抵押担保权已注销时的房地产抵押价值",IF(项目基本情况!E8="已注销","3.抵押担保权已注销时的房地产抵押价值","——"))</f>
        <v>——</v>
      </c>
      <c r="F109" s="3171"/>
      <c r="G109" s="951" t="s">
        <v>1029</v>
      </c>
      <c r="H109" s="967" t="str">
        <f>IF(E109="——","——",H101-H105-H106)</f>
        <v>——</v>
      </c>
      <c r="I109" s="246"/>
    </row>
    <row r="110" spans="1:35" ht="18.75" customHeight="1">
      <c r="A110" s="246"/>
      <c r="B110" s="246"/>
      <c r="C110" s="246"/>
      <c r="D110" s="246"/>
      <c r="E110" s="3172"/>
      <c r="F110" s="3171"/>
      <c r="G110" s="951" t="s">
        <v>99</v>
      </c>
      <c r="H110" s="832" t="str">
        <f>IF(H109="——","——",ROUND(H109*10000/'数据-汇总表'!E3,0))</f>
        <v>——</v>
      </c>
      <c r="I110" s="246"/>
    </row>
    <row r="111" spans="1:35" ht="18.75" customHeight="1">
      <c r="A111" s="246"/>
      <c r="B111" s="246"/>
      <c r="C111" s="246"/>
      <c r="D111" s="246"/>
      <c r="E111" s="3173" t="str">
        <f>IF(项目基本情况!E9="抵押净值",IF(OR(项目基本情况!E8="已注销",项目基本情况!E8="房地产抵押价值"),"4.抵押净值","5.抵押净值"),"——")</f>
        <v>——</v>
      </c>
      <c r="F111" s="3141"/>
      <c r="G111" s="951" t="s">
        <v>1029</v>
      </c>
      <c r="H111" s="952" t="str">
        <f>IF(E111="——","——",N59)</f>
        <v>——</v>
      </c>
      <c r="I111" s="246"/>
    </row>
    <row r="112" spans="1:35" ht="18.75" customHeight="1">
      <c r="A112" s="246"/>
      <c r="B112" s="246"/>
      <c r="C112" s="246"/>
      <c r="D112" s="246"/>
      <c r="E112" s="3174"/>
      <c r="F112" s="3175"/>
      <c r="G112" s="968" t="s">
        <v>99</v>
      </c>
      <c r="H112" s="969" t="str">
        <f>IF(E111="——","——",N61)</f>
        <v>——</v>
      </c>
      <c r="I112" s="246"/>
    </row>
    <row r="113" spans="1:27" ht="18.75" customHeight="1">
      <c r="A113" s="246"/>
      <c r="B113" s="246"/>
      <c r="C113" s="246"/>
      <c r="D113" s="246"/>
      <c r="E113" s="3157" t="s">
        <v>1035</v>
      </c>
      <c r="F113" s="3157"/>
      <c r="G113" s="3157"/>
      <c r="H113" s="3157"/>
      <c r="I113" s="246"/>
    </row>
    <row r="114" spans="1:27" ht="3.75" customHeight="1">
      <c r="A114" s="315"/>
      <c r="B114" s="315"/>
      <c r="C114" s="315"/>
      <c r="D114" s="315"/>
      <c r="E114" s="842"/>
      <c r="F114" s="842"/>
      <c r="G114" s="842"/>
      <c r="H114" s="842"/>
      <c r="I114" s="315"/>
    </row>
    <row r="115" spans="1:27" ht="18.75" customHeight="1">
      <c r="A115" s="3158" t="s">
        <v>1037</v>
      </c>
      <c r="B115" s="3159"/>
      <c r="C115" s="3159"/>
      <c r="D115" s="3159"/>
      <c r="E115" s="3159"/>
      <c r="F115" s="3159"/>
      <c r="G115" s="3159"/>
      <c r="H115" s="3159"/>
      <c r="I115" s="3160"/>
    </row>
    <row r="116" spans="1:27" ht="27" customHeight="1">
      <c r="A116" s="3145" t="s">
        <v>1038</v>
      </c>
      <c r="B116" s="3187" t="s">
        <v>1039</v>
      </c>
      <c r="C116" s="3187" t="s">
        <v>1040</v>
      </c>
      <c r="D116" s="3161" t="s">
        <v>1041</v>
      </c>
      <c r="E116" s="3162"/>
      <c r="F116" s="3163" t="s">
        <v>1042</v>
      </c>
      <c r="G116" s="3163"/>
      <c r="H116" s="3145" t="s">
        <v>1043</v>
      </c>
      <c r="I116" s="3145"/>
    </row>
    <row r="117" spans="1:27" ht="18.75" customHeight="1">
      <c r="A117" s="3145"/>
      <c r="B117" s="3188"/>
      <c r="C117" s="318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5" t="s">
        <v>1045</v>
      </c>
      <c r="B119" s="3145"/>
      <c r="C119" s="3145"/>
      <c r="D119" s="3146" t="e">
        <f ca="1">NUMBERSTRING(INT(D118*10000),2)&amp;"元整"</f>
        <v>#N/A</v>
      </c>
      <c r="E119" s="3148"/>
      <c r="F119" s="3146" t="e">
        <f ca="1">NUMBERSTRING(INT(F118*10000),2)&amp;"元整"</f>
        <v>#N/A</v>
      </c>
      <c r="G119" s="3148"/>
      <c r="H119" s="3146" t="e">
        <f ca="1">NUMBERSTRING(INT(H118*10000),2)&amp;"元整"</f>
        <v>#N/A</v>
      </c>
      <c r="I119" s="3148"/>
    </row>
    <row r="120" spans="1:27" ht="18.75" customHeight="1">
      <c r="A120" s="3142" t="str">
        <f>IF(项目基本情况!B9="房地产市场价值","",MID(E103,3,LEN(E103)-2))</f>
        <v>估价师知悉的法定优先受偿款</v>
      </c>
      <c r="B120" s="3143"/>
      <c r="C120" s="3144"/>
      <c r="D120" s="3142">
        <f>H103</f>
        <v>0</v>
      </c>
      <c r="E120" s="3143"/>
      <c r="F120" s="3143"/>
      <c r="G120" s="3143"/>
      <c r="H120" s="3143"/>
      <c r="I120" s="314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9" t="s">
        <v>1045</v>
      </c>
      <c r="B121" s="3150"/>
      <c r="C121" s="3151"/>
      <c r="D121" s="3146" t="str">
        <f>IF(D120=0,"零元整",NUMBERSTRING(INT(D120*10000),2)&amp;"元整")</f>
        <v>零元整</v>
      </c>
      <c r="E121" s="3147"/>
      <c r="F121" s="3147"/>
      <c r="G121" s="3147"/>
      <c r="H121" s="3147"/>
      <c r="I121" s="3148"/>
      <c r="AA121" s="712"/>
    </row>
    <row r="122" spans="1:27" ht="18.75" customHeight="1">
      <c r="A122" s="3141" t="str">
        <f>IF(项目基本情况!B9="房地产市场价值","",MID(E107,3,LEN(E107)-2))</f>
        <v>房地产抵押价值</v>
      </c>
      <c r="B122" s="3141"/>
      <c r="C122" s="3141"/>
      <c r="D122" s="3142" t="e">
        <f ca="1">H107</f>
        <v>#N/A</v>
      </c>
      <c r="E122" s="3143"/>
      <c r="F122" s="3143"/>
      <c r="G122" s="3143"/>
      <c r="H122" s="3143"/>
      <c r="I122" s="3144"/>
      <c r="AA122" s="712"/>
    </row>
    <row r="123" spans="1:27" ht="18.75" customHeight="1">
      <c r="A123" s="3145" t="s">
        <v>1045</v>
      </c>
      <c r="B123" s="3145"/>
      <c r="C123" s="3145"/>
      <c r="D123" s="3146" t="e">
        <f ca="1">NUMBERSTRING(INT(D122*10000),2)&amp;"元整"</f>
        <v>#N/A</v>
      </c>
      <c r="E123" s="3147"/>
      <c r="F123" s="3147"/>
      <c r="G123" s="3147"/>
      <c r="H123" s="3147"/>
      <c r="I123" s="3148"/>
      <c r="AA123" s="712"/>
    </row>
    <row r="124" spans="1:27" ht="18.75" customHeight="1">
      <c r="A124" s="3141" t="str">
        <f>IF(项目基本情况!B9="房地产市场价值","",MID(E109,3,LEN(E109)-2))</f>
        <v/>
      </c>
      <c r="B124" s="3141"/>
      <c r="C124" s="3141"/>
      <c r="D124" s="3142" t="str">
        <f>H109</f>
        <v>——</v>
      </c>
      <c r="E124" s="3143"/>
      <c r="F124" s="3143"/>
      <c r="G124" s="3143"/>
      <c r="H124" s="3143"/>
      <c r="I124" s="3144"/>
      <c r="AA124" s="712"/>
    </row>
    <row r="125" spans="1:27" ht="18.75" customHeight="1">
      <c r="A125" s="3145" t="s">
        <v>1045</v>
      </c>
      <c r="B125" s="3145"/>
      <c r="C125" s="3145"/>
      <c r="D125" s="3146" t="e">
        <f>NUMBERSTRING(INT(D124*10000),2)&amp;"元整"</f>
        <v>#VALUE!</v>
      </c>
      <c r="E125" s="3147"/>
      <c r="F125" s="3147"/>
      <c r="G125" s="3147"/>
      <c r="H125" s="3147"/>
      <c r="I125" s="3148"/>
      <c r="AA125" s="712"/>
    </row>
    <row r="126" spans="1:27" ht="18.75" customHeight="1">
      <c r="A126" s="3141" t="str">
        <f>IF(项目基本情况!B9="房地产市场价值","",MID(E111,3,LEN(E111)-2))</f>
        <v/>
      </c>
      <c r="B126" s="3141"/>
      <c r="C126" s="3141"/>
      <c r="D126" s="3142" t="str">
        <f>H111</f>
        <v>——</v>
      </c>
      <c r="E126" s="3143"/>
      <c r="F126" s="3143"/>
      <c r="G126" s="3143"/>
      <c r="H126" s="3143"/>
      <c r="I126" s="3144"/>
      <c r="AA126" s="712"/>
    </row>
    <row r="127" spans="1:27" ht="18.75" customHeight="1">
      <c r="A127" s="3145" t="s">
        <v>1045</v>
      </c>
      <c r="B127" s="3145"/>
      <c r="C127" s="3145"/>
      <c r="D127" s="3146" t="e">
        <f>NUMBERSTRING(INT(D126*10000),2)&amp;"元整"</f>
        <v>#VALUE!</v>
      </c>
      <c r="E127" s="3147"/>
      <c r="F127" s="3147"/>
      <c r="G127" s="3147"/>
      <c r="H127" s="3147"/>
      <c r="I127" s="3148"/>
      <c r="AA127" s="712"/>
    </row>
    <row r="128" spans="1:27" ht="21.75" customHeight="1">
      <c r="A128" s="3178" t="s">
        <v>113</v>
      </c>
      <c r="B128" s="3178"/>
      <c r="C128" s="3178"/>
      <c r="D128" s="3178"/>
      <c r="E128" s="3178"/>
      <c r="F128" s="3178"/>
      <c r="G128" s="3178"/>
      <c r="H128" s="3178"/>
      <c r="I128" s="3178"/>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3.8"/>
  <cols>
    <col min="1" max="1" width="10.44140625" style="423" customWidth="1"/>
    <col min="2" max="2" width="15.77734375" style="423" customWidth="1"/>
    <col min="3" max="3" width="14.33203125" style="423" customWidth="1"/>
    <col min="4" max="4" width="12.21875" style="423" customWidth="1"/>
    <col min="5" max="5" width="14.33203125" style="423" customWidth="1"/>
    <col min="6" max="6" width="12.21875" style="423" customWidth="1"/>
    <col min="7" max="7" width="14.44140625" style="423" customWidth="1"/>
    <col min="8" max="8" width="12.21875" style="423" customWidth="1"/>
    <col min="9" max="9" width="15.44140625" style="423" customWidth="1"/>
    <col min="10" max="10" width="12.21875" style="423" customWidth="1"/>
    <col min="11" max="11" width="12.21875" style="424" customWidth="1"/>
    <col min="12" max="12" width="12.21875" style="425" customWidth="1"/>
    <col min="13" max="15" width="12.21875" style="423" customWidth="1"/>
    <col min="16" max="16" width="4.77734375" style="426" customWidth="1"/>
    <col min="17" max="17" width="19.44140625" style="423" customWidth="1"/>
    <col min="18" max="22" width="6.109375" style="423" customWidth="1"/>
    <col min="23" max="23" width="5.77734375" style="423" customWidth="1"/>
    <col min="24" max="24" width="4.21875" style="423" customWidth="1"/>
    <col min="25" max="25" width="3.44140625" style="423" customWidth="1"/>
    <col min="26" max="26" width="19.77734375" style="423" customWidth="1"/>
    <col min="27" max="28" width="9.33203125" style="423" customWidth="1"/>
    <col min="29" max="16384" width="9" style="423"/>
  </cols>
  <sheetData>
    <row r="1" spans="1:29" s="416" customFormat="1" ht="28.5" customHeight="1">
      <c r="A1" s="427" t="s">
        <v>1665</v>
      </c>
      <c r="B1" s="428" t="s">
        <v>589</v>
      </c>
      <c r="C1" s="429" t="s">
        <v>1205</v>
      </c>
      <c r="D1" s="430" t="s">
        <v>589</v>
      </c>
      <c r="E1" s="431"/>
      <c r="F1" s="432" t="s">
        <v>1206</v>
      </c>
      <c r="G1" s="433" t="s">
        <v>1207</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1055</v>
      </c>
      <c r="B2" s="435">
        <f>IF(C2="——",IF(B37="元/平方米",ROUND(C39*D3/10000,0),ROUND(F3*C39/10000,0)),IF(B37="元/平方米",ROUND(C39*D3/10000,0),ROUND(F3*C39/10000,0))-D2)</f>
        <v>0</v>
      </c>
      <c r="C2" s="436" t="s">
        <v>124</v>
      </c>
      <c r="D2" s="437" t="e">
        <f ca="1">SUMIF(INDIRECT("'"&amp;F2&amp;"'"&amp;"!A:A"),"承租人权益价值",INDIRECT("'"&amp;F2&amp;"'"&amp;"!c:c"))</f>
        <v>#REF!</v>
      </c>
      <c r="E2" s="438" t="s">
        <v>1056</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1057</v>
      </c>
      <c r="B3" s="441" t="e">
        <f>IF(AND(C2="——",B37="元/平方米"),C39,ROUND(B2*10000/D3,0))</f>
        <v>#DIV/0!</v>
      </c>
      <c r="C3" s="442" t="s">
        <v>1208</v>
      </c>
      <c r="D3" s="443">
        <f>SUMIF('数据-汇总表'!$C19:$C33,D1,'数据-汇总表'!$E19:$E33)</f>
        <v>0</v>
      </c>
      <c r="E3" s="442" t="s">
        <v>2714</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ht="14.4">
      <c r="A4" s="444" t="s">
        <v>1209</v>
      </c>
      <c r="B4" s="445"/>
      <c r="C4" s="3195" t="s">
        <v>1210</v>
      </c>
      <c r="D4" s="3196"/>
      <c r="E4" s="3197" t="s">
        <v>1211</v>
      </c>
      <c r="F4" s="3198"/>
      <c r="G4" s="3195" t="s">
        <v>1212</v>
      </c>
      <c r="H4" s="3196"/>
      <c r="I4" s="3195" t="s">
        <v>1213</v>
      </c>
      <c r="J4" s="3196"/>
      <c r="K4" s="592" t="s">
        <v>1214</v>
      </c>
      <c r="L4" s="593"/>
      <c r="M4" s="536"/>
      <c r="N4" s="536"/>
      <c r="O4" s="536"/>
      <c r="P4" s="3277" t="s">
        <v>1215</v>
      </c>
      <c r="Q4" s="3278"/>
      <c r="R4" s="3281" t="s">
        <v>1211</v>
      </c>
      <c r="S4" s="3282"/>
      <c r="T4" s="3281" t="s">
        <v>1212</v>
      </c>
      <c r="U4" s="3282"/>
      <c r="V4" s="3214" t="s">
        <v>1213</v>
      </c>
      <c r="W4" s="3214"/>
      <c r="X4" s="658"/>
      <c r="Y4" s="3281" t="s">
        <v>1215</v>
      </c>
      <c r="Z4" s="3282"/>
      <c r="AA4" s="3276" t="s">
        <v>1211</v>
      </c>
      <c r="AB4" s="3228" t="s">
        <v>1212</v>
      </c>
      <c r="AC4" s="3276" t="s">
        <v>1213</v>
      </c>
    </row>
    <row r="5" spans="1:29">
      <c r="A5" s="448"/>
      <c r="B5" s="449"/>
      <c r="C5" s="3199" t="s">
        <v>1216</v>
      </c>
      <c r="D5" s="3200"/>
      <c r="E5" s="3272" t="s">
        <v>1623</v>
      </c>
      <c r="F5" s="3202"/>
      <c r="G5" s="3199" t="s">
        <v>1624</v>
      </c>
      <c r="H5" s="3200"/>
      <c r="I5" s="3199" t="s">
        <v>1625</v>
      </c>
      <c r="J5" s="3200"/>
      <c r="K5" s="592"/>
      <c r="L5" s="593"/>
      <c r="M5" s="536"/>
      <c r="N5" s="536"/>
      <c r="O5" s="536"/>
      <c r="P5" s="3279"/>
      <c r="Q5" s="3236"/>
      <c r="R5" s="3241"/>
      <c r="S5" s="3242"/>
      <c r="T5" s="3241"/>
      <c r="U5" s="3242"/>
      <c r="V5" s="3214"/>
      <c r="W5" s="3214"/>
      <c r="X5" s="658"/>
      <c r="Y5" s="3241"/>
      <c r="Z5" s="3242"/>
      <c r="AA5" s="3228"/>
      <c r="AB5" s="3228"/>
      <c r="AC5" s="3228"/>
    </row>
    <row r="6" spans="1:29" ht="14.4">
      <c r="A6" s="450"/>
      <c r="B6" s="451"/>
      <c r="C6" s="3204" t="s">
        <v>1217</v>
      </c>
      <c r="D6" s="3205"/>
      <c r="E6" s="3206" t="s">
        <v>1217</v>
      </c>
      <c r="F6" s="3207"/>
      <c r="G6" s="3204" t="s">
        <v>1217</v>
      </c>
      <c r="H6" s="3205"/>
      <c r="I6" s="3204" t="s">
        <v>1217</v>
      </c>
      <c r="J6" s="3205"/>
      <c r="K6" s="592" t="s">
        <v>1218</v>
      </c>
      <c r="L6" s="593"/>
      <c r="M6" s="536"/>
      <c r="N6" s="536"/>
      <c r="O6" s="536"/>
      <c r="P6" s="3280"/>
      <c r="Q6" s="3238"/>
      <c r="R6" s="3241"/>
      <c r="S6" s="3242"/>
      <c r="T6" s="3243"/>
      <c r="U6" s="3244"/>
      <c r="V6" s="3214"/>
      <c r="W6" s="3214"/>
      <c r="X6" s="658"/>
      <c r="Y6" s="3243"/>
      <c r="Z6" s="3244"/>
      <c r="AA6" s="3229"/>
      <c r="AB6" s="3229"/>
      <c r="AC6" s="3229"/>
    </row>
    <row r="7" spans="1:29" s="418" customFormat="1" ht="14.4">
      <c r="A7" s="452" t="s">
        <v>1219</v>
      </c>
      <c r="B7" s="453"/>
      <c r="C7" s="454">
        <f>'数据-取费表'!B2</f>
        <v>44904</v>
      </c>
      <c r="D7" s="455">
        <v>100</v>
      </c>
      <c r="E7" s="456">
        <f>C7</f>
        <v>44904</v>
      </c>
      <c r="F7" s="457">
        <f>SUMIF(48:48,YEAR(E7)&amp;"-"&amp;MONTH(E7),49:49)</f>
        <v>100</v>
      </c>
      <c r="G7" s="456">
        <f>E7</f>
        <v>44904</v>
      </c>
      <c r="H7" s="455">
        <f>SUMIF(48:48,YEAR(G7)&amp;"-"&amp;MONTH(G7),49:49)</f>
        <v>100</v>
      </c>
      <c r="I7" s="456">
        <f>G7</f>
        <v>44904</v>
      </c>
      <c r="J7" s="455">
        <f>SUMIF(48:48,YEAR(I7)&amp;"-"&amp;MONTH(I7),49:49)</f>
        <v>100</v>
      </c>
      <c r="K7" s="594"/>
      <c r="L7" s="595"/>
      <c r="M7" s="596"/>
      <c r="N7" s="596"/>
      <c r="O7" s="596"/>
      <c r="P7" s="3210" t="s">
        <v>1220</v>
      </c>
      <c r="Q7" s="3209"/>
      <c r="R7" s="659" t="s">
        <v>1221</v>
      </c>
      <c r="S7" s="660">
        <f t="shared" ref="S7:S14" si="0">F7</f>
        <v>100</v>
      </c>
      <c r="T7" s="659" t="s">
        <v>1221</v>
      </c>
      <c r="U7" s="660">
        <f t="shared" ref="U7:U14" si="1">H7</f>
        <v>100</v>
      </c>
      <c r="V7" s="659" t="s">
        <v>1221</v>
      </c>
      <c r="W7" s="660">
        <f t="shared" ref="W7:W14" si="2">J7</f>
        <v>100</v>
      </c>
      <c r="X7" s="661"/>
      <c r="Y7" s="3210" t="s">
        <v>1220</v>
      </c>
      <c r="Z7" s="3211"/>
      <c r="AA7" s="677">
        <f>D7/F7</f>
        <v>1</v>
      </c>
      <c r="AB7" s="677">
        <f>D7/H7</f>
        <v>1</v>
      </c>
      <c r="AC7" s="677">
        <f>D7/J7</f>
        <v>1</v>
      </c>
    </row>
    <row r="8" spans="1:29" s="418" customFormat="1" ht="14.4">
      <c r="A8" s="452" t="s">
        <v>1222</v>
      </c>
      <c r="B8" s="453"/>
      <c r="C8" s="458" t="s">
        <v>1223</v>
      </c>
      <c r="D8" s="455">
        <v>100</v>
      </c>
      <c r="E8" s="458" t="s">
        <v>1223</v>
      </c>
      <c r="F8" s="457">
        <f>SUMIF(51:51,E8,52:52)-SUMIF(51:51,C8,52:52)+100</f>
        <v>100</v>
      </c>
      <c r="G8" s="458" t="s">
        <v>1223</v>
      </c>
      <c r="H8" s="455">
        <f>SUMIF(51:51,G8,52:52)-SUMIF(51:51,C8,52:52)+100</f>
        <v>100</v>
      </c>
      <c r="I8" s="458" t="s">
        <v>1223</v>
      </c>
      <c r="J8" s="455">
        <f>SUMIF(51:51,I8,52:52)-SUMIF(51:51,C8,52:52)+100</f>
        <v>100</v>
      </c>
      <c r="K8" s="594"/>
      <c r="L8" s="595"/>
      <c r="M8" s="596"/>
      <c r="N8" s="596"/>
      <c r="O8" s="596"/>
      <c r="P8" s="3210" t="s">
        <v>1224</v>
      </c>
      <c r="Q8" s="3211"/>
      <c r="R8" s="659" t="s">
        <v>1221</v>
      </c>
      <c r="S8" s="660">
        <f t="shared" si="0"/>
        <v>100</v>
      </c>
      <c r="T8" s="659" t="s">
        <v>1221</v>
      </c>
      <c r="U8" s="660">
        <f t="shared" si="1"/>
        <v>100</v>
      </c>
      <c r="V8" s="659" t="s">
        <v>1221</v>
      </c>
      <c r="W8" s="660">
        <f t="shared" si="2"/>
        <v>100</v>
      </c>
      <c r="X8" s="661"/>
      <c r="Y8" s="3210" t="s">
        <v>1224</v>
      </c>
      <c r="Z8" s="3211"/>
      <c r="AA8" s="677">
        <f t="shared" ref="AA8:AA36" si="3">D8/F8</f>
        <v>1</v>
      </c>
      <c r="AB8" s="677">
        <f t="shared" ref="AB8:AB36" si="4">D8/H8</f>
        <v>1</v>
      </c>
      <c r="AC8" s="677">
        <f t="shared" ref="AC8:AC36" si="5">D8/J8</f>
        <v>1</v>
      </c>
    </row>
    <row r="9" spans="1:29" s="418" customFormat="1" ht="14.4">
      <c r="A9" s="459" t="s">
        <v>1225</v>
      </c>
      <c r="B9" s="460" t="s">
        <v>1226</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13" t="s">
        <v>1227</v>
      </c>
      <c r="Q9" s="663" t="str">
        <f t="shared" ref="Q9:Q14" si="6">B9</f>
        <v>用途</v>
      </c>
      <c r="R9" s="659" t="s">
        <v>1221</v>
      </c>
      <c r="S9" s="660">
        <f t="shared" si="0"/>
        <v>100</v>
      </c>
      <c r="T9" s="659" t="s">
        <v>1221</v>
      </c>
      <c r="U9" s="660">
        <f t="shared" si="1"/>
        <v>100</v>
      </c>
      <c r="V9" s="659" t="s">
        <v>1221</v>
      </c>
      <c r="W9" s="660">
        <f t="shared" si="2"/>
        <v>100</v>
      </c>
      <c r="X9" s="661"/>
      <c r="Y9" s="3186" t="s">
        <v>1228</v>
      </c>
      <c r="Z9" s="677" t="str">
        <f t="shared" ref="Z9:Z14" si="7">Q9</f>
        <v>用途</v>
      </c>
      <c r="AA9" s="677">
        <f t="shared" si="3"/>
        <v>1</v>
      </c>
      <c r="AB9" s="677">
        <f t="shared" si="4"/>
        <v>1</v>
      </c>
      <c r="AC9" s="677">
        <f t="shared" si="5"/>
        <v>1</v>
      </c>
    </row>
    <row r="10" spans="1:29" s="419" customFormat="1" ht="28.8">
      <c r="A10" s="465"/>
      <c r="B10" s="466" t="s">
        <v>1229</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13"/>
      <c r="Q10" s="663" t="str">
        <f t="shared" si="6"/>
        <v>土地使用年限（年）</v>
      </c>
      <c r="R10" s="659" t="s">
        <v>1221</v>
      </c>
      <c r="S10" s="660">
        <f t="shared" si="0"/>
        <v>100</v>
      </c>
      <c r="T10" s="659" t="s">
        <v>1221</v>
      </c>
      <c r="U10" s="660">
        <f t="shared" si="1"/>
        <v>100</v>
      </c>
      <c r="V10" s="659" t="s">
        <v>1221</v>
      </c>
      <c r="W10" s="660">
        <f t="shared" si="2"/>
        <v>100</v>
      </c>
      <c r="X10" s="661"/>
      <c r="Y10" s="3186"/>
      <c r="Z10" s="677" t="str">
        <f t="shared" si="7"/>
        <v>土地使用年限（年）</v>
      </c>
      <c r="AA10" s="677">
        <f t="shared" si="3"/>
        <v>1</v>
      </c>
      <c r="AB10" s="677">
        <f t="shared" si="4"/>
        <v>1</v>
      </c>
      <c r="AC10" s="677">
        <f t="shared" si="5"/>
        <v>1</v>
      </c>
    </row>
    <row r="11" spans="1:29" ht="1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13"/>
      <c r="Q11" s="663">
        <f t="shared" si="6"/>
        <v>111</v>
      </c>
      <c r="R11" s="659" t="s">
        <v>1221</v>
      </c>
      <c r="S11" s="660">
        <f t="shared" si="0"/>
        <v>100</v>
      </c>
      <c r="T11" s="659" t="s">
        <v>1221</v>
      </c>
      <c r="U11" s="660">
        <f t="shared" si="1"/>
        <v>100</v>
      </c>
      <c r="V11" s="659" t="s">
        <v>1221</v>
      </c>
      <c r="W11" s="660">
        <f t="shared" si="2"/>
        <v>100</v>
      </c>
      <c r="X11" s="661"/>
      <c r="Y11" s="3186"/>
      <c r="Z11" s="677">
        <f t="shared" si="7"/>
        <v>111</v>
      </c>
      <c r="AA11" s="677">
        <f t="shared" si="3"/>
        <v>1</v>
      </c>
      <c r="AB11" s="677">
        <f t="shared" si="4"/>
        <v>1</v>
      </c>
      <c r="AC11" s="677">
        <f t="shared" si="5"/>
        <v>1</v>
      </c>
    </row>
    <row r="12" spans="1:29" s="418" customFormat="1" ht="1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13"/>
      <c r="Q12" s="663">
        <f t="shared" si="6"/>
        <v>111</v>
      </c>
      <c r="R12" s="659" t="s">
        <v>1221</v>
      </c>
      <c r="S12" s="660">
        <f t="shared" si="0"/>
        <v>100</v>
      </c>
      <c r="T12" s="659" t="s">
        <v>1221</v>
      </c>
      <c r="U12" s="660">
        <f t="shared" si="1"/>
        <v>100</v>
      </c>
      <c r="V12" s="659" t="s">
        <v>1221</v>
      </c>
      <c r="W12" s="660">
        <f t="shared" si="2"/>
        <v>100</v>
      </c>
      <c r="X12" s="661"/>
      <c r="Y12" s="3186"/>
      <c r="Z12" s="677">
        <f t="shared" si="7"/>
        <v>111</v>
      </c>
      <c r="AA12" s="677">
        <f t="shared" si="3"/>
        <v>1</v>
      </c>
      <c r="AB12" s="677">
        <f t="shared" si="4"/>
        <v>1</v>
      </c>
      <c r="AC12" s="677">
        <f t="shared" si="5"/>
        <v>1</v>
      </c>
    </row>
    <row r="13" spans="1:29" ht="1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13"/>
      <c r="Q13" s="663">
        <f t="shared" si="6"/>
        <v>111</v>
      </c>
      <c r="R13" s="659" t="s">
        <v>1221</v>
      </c>
      <c r="S13" s="660">
        <f t="shared" si="0"/>
        <v>100</v>
      </c>
      <c r="T13" s="659" t="s">
        <v>1221</v>
      </c>
      <c r="U13" s="660">
        <f t="shared" si="1"/>
        <v>100</v>
      </c>
      <c r="V13" s="659" t="s">
        <v>1221</v>
      </c>
      <c r="W13" s="660">
        <f t="shared" si="2"/>
        <v>100</v>
      </c>
      <c r="X13" s="661"/>
      <c r="Y13" s="3186"/>
      <c r="Z13" s="677">
        <f t="shared" si="7"/>
        <v>111</v>
      </c>
      <c r="AA13" s="677">
        <f t="shared" si="3"/>
        <v>1</v>
      </c>
      <c r="AB13" s="677">
        <f t="shared" si="4"/>
        <v>1</v>
      </c>
      <c r="AC13" s="677">
        <f t="shared" si="5"/>
        <v>1</v>
      </c>
    </row>
    <row r="14" spans="1:29" ht="96.6">
      <c r="A14" s="444" t="s">
        <v>1233</v>
      </c>
      <c r="B14" s="478" t="s">
        <v>1238</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20" t="s">
        <v>1235</v>
      </c>
      <c r="Q14" s="598" t="str">
        <f t="shared" si="6"/>
        <v>交通便捷度</v>
      </c>
      <c r="R14" s="664" t="s">
        <v>1221</v>
      </c>
      <c r="S14" s="665">
        <f t="shared" si="0"/>
        <v>100</v>
      </c>
      <c r="T14" s="664" t="s">
        <v>1221</v>
      </c>
      <c r="U14" s="665">
        <f t="shared" si="1"/>
        <v>100</v>
      </c>
      <c r="V14" s="664" t="s">
        <v>1221</v>
      </c>
      <c r="W14" s="665">
        <f t="shared" si="2"/>
        <v>100</v>
      </c>
      <c r="X14" s="658"/>
      <c r="Y14" s="3220" t="s">
        <v>1235</v>
      </c>
      <c r="Z14" s="657" t="str">
        <f t="shared" si="7"/>
        <v>交通便捷度</v>
      </c>
      <c r="AA14" s="657">
        <f t="shared" si="3"/>
        <v>1</v>
      </c>
      <c r="AB14" s="657">
        <f t="shared" si="4"/>
        <v>1</v>
      </c>
      <c r="AC14" s="657">
        <f t="shared" si="5"/>
        <v>1</v>
      </c>
    </row>
    <row r="15" spans="1:29" ht="15">
      <c r="A15" s="448"/>
      <c r="B15" s="484"/>
      <c r="C15" s="485"/>
      <c r="D15" s="486"/>
      <c r="E15" s="485"/>
      <c r="F15" s="487"/>
      <c r="G15" s="485"/>
      <c r="H15" s="488"/>
      <c r="I15" s="485"/>
      <c r="J15" s="486"/>
      <c r="K15" s="606"/>
      <c r="L15" s="604"/>
      <c r="M15" s="536"/>
      <c r="N15" s="536"/>
      <c r="O15" s="536"/>
      <c r="P15" s="3221"/>
      <c r="Q15" s="598"/>
      <c r="R15" s="664"/>
      <c r="S15" s="665"/>
      <c r="T15" s="664"/>
      <c r="U15" s="665"/>
      <c r="V15" s="664"/>
      <c r="W15" s="665"/>
      <c r="X15" s="658"/>
      <c r="Y15" s="3221"/>
      <c r="Z15" s="657"/>
      <c r="AA15" s="657">
        <v>1</v>
      </c>
      <c r="AB15" s="657">
        <v>1</v>
      </c>
      <c r="AC15" s="657">
        <v>1</v>
      </c>
    </row>
    <row r="16" spans="1:29" ht="41.4">
      <c r="A16" s="448"/>
      <c r="B16" s="489" t="s">
        <v>1239</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21"/>
      <c r="Q16" s="598" t="str">
        <f>B16</f>
        <v>公共配套设施</v>
      </c>
      <c r="R16" s="664" t="s">
        <v>1221</v>
      </c>
      <c r="S16" s="665">
        <f>F16</f>
        <v>100</v>
      </c>
      <c r="T16" s="664" t="s">
        <v>1221</v>
      </c>
      <c r="U16" s="665">
        <f>H16</f>
        <v>100</v>
      </c>
      <c r="V16" s="664" t="s">
        <v>1221</v>
      </c>
      <c r="W16" s="665">
        <f>J16</f>
        <v>100</v>
      </c>
      <c r="X16" s="658"/>
      <c r="Y16" s="3221"/>
      <c r="Z16" s="657" t="str">
        <f>Q16</f>
        <v>公共配套设施</v>
      </c>
      <c r="AA16" s="657">
        <f t="shared" si="3"/>
        <v>1</v>
      </c>
      <c r="AB16" s="657">
        <f t="shared" si="4"/>
        <v>1</v>
      </c>
      <c r="AC16" s="657">
        <f t="shared" si="5"/>
        <v>1</v>
      </c>
    </row>
    <row r="17" spans="1:29" ht="15">
      <c r="A17" s="448"/>
      <c r="B17" s="495"/>
      <c r="C17" s="496"/>
      <c r="D17" s="486"/>
      <c r="E17" s="485"/>
      <c r="F17" s="487"/>
      <c r="G17" s="485"/>
      <c r="H17" s="486"/>
      <c r="I17" s="485"/>
      <c r="J17" s="486"/>
      <c r="K17" s="606"/>
      <c r="L17" s="604"/>
      <c r="M17" s="536"/>
      <c r="N17" s="536"/>
      <c r="O17" s="536"/>
      <c r="P17" s="3221"/>
      <c r="Q17" s="598"/>
      <c r="R17" s="664"/>
      <c r="S17" s="665"/>
      <c r="T17" s="664"/>
      <c r="U17" s="665"/>
      <c r="V17" s="664"/>
      <c r="W17" s="665"/>
      <c r="X17" s="658"/>
      <c r="Y17" s="3221"/>
      <c r="Z17" s="657"/>
      <c r="AA17" s="657">
        <v>1</v>
      </c>
      <c r="AB17" s="657">
        <v>1</v>
      </c>
      <c r="AC17" s="657">
        <v>1</v>
      </c>
    </row>
    <row r="18" spans="1:29" ht="41.4">
      <c r="A18" s="448"/>
      <c r="B18" s="497" t="s">
        <v>1240</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21"/>
      <c r="Q18" s="598" t="str">
        <f>B18</f>
        <v>基础设施水平</v>
      </c>
      <c r="R18" s="664" t="s">
        <v>1221</v>
      </c>
      <c r="S18" s="665">
        <f>F18</f>
        <v>100</v>
      </c>
      <c r="T18" s="664" t="s">
        <v>1221</v>
      </c>
      <c r="U18" s="665">
        <f>H18</f>
        <v>100</v>
      </c>
      <c r="V18" s="664" t="s">
        <v>1221</v>
      </c>
      <c r="W18" s="665">
        <f>J18</f>
        <v>100</v>
      </c>
      <c r="X18" s="658"/>
      <c r="Y18" s="3221"/>
      <c r="Z18" s="657" t="str">
        <f>Q18</f>
        <v>基础设施水平</v>
      </c>
      <c r="AA18" s="657">
        <f t="shared" ref="AA18" si="8">D18/F18</f>
        <v>1</v>
      </c>
      <c r="AB18" s="657">
        <f t="shared" ref="AB18" si="9">D18/H18</f>
        <v>1</v>
      </c>
      <c r="AC18" s="657">
        <f t="shared" ref="AC18" si="10">D18/J18</f>
        <v>1</v>
      </c>
    </row>
    <row r="19" spans="1:29" ht="15">
      <c r="A19" s="448"/>
      <c r="B19" s="497"/>
      <c r="C19" s="496"/>
      <c r="D19" s="488"/>
      <c r="E19" s="496"/>
      <c r="F19" s="500"/>
      <c r="G19" s="496"/>
      <c r="H19" s="486"/>
      <c r="I19" s="485"/>
      <c r="J19" s="486"/>
      <c r="K19" s="607"/>
      <c r="L19" s="604"/>
      <c r="M19" s="536"/>
      <c r="N19" s="536"/>
      <c r="O19" s="536"/>
      <c r="P19" s="3221"/>
      <c r="Q19" s="598"/>
      <c r="R19" s="664"/>
      <c r="S19" s="665"/>
      <c r="T19" s="664"/>
      <c r="U19" s="665"/>
      <c r="V19" s="664"/>
      <c r="W19" s="665"/>
      <c r="X19" s="658"/>
      <c r="Y19" s="3221"/>
      <c r="Z19" s="657"/>
      <c r="AA19" s="657">
        <v>1</v>
      </c>
      <c r="AB19" s="657">
        <v>1</v>
      </c>
      <c r="AC19" s="657">
        <v>1</v>
      </c>
    </row>
    <row r="20" spans="1:29" ht="55.2">
      <c r="A20" s="448"/>
      <c r="B20" s="489" t="s">
        <v>1627</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21"/>
      <c r="Q20" s="598" t="str">
        <f>B20</f>
        <v>自然及人文环境</v>
      </c>
      <c r="R20" s="664" t="s">
        <v>1221</v>
      </c>
      <c r="S20" s="665">
        <f>F20</f>
        <v>100</v>
      </c>
      <c r="T20" s="664" t="s">
        <v>1221</v>
      </c>
      <c r="U20" s="665">
        <f>H20</f>
        <v>100</v>
      </c>
      <c r="V20" s="664" t="s">
        <v>1221</v>
      </c>
      <c r="W20" s="665">
        <f>J20</f>
        <v>100</v>
      </c>
      <c r="X20" s="658"/>
      <c r="Y20" s="3221"/>
      <c r="Z20" s="657" t="str">
        <f>Q20</f>
        <v>自然及人文环境</v>
      </c>
      <c r="AA20" s="657">
        <f t="shared" si="3"/>
        <v>1</v>
      </c>
      <c r="AB20" s="657">
        <f t="shared" si="4"/>
        <v>1</v>
      </c>
      <c r="AC20" s="657">
        <f t="shared" si="5"/>
        <v>1</v>
      </c>
    </row>
    <row r="21" spans="1:29" ht="15">
      <c r="A21" s="448"/>
      <c r="B21" s="495"/>
      <c r="C21" s="485"/>
      <c r="D21" s="486"/>
      <c r="E21" s="485"/>
      <c r="F21" s="487"/>
      <c r="G21" s="485"/>
      <c r="H21" s="486"/>
      <c r="I21" s="485"/>
      <c r="J21" s="486"/>
      <c r="K21" s="606"/>
      <c r="L21" s="604"/>
      <c r="M21" s="536"/>
      <c r="N21" s="536"/>
      <c r="O21" s="536"/>
      <c r="P21" s="3221"/>
      <c r="Q21" s="598"/>
      <c r="R21" s="664"/>
      <c r="S21" s="665"/>
      <c r="T21" s="664"/>
      <c r="U21" s="665"/>
      <c r="V21" s="664"/>
      <c r="W21" s="665"/>
      <c r="X21" s="658"/>
      <c r="Y21" s="3221"/>
      <c r="Z21" s="657"/>
      <c r="AA21" s="657">
        <v>1</v>
      </c>
      <c r="AB21" s="657">
        <v>1</v>
      </c>
      <c r="AC21" s="657">
        <v>1</v>
      </c>
    </row>
    <row r="22" spans="1:29" ht="15">
      <c r="A22" s="448"/>
      <c r="B22" s="489" t="s">
        <v>1243</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21"/>
      <c r="Q22" s="598" t="str">
        <f>B22</f>
        <v>楼层</v>
      </c>
      <c r="R22" s="664" t="s">
        <v>1221</v>
      </c>
      <c r="S22" s="665">
        <f>F22</f>
        <v>100</v>
      </c>
      <c r="T22" s="664" t="s">
        <v>1221</v>
      </c>
      <c r="U22" s="665">
        <f>H22</f>
        <v>100</v>
      </c>
      <c r="V22" s="664" t="s">
        <v>1221</v>
      </c>
      <c r="W22" s="665">
        <f>J22</f>
        <v>100</v>
      </c>
      <c r="X22" s="658"/>
      <c r="Y22" s="3221"/>
      <c r="Z22" s="657" t="str">
        <f>Q22</f>
        <v>楼层</v>
      </c>
      <c r="AA22" s="657">
        <f t="shared" si="3"/>
        <v>1</v>
      </c>
      <c r="AB22" s="657">
        <f t="shared" si="4"/>
        <v>1</v>
      </c>
      <c r="AC22" s="657">
        <f t="shared" si="5"/>
        <v>1</v>
      </c>
    </row>
    <row r="23" spans="1:29" ht="1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21"/>
      <c r="Q23" s="598">
        <f>B23</f>
        <v>111</v>
      </c>
      <c r="R23" s="664" t="s">
        <v>1221</v>
      </c>
      <c r="S23" s="665">
        <f>F23</f>
        <v>100</v>
      </c>
      <c r="T23" s="664" t="s">
        <v>1221</v>
      </c>
      <c r="U23" s="665">
        <f>H23</f>
        <v>100</v>
      </c>
      <c r="V23" s="664" t="s">
        <v>1221</v>
      </c>
      <c r="W23" s="665">
        <f>J23</f>
        <v>100</v>
      </c>
      <c r="X23" s="658"/>
      <c r="Y23" s="3221"/>
      <c r="Z23" s="657">
        <f>Q23</f>
        <v>111</v>
      </c>
      <c r="AA23" s="657">
        <f t="shared" si="3"/>
        <v>1</v>
      </c>
      <c r="AB23" s="657">
        <f t="shared" si="4"/>
        <v>1</v>
      </c>
      <c r="AC23" s="657">
        <f t="shared" si="5"/>
        <v>1</v>
      </c>
    </row>
    <row r="24" spans="1:29" ht="1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21"/>
      <c r="Q24" s="598">
        <f t="shared" ref="Q24:Q36" si="11">B24</f>
        <v>111</v>
      </c>
      <c r="R24" s="664" t="s">
        <v>1221</v>
      </c>
      <c r="S24" s="665">
        <f>F24</f>
        <v>100</v>
      </c>
      <c r="T24" s="664" t="s">
        <v>1221</v>
      </c>
      <c r="U24" s="665">
        <f>H24</f>
        <v>100</v>
      </c>
      <c r="V24" s="664" t="s">
        <v>1221</v>
      </c>
      <c r="W24" s="665">
        <f>J24</f>
        <v>100</v>
      </c>
      <c r="X24" s="658"/>
      <c r="Y24" s="3221"/>
      <c r="Z24" s="657">
        <f>Q24</f>
        <v>111</v>
      </c>
      <c r="AA24" s="657">
        <f t="shared" si="3"/>
        <v>1</v>
      </c>
      <c r="AB24" s="657">
        <f t="shared" si="4"/>
        <v>1</v>
      </c>
      <c r="AC24" s="657">
        <f t="shared" si="5"/>
        <v>1</v>
      </c>
    </row>
    <row r="25" spans="1:29" s="418" customFormat="1" ht="1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21"/>
      <c r="Q25" s="663">
        <f t="shared" si="11"/>
        <v>111</v>
      </c>
      <c r="R25" s="659" t="s">
        <v>1221</v>
      </c>
      <c r="S25" s="660">
        <f>F25</f>
        <v>100</v>
      </c>
      <c r="T25" s="659" t="s">
        <v>1221</v>
      </c>
      <c r="U25" s="660">
        <f>H25</f>
        <v>100</v>
      </c>
      <c r="V25" s="659" t="s">
        <v>1221</v>
      </c>
      <c r="W25" s="660">
        <f>J25</f>
        <v>100</v>
      </c>
      <c r="X25" s="661"/>
      <c r="Y25" s="3221"/>
      <c r="Z25" s="677">
        <f>Q25</f>
        <v>111</v>
      </c>
      <c r="AA25" s="657">
        <f t="shared" si="3"/>
        <v>1</v>
      </c>
      <c r="AB25" s="657">
        <f t="shared" si="4"/>
        <v>1</v>
      </c>
      <c r="AC25" s="657">
        <f t="shared" si="5"/>
        <v>1</v>
      </c>
    </row>
    <row r="26" spans="1:29" ht="30">
      <c r="A26" s="510" t="s">
        <v>1245</v>
      </c>
      <c r="B26" s="462" t="s">
        <v>2715</v>
      </c>
      <c r="C26" s="511" t="str">
        <f>B1</f>
        <v>车库</v>
      </c>
      <c r="D26" s="486">
        <v>100</v>
      </c>
      <c r="E26" s="485" t="s">
        <v>589</v>
      </c>
      <c r="F26" s="487">
        <f>SUMIF(79:79,E26,80:80)-SUMIF(79:79,C26,80:80)+100</f>
        <v>100</v>
      </c>
      <c r="G26" s="485" t="s">
        <v>589</v>
      </c>
      <c r="H26" s="486">
        <f>SUMIF(79:79,G26,80:80)-SUMIF(79:79,C26,80:80)+100</f>
        <v>100</v>
      </c>
      <c r="I26" s="485" t="s">
        <v>589</v>
      </c>
      <c r="J26" s="486">
        <f>SUMIF(79:79,I26,80:80)-SUMIF(79:79,C26,80:80)+100</f>
        <v>100</v>
      </c>
      <c r="K26" s="599"/>
      <c r="L26" s="604"/>
      <c r="M26" s="536"/>
      <c r="N26" s="536"/>
      <c r="O26" s="536"/>
      <c r="P26" s="3283" t="s">
        <v>1247</v>
      </c>
      <c r="Q26" s="598" t="str">
        <f t="shared" si="11"/>
        <v>配套类型</v>
      </c>
      <c r="R26" s="664" t="s">
        <v>1221</v>
      </c>
      <c r="S26" s="665">
        <f t="shared" ref="S26:S36" si="12">F26</f>
        <v>100</v>
      </c>
      <c r="T26" s="664" t="s">
        <v>1221</v>
      </c>
      <c r="U26" s="665">
        <f t="shared" ref="U26:U36" si="13">H26</f>
        <v>100</v>
      </c>
      <c r="V26" s="664" t="s">
        <v>1221</v>
      </c>
      <c r="W26" s="665">
        <f t="shared" ref="W26:W36" si="14">J26</f>
        <v>100</v>
      </c>
      <c r="X26" s="658"/>
      <c r="Y26" s="3222" t="s">
        <v>1247</v>
      </c>
      <c r="Z26" s="657" t="str">
        <f t="shared" ref="Z26:Z36" si="15">Q26</f>
        <v>配套类型</v>
      </c>
      <c r="AA26" s="657">
        <f t="shared" si="3"/>
        <v>1</v>
      </c>
      <c r="AB26" s="657">
        <f t="shared" si="4"/>
        <v>1</v>
      </c>
      <c r="AC26" s="657">
        <f t="shared" si="5"/>
        <v>1</v>
      </c>
    </row>
    <row r="27" spans="1:29" s="420" customFormat="1" ht="15">
      <c r="A27" s="512"/>
      <c r="B27" s="468" t="s">
        <v>2716</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22"/>
      <c r="Q27" s="666" t="str">
        <f t="shared" si="11"/>
        <v>项目停车位配比</v>
      </c>
      <c r="R27" s="667" t="s">
        <v>1221</v>
      </c>
      <c r="S27" s="668">
        <f t="shared" si="12"/>
        <v>100</v>
      </c>
      <c r="T27" s="667" t="s">
        <v>1221</v>
      </c>
      <c r="U27" s="668">
        <f t="shared" si="13"/>
        <v>100</v>
      </c>
      <c r="V27" s="667" t="s">
        <v>1221</v>
      </c>
      <c r="W27" s="668">
        <f t="shared" si="14"/>
        <v>100</v>
      </c>
      <c r="X27" s="669"/>
      <c r="Y27" s="3222"/>
      <c r="Z27" s="678" t="str">
        <f t="shared" si="15"/>
        <v>项目停车位配比</v>
      </c>
      <c r="AA27" s="657">
        <f t="shared" si="3"/>
        <v>1</v>
      </c>
      <c r="AB27" s="657">
        <f t="shared" si="4"/>
        <v>1</v>
      </c>
      <c r="AC27" s="657">
        <f t="shared" si="5"/>
        <v>1</v>
      </c>
    </row>
    <row r="28" spans="1:29" ht="15">
      <c r="A28" s="514"/>
      <c r="B28" s="468" t="s">
        <v>1251</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22"/>
      <c r="Q28" s="598" t="str">
        <f t="shared" si="11"/>
        <v>公共部分装修</v>
      </c>
      <c r="R28" s="664" t="s">
        <v>1221</v>
      </c>
      <c r="S28" s="665">
        <f t="shared" si="12"/>
        <v>100</v>
      </c>
      <c r="T28" s="664" t="s">
        <v>1221</v>
      </c>
      <c r="U28" s="665">
        <f t="shared" si="13"/>
        <v>100</v>
      </c>
      <c r="V28" s="664" t="s">
        <v>1221</v>
      </c>
      <c r="W28" s="665">
        <f t="shared" si="14"/>
        <v>100</v>
      </c>
      <c r="X28" s="658"/>
      <c r="Y28" s="3222"/>
      <c r="Z28" s="657" t="str">
        <f t="shared" si="15"/>
        <v>公共部分装修</v>
      </c>
      <c r="AA28" s="657">
        <f t="shared" si="3"/>
        <v>1</v>
      </c>
      <c r="AB28" s="657">
        <f t="shared" si="4"/>
        <v>1</v>
      </c>
      <c r="AC28" s="657">
        <f t="shared" si="5"/>
        <v>1</v>
      </c>
    </row>
    <row r="29" spans="1:29" ht="15">
      <c r="A29" s="514"/>
      <c r="B29" s="468" t="s">
        <v>1666</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22"/>
      <c r="Q29" s="598" t="str">
        <f t="shared" si="11"/>
        <v>成新率</v>
      </c>
      <c r="R29" s="664" t="s">
        <v>1221</v>
      </c>
      <c r="S29" s="665">
        <f t="shared" si="12"/>
        <v>100</v>
      </c>
      <c r="T29" s="664" t="s">
        <v>1221</v>
      </c>
      <c r="U29" s="665">
        <f t="shared" si="13"/>
        <v>100</v>
      </c>
      <c r="V29" s="664" t="s">
        <v>1221</v>
      </c>
      <c r="W29" s="665">
        <f t="shared" si="14"/>
        <v>100</v>
      </c>
      <c r="X29" s="658"/>
      <c r="Y29" s="3222"/>
      <c r="Z29" s="657" t="str">
        <f t="shared" si="15"/>
        <v>成新率</v>
      </c>
      <c r="AA29" s="657">
        <f t="shared" si="3"/>
        <v>1</v>
      </c>
      <c r="AB29" s="657">
        <f t="shared" si="4"/>
        <v>1</v>
      </c>
      <c r="AC29" s="657">
        <f t="shared" si="5"/>
        <v>1</v>
      </c>
    </row>
    <row r="30" spans="1:29" ht="15">
      <c r="A30" s="514"/>
      <c r="B30" s="468" t="s">
        <v>1667</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22"/>
      <c r="Q30" s="598" t="str">
        <f t="shared" si="11"/>
        <v>物业等级</v>
      </c>
      <c r="R30" s="664" t="s">
        <v>1221</v>
      </c>
      <c r="S30" s="665">
        <f t="shared" si="12"/>
        <v>100</v>
      </c>
      <c r="T30" s="664" t="s">
        <v>1221</v>
      </c>
      <c r="U30" s="665">
        <f t="shared" si="13"/>
        <v>100</v>
      </c>
      <c r="V30" s="664" t="s">
        <v>1221</v>
      </c>
      <c r="W30" s="665">
        <f t="shared" si="14"/>
        <v>100</v>
      </c>
      <c r="X30" s="658"/>
      <c r="Y30" s="3222"/>
      <c r="Z30" s="657" t="str">
        <f t="shared" si="15"/>
        <v>物业等级</v>
      </c>
      <c r="AA30" s="657">
        <f t="shared" si="3"/>
        <v>1</v>
      </c>
      <c r="AB30" s="657">
        <f t="shared" si="4"/>
        <v>1</v>
      </c>
      <c r="AC30" s="657">
        <f t="shared" si="5"/>
        <v>1</v>
      </c>
    </row>
    <row r="31" spans="1:29" s="418" customFormat="1" ht="15">
      <c r="A31" s="518"/>
      <c r="B31" s="468" t="s">
        <v>2717</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22"/>
      <c r="Q31" s="663" t="str">
        <f t="shared" si="11"/>
        <v>停车位面积</v>
      </c>
      <c r="R31" s="659" t="s">
        <v>1221</v>
      </c>
      <c r="S31" s="660">
        <f t="shared" si="12"/>
        <v>100</v>
      </c>
      <c r="T31" s="659" t="s">
        <v>1221</v>
      </c>
      <c r="U31" s="660">
        <f t="shared" si="13"/>
        <v>100</v>
      </c>
      <c r="V31" s="659" t="s">
        <v>1221</v>
      </c>
      <c r="W31" s="660">
        <f t="shared" si="14"/>
        <v>100</v>
      </c>
      <c r="X31" s="661"/>
      <c r="Y31" s="3222"/>
      <c r="Z31" s="677" t="str">
        <f t="shared" si="15"/>
        <v>停车位面积</v>
      </c>
      <c r="AA31" s="677">
        <f t="shared" si="3"/>
        <v>1</v>
      </c>
      <c r="AB31" s="677">
        <f t="shared" si="4"/>
        <v>1</v>
      </c>
      <c r="AC31" s="677">
        <f t="shared" si="5"/>
        <v>1</v>
      </c>
    </row>
    <row r="32" spans="1:29" ht="15">
      <c r="A32" s="514"/>
      <c r="B32" s="468" t="s">
        <v>2718</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22" t="s">
        <v>1247</v>
      </c>
      <c r="Q32" s="598" t="str">
        <f t="shared" si="11"/>
        <v>车位类型</v>
      </c>
      <c r="R32" s="664" t="s">
        <v>1221</v>
      </c>
      <c r="S32" s="665">
        <f t="shared" si="12"/>
        <v>100</v>
      </c>
      <c r="T32" s="664" t="s">
        <v>1221</v>
      </c>
      <c r="U32" s="665">
        <f t="shared" si="13"/>
        <v>100</v>
      </c>
      <c r="V32" s="664" t="s">
        <v>1221</v>
      </c>
      <c r="W32" s="665">
        <f t="shared" si="14"/>
        <v>100</v>
      </c>
      <c r="X32" s="658"/>
      <c r="Y32" s="3222" t="s">
        <v>1247</v>
      </c>
      <c r="Z32" s="657" t="str">
        <f t="shared" si="15"/>
        <v>车位类型</v>
      </c>
      <c r="AA32" s="657">
        <f t="shared" si="3"/>
        <v>1</v>
      </c>
      <c r="AB32" s="657">
        <f t="shared" si="4"/>
        <v>1</v>
      </c>
      <c r="AC32" s="657">
        <f t="shared" si="5"/>
        <v>1</v>
      </c>
    </row>
    <row r="33" spans="1:29" ht="15">
      <c r="A33" s="514"/>
      <c r="B33" s="468" t="s">
        <v>2719</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22"/>
      <c r="Q33" s="598" t="str">
        <f t="shared" si="11"/>
        <v>是否直接入户</v>
      </c>
      <c r="R33" s="664" t="s">
        <v>1221</v>
      </c>
      <c r="S33" s="665">
        <f t="shared" si="12"/>
        <v>100</v>
      </c>
      <c r="T33" s="664" t="s">
        <v>1221</v>
      </c>
      <c r="U33" s="665">
        <f t="shared" si="13"/>
        <v>100</v>
      </c>
      <c r="V33" s="664" t="s">
        <v>1221</v>
      </c>
      <c r="W33" s="665">
        <f t="shared" si="14"/>
        <v>100</v>
      </c>
      <c r="X33" s="658"/>
      <c r="Y33" s="3222"/>
      <c r="Z33" s="657" t="str">
        <f t="shared" si="15"/>
        <v>是否直接入户</v>
      </c>
      <c r="AA33" s="657">
        <f t="shared" si="3"/>
        <v>1</v>
      </c>
      <c r="AB33" s="657">
        <f t="shared" si="4"/>
        <v>1</v>
      </c>
      <c r="AC33" s="657">
        <f t="shared" si="5"/>
        <v>1</v>
      </c>
    </row>
    <row r="34" spans="1:29" ht="1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22"/>
      <c r="Q34" s="598">
        <f t="shared" si="11"/>
        <v>111</v>
      </c>
      <c r="R34" s="664" t="s">
        <v>1221</v>
      </c>
      <c r="S34" s="665">
        <f t="shared" si="12"/>
        <v>100</v>
      </c>
      <c r="T34" s="664" t="s">
        <v>1221</v>
      </c>
      <c r="U34" s="665">
        <f t="shared" si="13"/>
        <v>100</v>
      </c>
      <c r="V34" s="664" t="s">
        <v>1221</v>
      </c>
      <c r="W34" s="665">
        <f t="shared" si="14"/>
        <v>100</v>
      </c>
      <c r="X34" s="658"/>
      <c r="Y34" s="3222"/>
      <c r="Z34" s="657">
        <f t="shared" si="15"/>
        <v>111</v>
      </c>
      <c r="AA34" s="657">
        <f t="shared" si="3"/>
        <v>1</v>
      </c>
      <c r="AB34" s="657">
        <f t="shared" si="4"/>
        <v>1</v>
      </c>
      <c r="AC34" s="657">
        <f t="shared" si="5"/>
        <v>1</v>
      </c>
    </row>
    <row r="35" spans="1:29" s="420" customFormat="1" ht="1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22"/>
      <c r="Q35" s="666">
        <f t="shared" si="11"/>
        <v>111</v>
      </c>
      <c r="R35" s="667" t="s">
        <v>1221</v>
      </c>
      <c r="S35" s="668">
        <f t="shared" si="12"/>
        <v>100</v>
      </c>
      <c r="T35" s="667" t="s">
        <v>1221</v>
      </c>
      <c r="U35" s="668">
        <f t="shared" si="13"/>
        <v>100</v>
      </c>
      <c r="V35" s="667" t="s">
        <v>1221</v>
      </c>
      <c r="W35" s="668">
        <f t="shared" si="14"/>
        <v>100</v>
      </c>
      <c r="X35" s="669"/>
      <c r="Y35" s="3222"/>
      <c r="Z35" s="678">
        <f t="shared" si="15"/>
        <v>111</v>
      </c>
      <c r="AA35" s="657">
        <f t="shared" si="3"/>
        <v>1</v>
      </c>
      <c r="AB35" s="657">
        <f t="shared" si="4"/>
        <v>1</v>
      </c>
      <c r="AC35" s="657">
        <f t="shared" si="5"/>
        <v>1</v>
      </c>
    </row>
    <row r="36" spans="1:29" ht="1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22"/>
      <c r="Q36" s="598">
        <f t="shared" si="11"/>
        <v>111</v>
      </c>
      <c r="R36" s="664" t="s">
        <v>1221</v>
      </c>
      <c r="S36" s="665">
        <f t="shared" si="12"/>
        <v>100</v>
      </c>
      <c r="T36" s="664" t="s">
        <v>1221</v>
      </c>
      <c r="U36" s="665">
        <f t="shared" si="13"/>
        <v>100</v>
      </c>
      <c r="V36" s="664" t="s">
        <v>1221</v>
      </c>
      <c r="W36" s="665">
        <f t="shared" si="14"/>
        <v>100</v>
      </c>
      <c r="X36" s="658"/>
      <c r="Y36" s="3222"/>
      <c r="Z36" s="657">
        <f t="shared" si="15"/>
        <v>111</v>
      </c>
      <c r="AA36" s="657">
        <f t="shared" si="3"/>
        <v>1</v>
      </c>
      <c r="AB36" s="657">
        <f t="shared" si="4"/>
        <v>1</v>
      </c>
      <c r="AC36" s="657">
        <f t="shared" si="5"/>
        <v>1</v>
      </c>
    </row>
    <row r="37" spans="1:29" ht="14.4">
      <c r="A37" s="520" t="s">
        <v>1682</v>
      </c>
      <c r="B37" s="521" t="s">
        <v>2720</v>
      </c>
      <c r="C37" s="522" t="s">
        <v>124</v>
      </c>
      <c r="D37" s="523"/>
      <c r="E37" s="524">
        <v>500000</v>
      </c>
      <c r="F37" s="525"/>
      <c r="G37" s="526">
        <f>E37</f>
        <v>500000</v>
      </c>
      <c r="H37" s="527"/>
      <c r="I37" s="524">
        <f>G37</f>
        <v>500000</v>
      </c>
      <c r="J37" s="527"/>
      <c r="K37" s="609"/>
      <c r="L37" s="610"/>
      <c r="M37" s="536"/>
      <c r="N37" s="536"/>
      <c r="O37" s="536"/>
      <c r="P37" s="3213" t="str">
        <f>A37</f>
        <v>成交单价</v>
      </c>
      <c r="Q37" s="3213"/>
      <c r="R37" s="3214">
        <f>E37</f>
        <v>500000</v>
      </c>
      <c r="S37" s="3214"/>
      <c r="T37" s="3214">
        <f>G37</f>
        <v>500000</v>
      </c>
      <c r="U37" s="3214"/>
      <c r="V37" s="3214">
        <f>I37</f>
        <v>500000</v>
      </c>
      <c r="W37" s="3214"/>
      <c r="X37" s="670"/>
      <c r="Y37" s="679"/>
      <c r="Z37" s="670"/>
      <c r="AA37" s="670"/>
      <c r="AB37" s="670"/>
      <c r="AC37" s="670"/>
    </row>
    <row r="38" spans="1:29" ht="14.4">
      <c r="A38" s="528" t="s">
        <v>1268</v>
      </c>
      <c r="B38" s="529" t="str">
        <f>B37</f>
        <v>元/车位</v>
      </c>
      <c r="C38" s="530">
        <f>R39</f>
        <v>500000</v>
      </c>
      <c r="D38" s="531" t="s">
        <v>1269</v>
      </c>
      <c r="E38" s="532">
        <f>R38</f>
        <v>500000</v>
      </c>
      <c r="F38" s="533"/>
      <c r="G38" s="530">
        <f>T38</f>
        <v>500000</v>
      </c>
      <c r="H38" s="533"/>
      <c r="I38" s="532">
        <f>V38</f>
        <v>500000</v>
      </c>
      <c r="J38" s="533"/>
      <c r="K38" s="611">
        <f>F38+H38+J38</f>
        <v>0</v>
      </c>
      <c r="L38" s="610"/>
      <c r="M38" s="536"/>
      <c r="N38" s="536"/>
      <c r="O38" s="536"/>
      <c r="P38" s="3213" t="str">
        <f>A38</f>
        <v>比较价值（元/平方米）</v>
      </c>
      <c r="Q38" s="3213"/>
      <c r="R38" s="3214">
        <f>IF(F1="售价",ROUND(PRODUCT(R37,AA7:AA36),0),ROUND(PRODUCT(R37,AA7:AA36),1))</f>
        <v>500000</v>
      </c>
      <c r="S38" s="3214"/>
      <c r="T38" s="3214">
        <f>IF(F1="售价",ROUND(PRODUCT(T37,AB7:AB36),0),ROUND(PRODUCT(T37,AB7:AB36),1))</f>
        <v>500000</v>
      </c>
      <c r="U38" s="3214"/>
      <c r="V38" s="3214">
        <f>IF(F1="售价",ROUND(PRODUCT(V37,AC7:AC36),0),ROUND(PRODUCT(V37,AC7:AC36),1))</f>
        <v>500000</v>
      </c>
      <c r="W38" s="3214"/>
      <c r="X38" s="670"/>
      <c r="Y38" s="670"/>
      <c r="Z38" s="670"/>
      <c r="AA38" s="670"/>
      <c r="AB38" s="670"/>
      <c r="AC38" s="670"/>
    </row>
    <row r="39" spans="1:29" ht="14.4">
      <c r="A39" s="534" t="s">
        <v>2721</v>
      </c>
      <c r="B39" s="535"/>
      <c r="C39" s="451">
        <f>R39</f>
        <v>500000</v>
      </c>
      <c r="D39" s="451"/>
      <c r="E39" s="451"/>
      <c r="F39" s="451"/>
      <c r="G39" s="451"/>
      <c r="H39" s="451"/>
      <c r="I39" s="451"/>
      <c r="J39" s="451"/>
      <c r="K39" s="612"/>
      <c r="L39" s="610"/>
      <c r="M39" s="536"/>
      <c r="N39" s="536"/>
      <c r="O39" s="536"/>
      <c r="P39" s="3273" t="str">
        <f>A39</f>
        <v>估价对象XX用房的比较价值（楼面单价，元/平方米）</v>
      </c>
      <c r="Q39" s="3274"/>
      <c r="R39" s="3284">
        <f>IF(F1="售价",ROUND(IF(D38="简单平均",AVERAGE(R38:W38),R38*F38+T38*H38+V38*J38),0),ROUND(IF(D38="简单平均",AVERAGE(R38:V38),R38*F38+T38*H38+V38*J38),1))</f>
        <v>500000</v>
      </c>
      <c r="S39" s="3284"/>
      <c r="T39" s="3284"/>
      <c r="U39" s="3284"/>
      <c r="V39" s="3284"/>
      <c r="W39" s="3284"/>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1271</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1272</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1273</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6">
      <c r="A47" s="546" t="s">
        <v>1274</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ht="14.4">
      <c r="A48" s="550" t="s">
        <v>1219</v>
      </c>
      <c r="B48" s="551"/>
      <c r="C48" s="552" t="str">
        <f>YEAR(C7)&amp;"-"&amp;MONTH(C7)</f>
        <v>2022-12</v>
      </c>
      <c r="D48" s="553">
        <f>EDATE(C48,-1)</f>
        <v>44866</v>
      </c>
      <c r="E48" s="553">
        <f t="shared" ref="E48:O48" si="16">EDATE(D48,-1)</f>
        <v>44835</v>
      </c>
      <c r="F48" s="553">
        <f t="shared" si="16"/>
        <v>44805</v>
      </c>
      <c r="G48" s="553">
        <f t="shared" si="16"/>
        <v>44774</v>
      </c>
      <c r="H48" s="553">
        <f t="shared" si="16"/>
        <v>44743</v>
      </c>
      <c r="I48" s="553">
        <f t="shared" si="16"/>
        <v>44713</v>
      </c>
      <c r="J48" s="553">
        <f t="shared" si="16"/>
        <v>44682</v>
      </c>
      <c r="K48" s="553">
        <f t="shared" si="16"/>
        <v>44652</v>
      </c>
      <c r="L48" s="553">
        <f t="shared" si="16"/>
        <v>44621</v>
      </c>
      <c r="M48" s="553">
        <f t="shared" si="16"/>
        <v>44593</v>
      </c>
      <c r="N48" s="553">
        <f t="shared" si="16"/>
        <v>44562</v>
      </c>
      <c r="O48" s="553">
        <f t="shared" si="16"/>
        <v>44531</v>
      </c>
      <c r="P48" s="623"/>
      <c r="Q48" s="672"/>
      <c r="R48" s="672"/>
      <c r="S48" s="672"/>
      <c r="T48" s="672"/>
      <c r="U48" s="672"/>
      <c r="V48" s="672"/>
      <c r="W48" s="672"/>
      <c r="X48" s="672"/>
      <c r="Y48" s="672"/>
      <c r="Z48" s="672"/>
      <c r="AA48" s="672"/>
      <c r="AB48" s="672"/>
      <c r="AC48" s="672"/>
    </row>
    <row r="49" spans="1:29" s="418" customFormat="1">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ht="14.4">
      <c r="A50" s="557" t="s">
        <v>1275</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ht="14.4">
      <c r="A51" s="561" t="s">
        <v>1222</v>
      </c>
      <c r="B51" s="554"/>
      <c r="C51" s="562" t="s">
        <v>1223</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ht="14.4">
      <c r="A53" s="565" t="s">
        <v>1276</v>
      </c>
      <c r="B53" s="566" t="s">
        <v>1226</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8.8">
      <c r="A55" s="569"/>
      <c r="B55" s="572" t="s">
        <v>1229</v>
      </c>
      <c r="C55" s="573" t="s">
        <v>1278</v>
      </c>
      <c r="D55" s="573" t="s">
        <v>1279</v>
      </c>
      <c r="E55" s="573" t="s">
        <v>1280</v>
      </c>
      <c r="F55" s="573" t="s">
        <v>1281</v>
      </c>
      <c r="G55" s="573" t="s">
        <v>1282</v>
      </c>
      <c r="H55" s="573" t="s">
        <v>1283</v>
      </c>
      <c r="I55" s="573" t="s">
        <v>1284</v>
      </c>
      <c r="J55" s="573"/>
      <c r="K55" s="638"/>
      <c r="L55" s="639"/>
      <c r="M55" s="640"/>
      <c r="N55" s="634"/>
      <c r="O55" s="634"/>
      <c r="P55" s="635"/>
      <c r="Q55" s="671"/>
      <c r="R55" s="536"/>
      <c r="S55" s="536"/>
      <c r="T55" s="536"/>
      <c r="U55" s="536"/>
      <c r="V55" s="536"/>
      <c r="W55" s="536"/>
      <c r="X55" s="536"/>
      <c r="Y55" s="536"/>
      <c r="Z55" s="536"/>
      <c r="AA55" s="536"/>
      <c r="AB55" s="536"/>
      <c r="AC55" s="536"/>
    </row>
    <row r="56" spans="1:29">
      <c r="A56" s="569"/>
      <c r="B56" s="574"/>
      <c r="C56" s="575" t="s">
        <v>1285</v>
      </c>
      <c r="D56" s="575" t="s">
        <v>1285</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ht="14.4">
      <c r="A63" s="565" t="s">
        <v>1233</v>
      </c>
      <c r="B63" s="566" t="s">
        <v>1238</v>
      </c>
      <c r="C63" s="583" t="s">
        <v>1286</v>
      </c>
      <c r="D63" s="583" t="s">
        <v>1287</v>
      </c>
      <c r="E63" s="583" t="s">
        <v>1288</v>
      </c>
      <c r="F63" s="583" t="s">
        <v>1289</v>
      </c>
      <c r="G63" s="583" t="s">
        <v>1290</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ht="14.4">
      <c r="A65" s="569"/>
      <c r="B65" s="572" t="s">
        <v>1239</v>
      </c>
      <c r="C65" s="680" t="s">
        <v>1286</v>
      </c>
      <c r="D65" s="680" t="s">
        <v>1287</v>
      </c>
      <c r="E65" s="680" t="s">
        <v>1288</v>
      </c>
      <c r="F65" s="680" t="s">
        <v>1289</v>
      </c>
      <c r="G65" s="680" t="s">
        <v>1290</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ht="14.4">
      <c r="A67" s="569"/>
      <c r="B67" s="681" t="s">
        <v>1240</v>
      </c>
      <c r="C67" s="576" t="s">
        <v>1291</v>
      </c>
      <c r="D67" s="576" t="s">
        <v>1292</v>
      </c>
      <c r="E67" s="576" t="s">
        <v>1293</v>
      </c>
      <c r="F67" s="576" t="s">
        <v>1294</v>
      </c>
      <c r="G67" s="576" t="s">
        <v>1295</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ht="14.4">
      <c r="A69" s="569"/>
      <c r="B69" s="572" t="s">
        <v>1627</v>
      </c>
      <c r="C69" s="680" t="s">
        <v>1286</v>
      </c>
      <c r="D69" s="680" t="s">
        <v>1287</v>
      </c>
      <c r="E69" s="680" t="s">
        <v>1288</v>
      </c>
      <c r="F69" s="680" t="s">
        <v>1289</v>
      </c>
      <c r="G69" s="680" t="s">
        <v>1290</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ht="14.4">
      <c r="A71" s="569"/>
      <c r="B71" s="572" t="s">
        <v>1243</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8.8">
      <c r="A79" s="565" t="s">
        <v>1245</v>
      </c>
      <c r="B79" s="566" t="s">
        <v>2722</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ht="14.4">
      <c r="A81" s="569"/>
      <c r="B81" s="572" t="s">
        <v>2716</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ht="14.4">
      <c r="A83" s="685"/>
      <c r="B83" s="572" t="s">
        <v>1251</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ht="14.4">
      <c r="A85" s="685"/>
      <c r="B85" s="572" t="s">
        <v>1666</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ht="14.4">
      <c r="A88" s="685"/>
      <c r="B88" s="681" t="s">
        <v>1667</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ht="14.4">
      <c r="A90" s="687"/>
      <c r="B90" s="572" t="s">
        <v>2717</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ht="14.4">
      <c r="A93" s="685"/>
      <c r="B93" s="572" t="s">
        <v>2718</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ht="14.4">
      <c r="A95" s="685"/>
      <c r="B95" s="572" t="s">
        <v>2719</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D4" sqref="D4"/>
    </sheetView>
  </sheetViews>
  <sheetFormatPr defaultColWidth="9" defaultRowHeight="13.2"/>
  <cols>
    <col min="1" max="1" width="9" style="36" customWidth="1"/>
    <col min="2" max="2" width="20.6640625" style="132" customWidth="1"/>
    <col min="3" max="3" width="11.88671875" style="132" customWidth="1"/>
    <col min="4" max="4" width="40.44140625" style="36" customWidth="1"/>
    <col min="5" max="5" width="15.77734375" style="36" customWidth="1"/>
    <col min="6" max="6" width="10.6640625" style="36" customWidth="1"/>
    <col min="7" max="7" width="4.88671875" style="36" customWidth="1"/>
    <col min="8" max="8" width="8.44140625" style="36" customWidth="1"/>
    <col min="9" max="9" width="21.21875" style="36" customWidth="1"/>
    <col min="10" max="10" width="12.21875" style="36" customWidth="1"/>
    <col min="11" max="11" width="45.109375" style="133" customWidth="1"/>
    <col min="12" max="12" width="16.33203125" style="36" customWidth="1"/>
    <col min="13" max="13" width="13" style="36" customWidth="1"/>
    <col min="14" max="14" width="13.77734375" style="131" customWidth="1"/>
    <col min="15" max="15" width="5.109375" style="131" customWidth="1"/>
    <col min="16" max="16" width="25.77734375" style="131" customWidth="1"/>
    <col min="17" max="17" width="13.77734375" style="131" customWidth="1"/>
    <col min="18" max="18" width="20.44140625" style="131" customWidth="1"/>
    <col min="19" max="19" width="13.21875" style="131" customWidth="1"/>
    <col min="20" max="37" width="9" style="131"/>
    <col min="38" max="16384" width="9" style="36"/>
  </cols>
  <sheetData>
    <row r="1" spans="1:37" s="129" customFormat="1" ht="21.6">
      <c r="A1" s="134" t="s">
        <v>1302</v>
      </c>
      <c r="B1" s="135"/>
      <c r="C1" s="136" t="s">
        <v>589</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39.6">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3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4">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6">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4">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4">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4">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6">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6">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4">
      <c r="A67" s="291" t="s">
        <v>470</v>
      </c>
      <c r="B67" s="392" t="s">
        <v>1376</v>
      </c>
      <c r="C67" s="175" t="e">
        <f ca="1">C48-C58</f>
        <v>#N/A</v>
      </c>
      <c r="D67" s="303" t="s">
        <v>1377</v>
      </c>
      <c r="E67" s="393"/>
      <c r="F67" s="394"/>
      <c r="O67" s="359" t="s">
        <v>1424</v>
      </c>
      <c r="P67" s="352" t="s">
        <v>1456</v>
      </c>
      <c r="Q67" s="415" t="e">
        <f ca="1">L51</f>
        <v>#N/A</v>
      </c>
      <c r="R67" s="390" t="s">
        <v>1473</v>
      </c>
    </row>
    <row r="68" spans="1:18" s="131" customFormat="1" ht="15.6">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c r="A69" s="397"/>
      <c r="B69" s="398"/>
      <c r="C69" s="172"/>
      <c r="D69" s="399" t="s">
        <v>1386</v>
      </c>
      <c r="E69" s="296" t="s">
        <v>1387</v>
      </c>
      <c r="F69" s="245" t="e">
        <f ca="1">F41</f>
        <v>#N/A</v>
      </c>
      <c r="O69" s="359" t="s">
        <v>1476</v>
      </c>
      <c r="P69" s="414" t="s">
        <v>1477</v>
      </c>
      <c r="Q69" s="390" t="e">
        <f ca="1">C39</f>
        <v>#N/A</v>
      </c>
      <c r="R69" s="390" t="s">
        <v>1412</v>
      </c>
    </row>
    <row r="70" spans="1:18" s="131" customFormat="1">
      <c r="A70" s="400"/>
      <c r="B70" s="401"/>
      <c r="C70" s="193"/>
      <c r="D70" s="308"/>
      <c r="E70" s="296" t="s">
        <v>1390</v>
      </c>
      <c r="F70" s="285"/>
      <c r="O70" s="359" t="s">
        <v>1478</v>
      </c>
      <c r="P70" s="414" t="s">
        <v>1479</v>
      </c>
      <c r="Q70" s="390" t="e">
        <f ca="1">C13</f>
        <v>#N/A</v>
      </c>
      <c r="R70" s="390" t="s">
        <v>1412</v>
      </c>
    </row>
    <row r="71" spans="1:18" s="131" customFormat="1">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c r="B72" s="338"/>
      <c r="C72" s="338"/>
      <c r="O72" s="359" t="s">
        <v>1432</v>
      </c>
      <c r="P72" s="352" t="s">
        <v>1458</v>
      </c>
      <c r="Q72" s="391">
        <f>L52</f>
        <v>0.05</v>
      </c>
      <c r="R72" s="390"/>
    </row>
    <row r="73" spans="1:18" ht="15.6">
      <c r="A73" s="131"/>
      <c r="B73" s="338"/>
      <c r="C73" s="338"/>
      <c r="D73" s="131"/>
      <c r="E73" s="131"/>
      <c r="F73" s="131"/>
      <c r="O73" s="359" t="s">
        <v>1436</v>
      </c>
      <c r="P73" s="352" t="s">
        <v>1461</v>
      </c>
      <c r="Q73" s="390" t="e">
        <f ca="1">L58</f>
        <v>#N/A</v>
      </c>
      <c r="R73" s="390" t="s">
        <v>1462</v>
      </c>
    </row>
    <row r="74" spans="1:18">
      <c r="A74" s="131"/>
      <c r="B74" s="125" t="s">
        <v>1482</v>
      </c>
      <c r="C74" s="406"/>
      <c r="D74" s="131"/>
      <c r="E74" s="131"/>
      <c r="F74" s="131"/>
      <c r="O74" s="359" t="s">
        <v>1483</v>
      </c>
      <c r="P74" s="352" t="str">
        <f>K59</f>
        <v>建筑物剩余耐用年限下的土地年期修正系数Kn</v>
      </c>
      <c r="Q74" s="390" t="e">
        <f ca="1">L59</f>
        <v>#N/A</v>
      </c>
      <c r="R74" s="390" t="s">
        <v>1463</v>
      </c>
    </row>
    <row r="75" spans="1:18">
      <c r="A75" s="131"/>
      <c r="B75" s="407" t="s">
        <v>1484</v>
      </c>
      <c r="C75" s="408" t="e">
        <f ca="1">ROUND(C13*C76,0)</f>
        <v>#N/A</v>
      </c>
      <c r="D75" s="131"/>
      <c r="E75" s="131"/>
      <c r="F75" s="131"/>
      <c r="K75" s="337"/>
      <c r="L75" s="131"/>
      <c r="O75" s="351" t="s">
        <v>1166</v>
      </c>
      <c r="P75" s="352" t="s">
        <v>1442</v>
      </c>
      <c r="Q75" s="390" t="e">
        <f ca="1">Q65+Q66</f>
        <v>#N/A</v>
      </c>
      <c r="R75" s="390" t="s">
        <v>1443</v>
      </c>
    </row>
    <row r="76" spans="1:18">
      <c r="B76" s="409" t="s">
        <v>1485</v>
      </c>
      <c r="C76" s="410" t="e">
        <f ca="1">INDIRECT("'数据-取费表'!j"&amp;$G$1)</f>
        <v>#N/A</v>
      </c>
      <c r="I76" s="131"/>
      <c r="J76" s="131"/>
      <c r="K76" s="337"/>
      <c r="L76" s="131"/>
    </row>
    <row r="77" spans="1:18">
      <c r="B77" s="411" t="s">
        <v>1486</v>
      </c>
      <c r="C77" s="412"/>
      <c r="I77" s="131"/>
      <c r="J77" s="131"/>
      <c r="K77" s="337"/>
      <c r="L77" s="131"/>
    </row>
    <row r="78" spans="1:18">
      <c r="B78" s="123" t="s">
        <v>1487</v>
      </c>
      <c r="C78" s="413"/>
    </row>
    <row r="79" spans="1:18">
      <c r="B79" s="407" t="s">
        <v>1488</v>
      </c>
      <c r="C79" s="127" t="e">
        <f ca="1">1-C80</f>
        <v>#N/A</v>
      </c>
    </row>
    <row r="80" spans="1:18">
      <c r="B80" s="407" t="s">
        <v>1489</v>
      </c>
      <c r="C80" s="127" t="e">
        <f ca="1">ROUND(C75/C39,3)</f>
        <v>#N/A</v>
      </c>
    </row>
    <row r="81" spans="2:3">
      <c r="B81" s="123" t="s">
        <v>1490</v>
      </c>
      <c r="C81" s="91"/>
    </row>
    <row r="82" spans="2:3">
      <c r="B82" s="125" t="s">
        <v>1145</v>
      </c>
      <c r="C82" s="126" t="e">
        <f ca="1">1-C83</f>
        <v>#N/A</v>
      </c>
    </row>
    <row r="83" spans="2: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10" customWidth="1"/>
    <col min="2" max="9" width="12.109375" style="710" customWidth="1"/>
    <col min="10" max="16384" width="9" style="710"/>
  </cols>
  <sheetData>
    <row r="1" spans="1:9" ht="17.399999999999999">
      <c r="A1" s="3015" t="str">
        <f>IF(项目基本情况!B9="房地产市场价值","估价结果一览表","结果表-2")</f>
        <v>结果表-2</v>
      </c>
      <c r="B1" s="3015"/>
      <c r="C1" s="3015"/>
      <c r="D1" s="3015"/>
      <c r="E1" s="3015"/>
      <c r="F1" s="3015"/>
      <c r="G1" s="3015"/>
      <c r="H1" s="3015"/>
      <c r="I1" s="3015"/>
    </row>
    <row r="2" spans="1:9" ht="30" customHeight="1">
      <c r="A2" s="3016" t="s">
        <v>107</v>
      </c>
      <c r="B2" s="3016" t="s">
        <v>108</v>
      </c>
      <c r="C2" s="3016" t="s">
        <v>109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7"/>
      <c r="B3" s="3017"/>
      <c r="C3" s="3017"/>
      <c r="D3" s="2950" t="s">
        <v>110</v>
      </c>
      <c r="E3" s="2950" t="s">
        <v>111</v>
      </c>
      <c r="F3" s="2950" t="s">
        <v>110</v>
      </c>
      <c r="G3" s="2950" t="s">
        <v>111</v>
      </c>
      <c r="H3" s="2950" t="s">
        <v>110</v>
      </c>
      <c r="I3" s="2950" t="s">
        <v>111</v>
      </c>
    </row>
    <row r="4" spans="1:9" ht="30">
      <c r="A4" s="2951" t="str">
        <f>项目基本情况!S2</f>
        <v>北京市朝阳区建国门外大街甲6号1幢房地产</v>
      </c>
      <c r="B4" s="2950">
        <f>项目基本情况!C17</f>
        <v>51096.2</v>
      </c>
      <c r="C4" s="2950">
        <f>项目基本情况!C18</f>
        <v>8176.44</v>
      </c>
      <c r="D4" s="2950">
        <f ca="1">结果表!D118</f>
        <v>253065</v>
      </c>
      <c r="E4" s="2950">
        <f ca="1">结果表!E118</f>
        <v>50470</v>
      </c>
      <c r="F4" s="2950">
        <f ca="1">结果表!F118</f>
        <v>40174</v>
      </c>
      <c r="G4" s="2950">
        <f ca="1">结果表!G118</f>
        <v>8012</v>
      </c>
      <c r="H4" s="2950">
        <f ca="1">结果表!H118</f>
        <v>293239</v>
      </c>
      <c r="I4" s="2950">
        <f ca="1">结果表!I118</f>
        <v>58482</v>
      </c>
    </row>
    <row r="5" spans="1:9" ht="30" customHeight="1">
      <c r="A5" s="3017" t="s">
        <v>112</v>
      </c>
      <c r="B5" s="3017"/>
      <c r="C5" s="3017"/>
      <c r="D5" s="3018" t="str">
        <f ca="1">结果表!D119</f>
        <v>贰拾伍亿叁仟零陆拾伍万元整</v>
      </c>
      <c r="E5" s="3018"/>
      <c r="F5" s="3018" t="str">
        <f ca="1">结果表!F119</f>
        <v>肆亿零壹佰柒拾肆万元整</v>
      </c>
      <c r="G5" s="3018"/>
      <c r="H5" s="3018" t="str">
        <f ca="1">结果表!H119</f>
        <v>贰拾玖亿叁仟贰佰叁拾玖万元整</v>
      </c>
      <c r="I5" s="3018"/>
    </row>
    <row r="6" spans="1:9" ht="15.6">
      <c r="A6" s="3019" t="str">
        <f>结果表!A120</f>
        <v>估价师知悉的法定优先受偿款</v>
      </c>
      <c r="B6" s="3019"/>
      <c r="C6" s="3019"/>
      <c r="D6" s="3019">
        <f>结果表!D120</f>
        <v>0</v>
      </c>
      <c r="E6" s="3019"/>
      <c r="F6" s="3019"/>
      <c r="G6" s="3019"/>
      <c r="H6" s="3019"/>
      <c r="I6" s="3019"/>
    </row>
    <row r="7" spans="1:9" ht="15">
      <c r="A7" s="3017" t="s">
        <v>112</v>
      </c>
      <c r="B7" s="3017"/>
      <c r="C7" s="3017"/>
      <c r="D7" s="3020" t="str">
        <f>结果表!D121</f>
        <v>零元整</v>
      </c>
      <c r="E7" s="3021"/>
      <c r="F7" s="3021"/>
      <c r="G7" s="3021"/>
      <c r="H7" s="3021"/>
      <c r="I7" s="3022"/>
    </row>
    <row r="8" spans="1:9" ht="15.6">
      <c r="A8" s="3019" t="str">
        <f>结果表!A122</f>
        <v>房地产抵押价值</v>
      </c>
      <c r="B8" s="3019"/>
      <c r="C8" s="3019"/>
      <c r="D8" s="3019">
        <f ca="1">结果表!D122</f>
        <v>293239</v>
      </c>
      <c r="E8" s="3019"/>
      <c r="F8" s="3019"/>
      <c r="G8" s="3019"/>
      <c r="H8" s="3019"/>
      <c r="I8" s="3019"/>
    </row>
    <row r="9" spans="1:9" ht="15">
      <c r="A9" s="3017" t="s">
        <v>112</v>
      </c>
      <c r="B9" s="3017"/>
      <c r="C9" s="3017"/>
      <c r="D9" s="3018" t="str">
        <f ca="1">结果表!D123</f>
        <v>贰拾玖亿叁仟贰佰叁拾玖万元整</v>
      </c>
      <c r="E9" s="3018"/>
      <c r="F9" s="3018"/>
      <c r="G9" s="3018"/>
      <c r="H9" s="3018"/>
      <c r="I9" s="3018"/>
    </row>
    <row r="10" spans="1:9" ht="15.6">
      <c r="A10" s="3019" t="str">
        <f>结果表!A124</f>
        <v/>
      </c>
      <c r="B10" s="3019"/>
      <c r="C10" s="3019"/>
      <c r="D10" s="3019" t="str">
        <f>结果表!D124</f>
        <v>——</v>
      </c>
      <c r="E10" s="3019"/>
      <c r="F10" s="3019"/>
      <c r="G10" s="3019"/>
      <c r="H10" s="3019"/>
      <c r="I10" s="3019"/>
    </row>
    <row r="11" spans="1:9" ht="15">
      <c r="A11" s="3017" t="s">
        <v>112</v>
      </c>
      <c r="B11" s="3017"/>
      <c r="C11" s="3017"/>
      <c r="D11" s="3018" t="e">
        <f>结果表!D125</f>
        <v>#VALUE!</v>
      </c>
      <c r="E11" s="3018"/>
      <c r="F11" s="3018"/>
      <c r="G11" s="3018"/>
      <c r="H11" s="3018"/>
      <c r="I11" s="3018"/>
    </row>
    <row r="12" spans="1:9" ht="15.6">
      <c r="A12" s="3019" t="str">
        <f>结果表!A126</f>
        <v/>
      </c>
      <c r="B12" s="3019"/>
      <c r="C12" s="3019"/>
      <c r="D12" s="3019" t="str">
        <f>结果表!D126</f>
        <v>——</v>
      </c>
      <c r="E12" s="3019"/>
      <c r="F12" s="3019"/>
      <c r="G12" s="3019"/>
      <c r="H12" s="3019"/>
      <c r="I12" s="3019"/>
    </row>
    <row r="13" spans="1:9" ht="15">
      <c r="A13" s="3023" t="s">
        <v>112</v>
      </c>
      <c r="B13" s="3023"/>
      <c r="C13" s="3023"/>
      <c r="D13" s="3024" t="e">
        <f>结果表!D127</f>
        <v>#VALUE!</v>
      </c>
      <c r="E13" s="3024"/>
      <c r="F13" s="3024"/>
      <c r="G13" s="3024"/>
      <c r="H13" s="3024"/>
      <c r="I13" s="3024"/>
    </row>
    <row r="14" spans="1:9">
      <c r="A14" s="3025" t="s">
        <v>113</v>
      </c>
      <c r="B14" s="3025"/>
      <c r="C14" s="3025"/>
      <c r="D14" s="3025"/>
      <c r="E14" s="3025"/>
      <c r="F14" s="3025"/>
      <c r="G14" s="3025"/>
      <c r="H14" s="3025"/>
      <c r="I14" s="3025"/>
    </row>
    <row r="16" spans="1:9" ht="17.399999999999999">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workbookViewId="0">
      <selection activeCell="E27" sqref="E27"/>
    </sheetView>
  </sheetViews>
  <sheetFormatPr defaultColWidth="8.33203125" defaultRowHeight="13.2"/>
  <cols>
    <col min="1" max="1" width="10.33203125" style="37" customWidth="1"/>
    <col min="2" max="2" width="29.21875" style="38" customWidth="1"/>
    <col min="3" max="3" width="12.109375" style="38" customWidth="1"/>
    <col min="4" max="5" width="11.21875" style="39" customWidth="1"/>
    <col min="6" max="6" width="9.44140625" style="38" customWidth="1"/>
    <col min="7" max="7" width="31.88671875" style="38" customWidth="1"/>
    <col min="8" max="254" width="9" style="38" customWidth="1"/>
    <col min="255" max="16384" width="8.33203125" style="38"/>
  </cols>
  <sheetData>
    <row r="1" spans="1:9" s="32" customFormat="1" ht="21">
      <c r="A1" s="40" t="s">
        <v>1053</v>
      </c>
      <c r="B1" s="41"/>
      <c r="C1" s="42"/>
      <c r="D1" s="42"/>
      <c r="E1" s="42"/>
      <c r="F1" s="42"/>
      <c r="G1" s="43">
        <f>MATCH(B1,'数据-取费表'!A6:A16,0)+5</f>
        <v>7</v>
      </c>
    </row>
    <row r="2" spans="1:9" s="32" customFormat="1" ht="18" customHeight="1">
      <c r="A2" s="44" t="s">
        <v>1055</v>
      </c>
      <c r="B2" s="45">
        <f ca="1">IF(D2="——",C52,C52-E2)</f>
        <v>217344</v>
      </c>
      <c r="C2" s="46" t="s">
        <v>1056</v>
      </c>
      <c r="D2" s="47" t="s">
        <v>124</v>
      </c>
      <c r="E2" s="48" t="e">
        <f ca="1">SUMIF(INDIRECT("'"&amp;G2&amp;"'"&amp;"!A:A"),"承租人权益价值",INDIRECT("'"&amp;G2&amp;"'"&amp;"!c:c"))</f>
        <v>#REF!</v>
      </c>
      <c r="F2" s="49" t="s">
        <v>1056</v>
      </c>
      <c r="G2" s="50"/>
    </row>
    <row r="3" spans="1:9" s="32" customFormat="1" ht="18" customHeight="1">
      <c r="A3" s="51" t="s">
        <v>1057</v>
      </c>
      <c r="B3" s="52">
        <f ca="1">ROUND(B2*10000/(IF(B1="",'数据-汇总表'!E3,INDIRECT("'数据-取费表'!k"&amp;$G$1))),0)</f>
        <v>42536</v>
      </c>
      <c r="C3" s="46" t="s">
        <v>1058</v>
      </c>
      <c r="D3" s="46"/>
      <c r="E3" s="46"/>
      <c r="F3" s="46"/>
      <c r="G3" s="46"/>
    </row>
    <row r="4" spans="1:9" s="33" customFormat="1" ht="16.2">
      <c r="A4" s="53" t="s">
        <v>1059</v>
      </c>
      <c r="B4" s="54"/>
      <c r="C4" s="54"/>
      <c r="D4" s="54"/>
      <c r="E4" s="54"/>
      <c r="F4" s="54"/>
      <c r="G4" s="55"/>
    </row>
    <row r="5" spans="1:9" s="34" customFormat="1" ht="13.5" customHeight="1">
      <c r="A5" s="56" t="s">
        <v>1060</v>
      </c>
      <c r="B5" s="57" t="s">
        <v>1061</v>
      </c>
      <c r="C5" s="58">
        <f>C6+C7+C8</f>
        <v>128999</v>
      </c>
      <c r="D5" s="58" t="s">
        <v>1062</v>
      </c>
      <c r="E5" s="59" t="s">
        <v>1063</v>
      </c>
      <c r="F5" s="59" t="s">
        <v>959</v>
      </c>
      <c r="G5" s="60"/>
    </row>
    <row r="6" spans="1:9" s="34" customFormat="1" ht="13.5" customHeight="1">
      <c r="A6" s="61" t="s">
        <v>1064</v>
      </c>
      <c r="B6" s="62" t="s">
        <v>1065</v>
      </c>
      <c r="C6" s="63">
        <v>125000</v>
      </c>
      <c r="D6" s="64"/>
      <c r="E6" s="65"/>
      <c r="F6" s="65"/>
      <c r="G6" s="66"/>
    </row>
    <row r="7" spans="1:9" s="34" customFormat="1" ht="13.5" customHeight="1">
      <c r="A7" s="61" t="s">
        <v>1066</v>
      </c>
      <c r="B7" s="62" t="s">
        <v>1067</v>
      </c>
      <c r="C7" s="67">
        <f>ROUND(C6*F7,0)</f>
        <v>3813</v>
      </c>
      <c r="D7" s="67"/>
      <c r="E7" s="65"/>
      <c r="F7" s="68">
        <f>IF(项目基本情况!B8="出让",0,'数据-取费表'!B48+'数据-取费表'!B49)</f>
        <v>3.0499999999999999E-2</v>
      </c>
      <c r="G7" s="66"/>
    </row>
    <row r="8" spans="1:9" s="35" customFormat="1">
      <c r="A8" s="61" t="s">
        <v>1068</v>
      </c>
      <c r="B8" s="62" t="s">
        <v>1069</v>
      </c>
      <c r="C8" s="67">
        <f>IF(G8="已包含在土地购买价格中","0",IF(B1="",'数据-取费表'!B29,IF(G9="全部缴纳",C9+C10,H9)))</f>
        <v>186</v>
      </c>
      <c r="D8" s="69"/>
      <c r="E8" s="67"/>
      <c r="F8" s="68"/>
      <c r="G8" s="70" t="s">
        <v>2723</v>
      </c>
    </row>
    <row r="9" spans="1:9" s="34" customFormat="1" ht="13.5" customHeight="1">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28" t="s">
        <v>2725</v>
      </c>
    </row>
    <row r="10" spans="1:9" s="34" customFormat="1" ht="13.5" customHeight="1">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pans="1:9" s="34" customFormat="1" ht="13.5" hidden="1" customHeight="1">
      <c r="A11" s="78" t="s">
        <v>1074</v>
      </c>
      <c r="B11" s="62" t="s">
        <v>1075</v>
      </c>
      <c r="C11" s="58"/>
      <c r="D11" s="65"/>
      <c r="E11" s="65"/>
      <c r="F11" s="65"/>
      <c r="G11" s="66"/>
    </row>
    <row r="12" spans="1:9" s="34" customFormat="1" ht="13.5" hidden="1" customHeight="1">
      <c r="A12" s="78" t="s">
        <v>1076</v>
      </c>
      <c r="B12" s="62" t="s">
        <v>995</v>
      </c>
      <c r="C12" s="58">
        <v>0</v>
      </c>
      <c r="D12" s="65"/>
      <c r="E12" s="79"/>
      <c r="F12" s="68">
        <v>3.0499999999999999E-2</v>
      </c>
      <c r="G12" s="66"/>
    </row>
    <row r="13" spans="1:9" s="34" customFormat="1" ht="13.5" hidden="1" customHeight="1">
      <c r="A13" s="78" t="s">
        <v>1077</v>
      </c>
      <c r="B13" s="62" t="s">
        <v>1078</v>
      </c>
      <c r="C13" s="58"/>
      <c r="D13" s="65"/>
      <c r="E13" s="65"/>
      <c r="F13" s="65"/>
      <c r="G13" s="66"/>
    </row>
    <row r="14" spans="1:9" s="34" customFormat="1" ht="13.5" hidden="1" customHeight="1">
      <c r="A14" s="78" t="s">
        <v>1079</v>
      </c>
      <c r="B14" s="62" t="s">
        <v>1069</v>
      </c>
      <c r="C14" s="58"/>
      <c r="D14" s="65"/>
      <c r="E14" s="65"/>
      <c r="F14" s="65"/>
      <c r="G14" s="66" t="s">
        <v>1080</v>
      </c>
    </row>
    <row r="15" spans="1:9" s="34" customFormat="1" ht="13.5" hidden="1" customHeight="1">
      <c r="A15" s="78" t="s">
        <v>1081</v>
      </c>
      <c r="B15" s="62" t="s">
        <v>1082</v>
      </c>
      <c r="C15" s="67"/>
      <c r="D15" s="65"/>
      <c r="E15" s="65"/>
      <c r="F15" s="65"/>
      <c r="G15" s="66" t="s">
        <v>1083</v>
      </c>
    </row>
    <row r="16" spans="1:9"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t="str">
        <f>IF(G19="已包含在土地取得成本中","0",ROUND(D19*E19/10000,0))</f>
        <v>0</v>
      </c>
      <c r="D19" s="59">
        <f ca="1">D9+D10</f>
        <v>51096.2</v>
      </c>
      <c r="E19" s="58">
        <f>'数据-取费表'!B31</f>
        <v>200</v>
      </c>
      <c r="F19" s="81"/>
      <c r="G19" s="70" t="s">
        <v>2726</v>
      </c>
    </row>
    <row r="20" spans="1:7" s="34" customFormat="1" ht="13.5" customHeight="1">
      <c r="A20" s="56" t="s">
        <v>1092</v>
      </c>
      <c r="B20" s="57" t="s">
        <v>1093</v>
      </c>
      <c r="C20" s="82">
        <f>ROUND((C5+C19)*F20,0)</f>
        <v>1935</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7">
        <f>ROUND(SUM(C23:C25),0)</f>
        <v>16858</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0">
        <f>ROUND(IF('数据-取费表'!B22&lt;=1,C5*F22*'数据-取费表'!B23,C5*(POWER((1+F22),'数据-取费表'!B23)-1)),0)</f>
        <v>16736</v>
      </c>
      <c r="D23" s="91"/>
      <c r="E23" s="91"/>
      <c r="F23" s="92"/>
      <c r="G23" s="93" t="s">
        <v>1102</v>
      </c>
    </row>
    <row r="24" spans="1:7" s="34" customFormat="1" ht="13.5" customHeight="1">
      <c r="A24" s="89" t="s">
        <v>1066</v>
      </c>
      <c r="B24" s="62" t="s">
        <v>1103</v>
      </c>
      <c r="C24" s="90">
        <f>ROUND(IF('数据-取费表'!B22&lt;=1,C19*F22*('数据-取费表'!B19/2+'数据-取费表'!B21),C19*(POWER((1+F22),('数据-取费表'!B19/2+'数据-取费表'!B21))-1)),0)</f>
        <v>0</v>
      </c>
      <c r="D24" s="91"/>
      <c r="E24" s="91"/>
      <c r="F24" s="92"/>
      <c r="G24" s="93" t="s">
        <v>1104</v>
      </c>
    </row>
    <row r="25" spans="1:7" s="34" customFormat="1" ht="24">
      <c r="A25" s="89" t="s">
        <v>1068</v>
      </c>
      <c r="B25" s="62" t="s">
        <v>1105</v>
      </c>
      <c r="C25" s="90">
        <f>ROUND(IF('数据-取费表'!B22&lt;=1,C20*F22*'数据-取费表'!B23/2,C20*(POWER((1+F22),'数据-取费表'!B23/2)-1)),0)</f>
        <v>122</v>
      </c>
      <c r="D25" s="91"/>
      <c r="E25" s="94"/>
      <c r="F25" s="92"/>
      <c r="G25" s="95" t="s">
        <v>1106</v>
      </c>
    </row>
    <row r="26" spans="1:7" s="34" customFormat="1">
      <c r="A26" s="89" t="s">
        <v>1107</v>
      </c>
      <c r="B26" s="62" t="s">
        <v>1108</v>
      </c>
      <c r="C26" s="91">
        <f>ROUND(IF('数据-取费表'!B22&lt;=1,F21*F22*'数据-取费表'!B23/2,F21*(POWER((1+F22),'数据-取费表'!B23/2)-1)),4)</f>
        <v>8.9999999999999998E-4</v>
      </c>
      <c r="D26" s="91"/>
      <c r="E26" s="94"/>
      <c r="F26" s="92"/>
      <c r="G26" s="96"/>
    </row>
    <row r="27" spans="1:7" s="34" customFormat="1" ht="26.4">
      <c r="A27" s="56" t="s">
        <v>1109</v>
      </c>
      <c r="B27" s="97" t="s">
        <v>1110</v>
      </c>
      <c r="C27" s="98">
        <f ca="1">C28</f>
        <v>26187</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ROUND((C5+C19+C20)*F27*'数据-取费表'!B21/'数据-取费表'!B20,0)</f>
        <v>26187</v>
      </c>
      <c r="D28" s="85"/>
      <c r="E28" s="86"/>
      <c r="F28" s="99"/>
      <c r="G28" s="100"/>
    </row>
    <row r="29" spans="1:7" s="34" customFormat="1" ht="13.5" customHeight="1">
      <c r="A29" s="89" t="s">
        <v>1066</v>
      </c>
      <c r="B29" s="101" t="s">
        <v>1113</v>
      </c>
      <c r="C29" s="91">
        <f ca="1">ROUND(C21*F27*'数据-取费表'!B21/'数据-取费表'!B20,4)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187518</v>
      </c>
      <c r="D31" s="104"/>
      <c r="E31" s="58"/>
      <c r="F31" s="105"/>
      <c r="G31" s="84" t="s">
        <v>1118</v>
      </c>
    </row>
    <row r="32" spans="1:7" s="33" customFormat="1" ht="16.2">
      <c r="A32" s="106" t="s">
        <v>2727</v>
      </c>
      <c r="B32" s="107"/>
      <c r="C32" s="107"/>
      <c r="D32" s="107"/>
      <c r="E32" s="107"/>
      <c r="F32" s="107"/>
      <c r="G32" s="108"/>
    </row>
    <row r="33" spans="1:7" s="34" customFormat="1" ht="13.5" customHeight="1">
      <c r="A33" s="56" t="s">
        <v>1060</v>
      </c>
      <c r="B33" s="57" t="s">
        <v>2728</v>
      </c>
      <c r="C33" s="109">
        <f ca="1">SUM(C34:C38)</f>
        <v>26652</v>
      </c>
      <c r="D33" s="82"/>
      <c r="E33" s="59"/>
      <c r="F33" s="94"/>
      <c r="G33" s="84"/>
    </row>
    <row r="34" spans="1:7" s="36" customFormat="1" ht="13.5" customHeight="1">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spans="1:7" ht="13.5" customHeight="1">
      <c r="A35" s="89" t="s">
        <v>1066</v>
      </c>
      <c r="B35" s="62" t="s">
        <v>1122</v>
      </c>
      <c r="C35" s="67">
        <f ca="1">ROUND(C34*F35,0)</f>
        <v>736</v>
      </c>
      <c r="D35" s="67"/>
      <c r="E35" s="67"/>
      <c r="F35" s="111">
        <f>'数据-取费表'!B33</f>
        <v>0.03</v>
      </c>
      <c r="G35" s="66" t="s">
        <v>1123</v>
      </c>
    </row>
    <row r="36" spans="1:7" ht="24">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pans="1:7" s="36" customFormat="1" ht="13.5" customHeight="1">
      <c r="A37" s="89" t="s">
        <v>1107</v>
      </c>
      <c r="B37" s="62" t="s">
        <v>1126</v>
      </c>
      <c r="C37" s="102">
        <f ca="1">ROUND(E37*D37*F34/10000,0)</f>
        <v>1022</v>
      </c>
      <c r="D37" s="64">
        <f ca="1">D19</f>
        <v>51096.2</v>
      </c>
      <c r="E37" s="102">
        <f>'数据-取费表'!B35</f>
        <v>200</v>
      </c>
      <c r="F37" s="111"/>
      <c r="G37" s="113" t="s">
        <v>2730</v>
      </c>
    </row>
    <row r="38" spans="1:7" ht="13.5" customHeight="1">
      <c r="A38" s="89" t="s">
        <v>1127</v>
      </c>
      <c r="B38" s="62" t="s">
        <v>995</v>
      </c>
      <c r="C38" s="67">
        <f ca="1">ROUND(C34*F38,0)</f>
        <v>368</v>
      </c>
      <c r="D38" s="67"/>
      <c r="E38" s="67"/>
      <c r="F38" s="111">
        <f>'数据-取费表'!B36</f>
        <v>1.4999999999999999E-2</v>
      </c>
      <c r="G38" s="66" t="s">
        <v>1123</v>
      </c>
    </row>
    <row r="39" spans="1:7" s="34" customFormat="1" ht="13.5" customHeight="1">
      <c r="A39" s="56" t="s">
        <v>1090</v>
      </c>
      <c r="B39" s="57" t="s">
        <v>1093</v>
      </c>
      <c r="C39" s="82">
        <f ca="1">ROUND(C33*F20,0)</f>
        <v>400</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ROUND(IF('数据-取费表'!B22&lt;=1,C33*F22*'数据-取费表'!B21/2,C33*(POWER((1+F22),'数据-取费表'!B21/2)-1)),0)</f>
        <v>1676</v>
      </c>
      <c r="D42" s="91"/>
      <c r="E42" s="91"/>
      <c r="F42" s="92"/>
      <c r="G42" s="3192" t="s">
        <v>2731</v>
      </c>
    </row>
    <row r="43" spans="1:7" ht="13.5" customHeight="1">
      <c r="A43" s="89" t="s">
        <v>1066</v>
      </c>
      <c r="B43" s="62" t="s">
        <v>1103</v>
      </c>
      <c r="C43" s="91">
        <f ca="1">ROUND(IF('数据-取费表'!B22&lt;=1,C39*F22*'数据-取费表'!B21/2,C39*(POWER((1+F22),'数据-取费表'!B21/2)-1)),0)</f>
        <v>25</v>
      </c>
      <c r="D43" s="91"/>
      <c r="E43" s="91"/>
      <c r="F43" s="92"/>
      <c r="G43" s="3193"/>
    </row>
    <row r="44" spans="1:7" ht="13.5" customHeight="1">
      <c r="A44" s="89" t="s">
        <v>1068</v>
      </c>
      <c r="B44" s="62" t="s">
        <v>1105</v>
      </c>
      <c r="C44" s="91">
        <f>ROUND(IF('数据-取费表'!B22&lt;=1,C40*F22*'数据-取费表'!B21/2,C40*(POWER((1+F22),'数据-取费表'!B21/2)-1)),4)</f>
        <v>8.9999999999999998E-4</v>
      </c>
      <c r="D44" s="91"/>
      <c r="E44" s="91"/>
      <c r="F44" s="92"/>
      <c r="G44" s="3194"/>
    </row>
    <row r="45" spans="1:7" s="34" customFormat="1" ht="13.5" customHeight="1">
      <c r="A45" s="56" t="s">
        <v>1099</v>
      </c>
      <c r="B45" s="97" t="s">
        <v>1110</v>
      </c>
      <c r="C45" s="98">
        <f ca="1">C46</f>
        <v>5410</v>
      </c>
      <c r="D45" s="85">
        <f ca="1">C47</f>
        <v>3.0000000000000001E-3</v>
      </c>
      <c r="E45" s="86" t="s">
        <v>1129</v>
      </c>
      <c r="F45" s="116">
        <f ca="1">F27</f>
        <v>0.2</v>
      </c>
      <c r="G45" s="100" t="s">
        <v>1132</v>
      </c>
    </row>
    <row r="46" spans="1:7" s="34" customFormat="1" ht="13.5" customHeight="1">
      <c r="A46" s="89" t="s">
        <v>1064</v>
      </c>
      <c r="B46" s="101" t="s">
        <v>1133</v>
      </c>
      <c r="C46" s="102">
        <f ca="1">ROUND((C33+C39)*F27,0)</f>
        <v>5410</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85">
        <f>ROUND(F30/(1+'数据-取费表'!C42),4)</f>
        <v>5.33E-2</v>
      </c>
      <c r="D48" s="86" t="s">
        <v>1129</v>
      </c>
      <c r="E48" s="82"/>
      <c r="F48" s="115">
        <f>F30</f>
        <v>5.6000000000000001E-2</v>
      </c>
      <c r="G48" s="84" t="s">
        <v>1135</v>
      </c>
    </row>
    <row r="49" spans="1:7" ht="16.5" customHeight="1">
      <c r="A49" s="56" t="s">
        <v>1114</v>
      </c>
      <c r="B49" s="57" t="s">
        <v>2732</v>
      </c>
      <c r="C49" s="82">
        <f ca="1">ROUND((C33+C39+C41+C45)/(1-C40-D41-D45-C48),0)</f>
        <v>36822</v>
      </c>
      <c r="D49" s="82"/>
      <c r="E49" s="82"/>
      <c r="F49" s="118"/>
      <c r="G49" s="84" t="s">
        <v>1137</v>
      </c>
    </row>
    <row r="50" spans="1:7" s="36" customFormat="1" ht="24">
      <c r="A50" s="56" t="s">
        <v>1138</v>
      </c>
      <c r="B50" s="57" t="s">
        <v>1139</v>
      </c>
      <c r="C50" s="82"/>
      <c r="D50" s="82"/>
      <c r="E50" s="82"/>
      <c r="F50" s="118">
        <f>IF('数据-取费表'!B24=0,'数据-取费表'!N16,1)</f>
        <v>0.81</v>
      </c>
      <c r="G50" s="100" t="s">
        <v>2733</v>
      </c>
    </row>
    <row r="51" spans="1:7" ht="16.5" customHeight="1">
      <c r="A51" s="56" t="s">
        <v>1140</v>
      </c>
      <c r="B51" s="57" t="s">
        <v>2734</v>
      </c>
      <c r="C51" s="82">
        <f ca="1">ROUND(C49*F50,0)</f>
        <v>29826</v>
      </c>
      <c r="D51" s="82"/>
      <c r="E51" s="82"/>
      <c r="F51" s="118"/>
      <c r="G51" s="84" t="s">
        <v>1142</v>
      </c>
    </row>
    <row r="52" spans="1:7" s="33" customFormat="1" ht="16.2">
      <c r="A52" s="119" t="s">
        <v>1143</v>
      </c>
      <c r="B52" s="120"/>
      <c r="C52" s="121">
        <f ca="1">C31+C51</f>
        <v>217344</v>
      </c>
      <c r="D52" s="120"/>
      <c r="E52" s="120"/>
      <c r="F52" s="120"/>
      <c r="G52" s="122"/>
    </row>
    <row r="55" spans="1:7" ht="15">
      <c r="B55" s="123" t="s">
        <v>1144</v>
      </c>
      <c r="C55" s="124"/>
    </row>
    <row r="56" spans="1:7">
      <c r="B56" s="125" t="s">
        <v>1145</v>
      </c>
      <c r="C56" s="126">
        <f ca="1">1-C57</f>
        <v>0.86299999999999999</v>
      </c>
    </row>
    <row r="57" spans="1:7">
      <c r="B57" s="125" t="s">
        <v>1146</v>
      </c>
      <c r="C57" s="127">
        <f ca="1">ROUND(C51/C52,3)</f>
        <v>0.13700000000000001</v>
      </c>
    </row>
  </sheetData>
  <sheetProtection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0"/>
  <sheetViews>
    <sheetView topLeftCell="B13" workbookViewId="0">
      <selection activeCell="P17" sqref="P17"/>
    </sheetView>
  </sheetViews>
  <sheetFormatPr defaultColWidth="9" defaultRowHeight="14.4"/>
  <sheetData>
    <row r="1" spans="2:20" ht="28.8">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spans="2:20" ht="19.2">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20">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spans="2:20" ht="19.2">
      <c r="B4" s="5">
        <v>3</v>
      </c>
      <c r="C4" s="6" t="s">
        <v>2748</v>
      </c>
      <c r="D4" s="6" t="s">
        <v>2756</v>
      </c>
      <c r="E4" s="6" t="s">
        <v>2757</v>
      </c>
      <c r="F4" s="6" t="s">
        <v>2036</v>
      </c>
      <c r="G4" s="12">
        <v>20.48</v>
      </c>
      <c r="H4" s="8">
        <v>37923</v>
      </c>
      <c r="I4" s="8">
        <v>54004</v>
      </c>
      <c r="J4" s="6" t="s">
        <v>2750</v>
      </c>
      <c r="K4" s="6" t="s">
        <v>2758</v>
      </c>
      <c r="L4" s="6" t="s">
        <v>2759</v>
      </c>
      <c r="M4" s="6"/>
      <c r="N4" s="6"/>
      <c r="O4" s="6"/>
      <c r="P4" s="6"/>
      <c r="Q4" s="6"/>
    </row>
    <row r="5" spans="2:20" ht="28.8">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spans="2:20" ht="19.2">
      <c r="B6" s="5">
        <v>5</v>
      </c>
      <c r="C6" s="6" t="s">
        <v>2748</v>
      </c>
      <c r="D6" s="6" t="s">
        <v>447</v>
      </c>
      <c r="E6" s="6" t="s">
        <v>2765</v>
      </c>
      <c r="F6" s="6" t="s">
        <v>2082</v>
      </c>
      <c r="G6" s="12">
        <v>10.84</v>
      </c>
      <c r="H6" s="8">
        <v>24252</v>
      </c>
      <c r="I6" s="17">
        <v>44697</v>
      </c>
      <c r="J6" s="6" t="s">
        <v>2762</v>
      </c>
      <c r="K6" s="6" t="s">
        <v>2766</v>
      </c>
      <c r="L6" s="6" t="s">
        <v>2767</v>
      </c>
      <c r="M6" s="6"/>
      <c r="N6" s="6"/>
      <c r="O6" s="6"/>
      <c r="P6" s="6"/>
      <c r="Q6" s="6"/>
    </row>
    <row r="7" spans="2:20" ht="19.2">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spans="2:20" ht="28.8">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5.6777319353495601</v>
      </c>
    </row>
    <row r="9" spans="2:20" ht="28.8">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spans="2:20" ht="19.2">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pans="2:20" s="1" customFormat="1" ht="19.2">
      <c r="B11" s="18">
        <v>10</v>
      </c>
      <c r="C11" s="19" t="s">
        <v>2779</v>
      </c>
      <c r="D11" s="19" t="s">
        <v>447</v>
      </c>
      <c r="E11" s="19" t="s">
        <v>2783</v>
      </c>
      <c r="F11" s="19" t="s">
        <v>1972</v>
      </c>
      <c r="G11" s="20">
        <v>15.05</v>
      </c>
      <c r="H11" s="21">
        <v>17629.080000000002</v>
      </c>
      <c r="I11" s="21">
        <v>85370</v>
      </c>
      <c r="J11" s="19" t="s">
        <v>2762</v>
      </c>
      <c r="K11" s="19" t="s">
        <v>2784</v>
      </c>
      <c r="L11" s="19" t="s">
        <v>2785</v>
      </c>
      <c r="M11" s="19"/>
      <c r="N11" s="19">
        <v>0.46</v>
      </c>
      <c r="O11" s="19">
        <v>32414</v>
      </c>
      <c r="P11" s="19">
        <f>ROUND(G11*100000000/H11,0)</f>
        <v>85370</v>
      </c>
      <c r="Q11" s="19"/>
      <c r="R11" s="29"/>
      <c r="S11" s="29"/>
      <c r="T11" s="29"/>
    </row>
    <row r="12" spans="2:20">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spans="2:20" ht="19.2">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20" ht="19.2">
      <c r="B14" s="5">
        <v>13</v>
      </c>
      <c r="C14" s="6" t="s">
        <v>2789</v>
      </c>
      <c r="D14" s="6" t="s">
        <v>447</v>
      </c>
      <c r="E14" s="6" t="s">
        <v>2793</v>
      </c>
      <c r="F14" s="6" t="s">
        <v>2071</v>
      </c>
      <c r="G14" s="12">
        <v>16.739999999999998</v>
      </c>
      <c r="H14" s="17">
        <v>28829</v>
      </c>
      <c r="I14" s="17">
        <v>58077</v>
      </c>
      <c r="J14" s="6" t="s">
        <v>2762</v>
      </c>
      <c r="K14" s="6" t="s">
        <v>2794</v>
      </c>
      <c r="L14" s="6" t="s">
        <v>2795</v>
      </c>
      <c r="M14" s="6"/>
      <c r="N14" s="6"/>
      <c r="O14" s="6"/>
      <c r="P14" s="6"/>
      <c r="Q14" s="6"/>
    </row>
    <row r="15" spans="2:20" ht="19.2">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spans="2:20" ht="28.8">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pans="2:20" s="1" customFormat="1" ht="19.2">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f>ROUND(G17*100000000/H17,0)</f>
        <v>84180</v>
      </c>
      <c r="Q17" s="19"/>
      <c r="R17" s="29">
        <v>14</v>
      </c>
      <c r="S17" s="29">
        <v>8745.0042857142907</v>
      </c>
      <c r="T17" s="29"/>
    </row>
    <row r="18" spans="2:20" ht="28.8">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spans="2:20" ht="19.2">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0.23937832355682301</v>
      </c>
      <c r="O19" s="15">
        <v>145928</v>
      </c>
      <c r="P19" s="15">
        <v>42389</v>
      </c>
      <c r="Q19" s="15"/>
      <c r="R19" s="31"/>
      <c r="S19" s="31"/>
      <c r="T19" s="31"/>
    </row>
    <row r="20" spans="2:20" ht="28.8">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55829.307959317397</v>
      </c>
      <c r="S20" s="30">
        <v>0.71521739130434803</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spans="2:20" ht="28.8">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spans="2:20" ht="19.2">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spans="2:20" ht="19.2">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pans="2:20" s="1" customFormat="1" ht="19.2">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spans="2:20" ht="19.2">
      <c r="B26" s="5">
        <v>25</v>
      </c>
      <c r="C26" s="6" t="s">
        <v>2837</v>
      </c>
      <c r="D26" s="6" t="s">
        <v>447</v>
      </c>
      <c r="E26" s="6" t="s">
        <v>2838</v>
      </c>
      <c r="F26" s="6" t="s">
        <v>2057</v>
      </c>
      <c r="G26" s="12">
        <v>16.440000000000001</v>
      </c>
      <c r="H26" s="17">
        <v>66158</v>
      </c>
      <c r="I26" s="17">
        <v>24847</v>
      </c>
      <c r="J26" s="6" t="s">
        <v>2762</v>
      </c>
      <c r="K26" s="6" t="s">
        <v>2839</v>
      </c>
      <c r="L26" s="6" t="s">
        <v>2840</v>
      </c>
      <c r="M26" s="6"/>
      <c r="N26" s="6"/>
      <c r="O26" s="6"/>
      <c r="P26" s="6"/>
      <c r="Q26" s="6"/>
      <c r="R26" s="30"/>
      <c r="S26" s="30"/>
      <c r="T26" s="30"/>
    </row>
    <row r="27" spans="2:20" ht="28.8">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spans="2:20" ht="19.2">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spans="2:20" ht="28.8">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spans="2:20" ht="19.2">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10" customWidth="1"/>
    <col min="2" max="3" width="22.33203125" style="710" customWidth="1"/>
    <col min="4" max="4" width="23" style="710" customWidth="1"/>
    <col min="5" max="16384" width="9" style="710"/>
  </cols>
  <sheetData>
    <row r="1" spans="1:4" ht="17.399999999999999">
      <c r="A1" s="3026" t="s">
        <v>114</v>
      </c>
      <c r="B1" s="3026"/>
      <c r="C1" s="3026"/>
      <c r="D1" s="3026"/>
    </row>
    <row r="2" spans="1:4" ht="17.399999999999999">
      <c r="A2" s="3027" t="s">
        <v>115</v>
      </c>
      <c r="B2" s="3027"/>
      <c r="C2" s="3027"/>
      <c r="D2" s="3027"/>
    </row>
    <row r="3" spans="1:4" ht="17.399999999999999">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7.399999999999999">
      <c r="A6" s="3027" t="s">
        <v>121</v>
      </c>
      <c r="B6" s="3027"/>
      <c r="C6" s="3027"/>
      <c r="D6" s="3027"/>
    </row>
    <row r="7" spans="1:4" ht="17.399999999999999">
      <c r="A7" s="2940" t="s">
        <v>116</v>
      </c>
      <c r="B7" s="2942" t="s">
        <v>122</v>
      </c>
      <c r="C7" s="2940" t="s">
        <v>118</v>
      </c>
      <c r="D7" s="2940" t="s">
        <v>119</v>
      </c>
    </row>
    <row r="8" spans="1:4" ht="56.25" customHeight="1">
      <c r="A8" s="2946" t="s">
        <v>123</v>
      </c>
      <c r="B8" s="2946" t="s">
        <v>124</v>
      </c>
      <c r="C8" s="2943"/>
      <c r="D8" s="2944" t="s">
        <v>120</v>
      </c>
    </row>
    <row r="10" spans="1:4" ht="17.399999999999999">
      <c r="A10" s="2939" t="s">
        <v>125</v>
      </c>
    </row>
    <row r="11" spans="1:4" ht="30" customHeight="1">
      <c r="A11" s="3028" t="s">
        <v>126</v>
      </c>
      <c r="B11" s="3029"/>
      <c r="C11" s="3029"/>
      <c r="D11" s="3029"/>
    </row>
    <row r="12" spans="1:4" ht="15.6">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（1）根据估价对象《房屋所有权证》原件、《国有土地使用权》原件，截至价值时点，估价对象抵押权未见登记。</v>
      </c>
      <c r="B15" s="3029"/>
      <c r="C15" s="3029"/>
      <c r="D15" s="3029"/>
    </row>
    <row r="16" spans="1:4" ht="30" customHeight="1">
      <c r="A16" s="3031" t="s">
        <v>127</v>
      </c>
      <c r="B16" s="3031"/>
      <c r="C16" s="3031"/>
      <c r="D16" s="3031"/>
    </row>
    <row r="17" spans="1:4" ht="144" customHeight="1">
      <c r="A17" s="3031" t="s">
        <v>128</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129</v>
      </c>
      <c r="B22" s="3034"/>
      <c r="C22" s="3034"/>
      <c r="D22" s="3034"/>
    </row>
    <row r="23" spans="1:4">
      <c r="A23" s="2947"/>
      <c r="B23" s="973"/>
      <c r="C23" s="973"/>
      <c r="D23" s="973"/>
    </row>
    <row r="24" spans="1:4">
      <c r="A24" s="2947"/>
      <c r="B24" s="973"/>
      <c r="C24" s="973"/>
      <c r="D24" s="973"/>
    </row>
    <row r="25" spans="1:4" ht="17.399999999999999">
      <c r="A25" s="2948" t="s">
        <v>130</v>
      </c>
    </row>
    <row r="26" spans="1:4" ht="17.399999999999999">
      <c r="A26" s="2949"/>
    </row>
    <row r="27" spans="1:4" ht="17.399999999999999">
      <c r="A27" s="2949" t="s">
        <v>131</v>
      </c>
    </row>
    <row r="30" spans="1:4" ht="17.399999999999999">
      <c r="D30" s="2948" t="s">
        <v>132</v>
      </c>
    </row>
    <row r="31" spans="1:4" ht="13.5" customHeight="1">
      <c r="C31" s="3032">
        <v>42551</v>
      </c>
      <c r="D31" s="30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2936" customWidth="1"/>
    <col min="3" max="10" width="12.44140625" style="2936" customWidth="1"/>
    <col min="11" max="16384" width="9" style="2936"/>
  </cols>
  <sheetData>
    <row r="1" spans="1:1" ht="17.399999999999999">
      <c r="A1" s="2937" t="s">
        <v>133</v>
      </c>
    </row>
    <row r="2" spans="1:1" ht="17.399999999999999">
      <c r="A2" s="2938"/>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919" customWidth="1"/>
    <col min="2" max="16384" width="14.44140625" style="1397"/>
  </cols>
  <sheetData>
    <row r="1" spans="1:7" s="2918" customFormat="1" ht="17.399999999999999">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4.4">
      <c r="A15" s="3037" t="s">
        <v>146</v>
      </c>
      <c r="B15" s="3042" t="s">
        <v>147</v>
      </c>
      <c r="C15" s="3036"/>
    </row>
    <row r="16" spans="1:7" ht="14.4">
      <c r="A16" s="3038"/>
      <c r="B16" s="3042" t="s">
        <v>148</v>
      </c>
      <c r="C16" s="3036"/>
    </row>
    <row r="17" spans="1:3" ht="14.4">
      <c r="A17" s="3038"/>
      <c r="B17" s="3041" t="s">
        <v>149</v>
      </c>
      <c r="C17" s="2929" t="s">
        <v>146</v>
      </c>
    </row>
    <row r="18" spans="1:3" ht="14.4">
      <c r="A18" s="3038"/>
      <c r="B18" s="3041"/>
      <c r="C18" s="2929" t="s">
        <v>150</v>
      </c>
    </row>
    <row r="19" spans="1:3" ht="14.4">
      <c r="A19" s="3038"/>
      <c r="B19" s="3041"/>
      <c r="C19" s="2929" t="s">
        <v>151</v>
      </c>
    </row>
    <row r="20" spans="1:3" ht="14.4">
      <c r="A20" s="3039"/>
      <c r="B20" s="3035" t="s">
        <v>152</v>
      </c>
      <c r="C20" s="3036"/>
    </row>
    <row r="21" spans="1:3" ht="14.4">
      <c r="A21" s="2930" t="s">
        <v>153</v>
      </c>
      <c r="B21" s="2931"/>
      <c r="C21" s="2932"/>
    </row>
    <row r="22" spans="1:3" ht="14.4">
      <c r="A22" s="3040" t="s">
        <v>154</v>
      </c>
      <c r="B22" s="3035" t="s">
        <v>155</v>
      </c>
      <c r="C22" s="3036"/>
    </row>
    <row r="23" spans="1:3" ht="14.4">
      <c r="A23" s="3040"/>
      <c r="B23" s="3035" t="s">
        <v>156</v>
      </c>
      <c r="C23" s="3036"/>
    </row>
    <row r="24" spans="1:3" ht="14.4">
      <c r="A24" s="3040"/>
      <c r="B24" s="3035" t="s">
        <v>157</v>
      </c>
      <c r="C24" s="3036"/>
    </row>
    <row r="25" spans="1:3" ht="14.4">
      <c r="A25" s="3040"/>
      <c r="B25" s="3041" t="s">
        <v>158</v>
      </c>
      <c r="C25" s="2929" t="s">
        <v>159</v>
      </c>
    </row>
    <row r="26" spans="1:3" ht="14.4">
      <c r="A26" s="3040"/>
      <c r="B26" s="3041"/>
      <c r="C26" s="2929" t="s">
        <v>160</v>
      </c>
    </row>
    <row r="27" spans="1:3" ht="14.4">
      <c r="A27" s="3040"/>
      <c r="B27" s="3041"/>
      <c r="C27" s="2929" t="s">
        <v>161</v>
      </c>
    </row>
    <row r="28" spans="1:3" ht="14.4">
      <c r="A28" s="3040"/>
      <c r="B28" s="3041"/>
      <c r="C28" s="2929" t="s">
        <v>162</v>
      </c>
    </row>
    <row r="29" spans="1:3" ht="14.4">
      <c r="A29" s="3040"/>
      <c r="B29" s="3041"/>
      <c r="C29" s="2929" t="s">
        <v>163</v>
      </c>
    </row>
    <row r="30" spans="1:3" ht="14.4">
      <c r="A30" s="3040"/>
      <c r="B30" s="3041"/>
      <c r="C30" s="2929" t="s">
        <v>164</v>
      </c>
    </row>
    <row r="31" spans="1:3" ht="14.4">
      <c r="A31" s="3040"/>
      <c r="B31" s="3041"/>
      <c r="C31" s="2929" t="s">
        <v>165</v>
      </c>
    </row>
    <row r="32" spans="1:3" ht="14.4">
      <c r="A32" s="3040"/>
      <c r="B32" s="3041"/>
      <c r="C32" s="2929" t="s">
        <v>166</v>
      </c>
    </row>
    <row r="33" spans="1:3" ht="14.4">
      <c r="A33" s="3040"/>
      <c r="B33" s="3041"/>
      <c r="C33" s="2929" t="s">
        <v>167</v>
      </c>
    </row>
    <row r="34" spans="1:3">
      <c r="A34" s="2933" t="s">
        <v>168</v>
      </c>
    </row>
    <row r="37" spans="1:3">
      <c r="A37" s="2933" t="s">
        <v>169</v>
      </c>
    </row>
    <row r="38" spans="1:3" ht="14.4">
      <c r="A38" s="2934" t="s">
        <v>170</v>
      </c>
    </row>
    <row r="39" spans="1:3" ht="14.4">
      <c r="A39" s="2934" t="s">
        <v>171</v>
      </c>
    </row>
    <row r="40" spans="1:3" ht="14.4">
      <c r="A40" s="2934" t="s">
        <v>172</v>
      </c>
    </row>
    <row r="41" spans="1:3" ht="14.4">
      <c r="A41" s="2935" t="s">
        <v>173</v>
      </c>
    </row>
    <row r="42" spans="1:3" ht="14.4">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890" customWidth="1"/>
    <col min="2" max="2" width="38.6640625" style="2890" customWidth="1"/>
    <col min="3" max="3" width="26" style="2890" customWidth="1"/>
    <col min="4" max="4" width="35" style="2890" hidden="1" customWidth="1"/>
    <col min="5" max="5" width="30.109375" style="2890" customWidth="1"/>
    <col min="6" max="6" width="35.44140625" style="2890" customWidth="1"/>
    <col min="7" max="7" width="31" style="2890" customWidth="1"/>
    <col min="8" max="8" width="37.44140625" style="2890" hidden="1" customWidth="1"/>
    <col min="9" max="16384" width="22.6640625" style="2890"/>
  </cols>
  <sheetData>
    <row r="1" spans="1:8" ht="24" customHeight="1">
      <c r="A1" s="2891"/>
      <c r="B1" s="2891"/>
      <c r="C1" s="2891"/>
      <c r="D1" s="2891"/>
      <c r="E1" s="2891"/>
      <c r="F1" s="2891"/>
      <c r="G1" s="2891"/>
      <c r="H1" s="2891"/>
    </row>
    <row r="2" spans="1:8" ht="24" customHeight="1">
      <c r="A2" s="2892" t="s">
        <v>175</v>
      </c>
      <c r="B2" s="2893">
        <f ca="1">TODAY()</f>
        <v>44909</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f ca="1">IF(C14&lt;B2,"已过期",1119980106)</f>
        <v>1119980106</v>
      </c>
      <c r="C14" s="2904">
        <v>44969</v>
      </c>
      <c r="D14" s="2900" t="str">
        <f t="shared" ca="1" si="0"/>
        <v>刘俊财（注册号：1119980106）</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43" t="s">
        <v>196</v>
      </c>
      <c r="B17" s="3043"/>
      <c r="C17" s="3043"/>
      <c r="D17" s="3043"/>
      <c r="E17" s="3043"/>
      <c r="F17" s="3043"/>
      <c r="G17" s="3043"/>
      <c r="H17" s="3043"/>
    </row>
    <row r="18" spans="1:8" ht="24" customHeight="1">
      <c r="A18" s="3044" t="s">
        <v>197</v>
      </c>
      <c r="B18" s="3044"/>
      <c r="C18" s="3044"/>
      <c r="D18" s="2897"/>
      <c r="E18" s="3045" t="s">
        <v>198</v>
      </c>
      <c r="F18" s="3044"/>
      <c r="G18" s="3044"/>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25"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2022-12-14T08:35:41Z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