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法院\2025-1-0799北京市东城区上龙西里40号楼1单元305号\"/>
    </mc:Choice>
  </mc:AlternateContent>
  <bookViews>
    <workbookView xWindow="0" yWindow="0" windowWidth="18444" windowHeight="1356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Sheet1" sheetId="93"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G59" i="21" l="1"/>
  <c r="F59" i="21"/>
  <c r="I37" i="21"/>
  <c r="C37" i="21"/>
  <c r="I33" i="21"/>
  <c r="G33" i="21"/>
  <c r="E33" i="21"/>
  <c r="I6" i="21"/>
  <c r="G6" i="21"/>
  <c r="E6" i="21"/>
  <c r="I47" i="21"/>
  <c r="G47" i="21"/>
  <c r="E47" i="21"/>
  <c r="I5" i="21"/>
  <c r="G5" i="21"/>
  <c r="E5" i="21"/>
  <c r="I7" i="21"/>
  <c r="G7" i="21"/>
  <c r="E7" i="21"/>
  <c r="C6" i="69" l="1"/>
  <c r="N20" i="1" l="1"/>
  <c r="E90" i="21" l="1"/>
  <c r="G44" i="21"/>
  <c r="E44" i="21"/>
  <c r="H59" i="21"/>
  <c r="I44" i="21" l="1"/>
  <c r="F19" i="6" l="1"/>
  <c r="N59" i="21" l="1"/>
  <c r="M59" i="21"/>
  <c r="J59" i="21"/>
  <c r="D90" i="21" l="1"/>
  <c r="D5" i="9" l="1"/>
  <c r="I12" i="21" l="1"/>
  <c r="G12" i="21"/>
  <c r="K59" i="21" l="1"/>
  <c r="F90" i="21"/>
  <c r="C90" i="21"/>
  <c r="C126" i="21" l="1"/>
  <c r="B14" i="74" l="1"/>
  <c r="C33" i="2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c r="Q38" i="71"/>
  <c r="AB38" i="71" s="1"/>
  <c r="P38" i="71"/>
  <c r="O38" i="71"/>
  <c r="N38" i="71"/>
  <c r="X38" i="71" s="1"/>
  <c r="Q37" i="71"/>
  <c r="P37" i="71"/>
  <c r="E38" i="71" s="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C38" i="71"/>
  <c r="C28" i="71"/>
  <c r="T28" i="71" s="1"/>
  <c r="P28" i="71"/>
  <c r="E28" i="71" s="1"/>
  <c r="Q28" i="71"/>
  <c r="C59" i="71"/>
  <c r="D59" i="71" s="1"/>
  <c r="E71" i="71"/>
  <c r="E70" i="71" s="1"/>
  <c r="E75" i="71"/>
  <c r="E74" i="71" s="1"/>
  <c r="E79" i="71"/>
  <c r="E78" i="71" s="1"/>
  <c r="D80" i="71"/>
  <c r="C83" i="71"/>
  <c r="C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H25" i="40"/>
  <c r="AB25" i="40" s="1"/>
  <c r="J25" i="40"/>
  <c r="W25" i="40" s="1"/>
  <c r="H29" i="39"/>
  <c r="AB29" i="39" s="1"/>
  <c r="J29" i="39"/>
  <c r="AC29" i="39" s="1"/>
  <c r="J18" i="36"/>
  <c r="AC18" i="36" s="1"/>
  <c r="H18" i="35"/>
  <c r="AB18" i="35" s="1"/>
  <c r="J18" i="35"/>
  <c r="AC18" i="35" s="1"/>
  <c r="H21" i="37"/>
  <c r="F21" i="37"/>
  <c r="AA21" i="37" s="1"/>
  <c r="H21" i="34"/>
  <c r="H21" i="33"/>
  <c r="F21" i="33"/>
  <c r="S21" i="33" s="1"/>
  <c r="H1" i="69"/>
  <c r="AC25" i="40"/>
  <c r="S21" i="37"/>
  <c r="J21" i="37"/>
  <c r="J21" i="34"/>
  <c r="W21" i="34" s="1"/>
  <c r="J21" i="33"/>
  <c r="W21" i="33" s="1"/>
  <c r="H21" i="21"/>
  <c r="U21" i="21" s="1"/>
  <c r="F38" i="69"/>
  <c r="E37" i="69"/>
  <c r="F36" i="69"/>
  <c r="F35" i="69"/>
  <c r="F21" i="69"/>
  <c r="F20" i="69"/>
  <c r="F39" i="69" s="1"/>
  <c r="E10" i="69"/>
  <c r="E9"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A498" i="3" s="1"/>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s="1"/>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A526" i="3" s="1"/>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G554" i="3" s="1"/>
  <c r="BB554" i="3"/>
  <c r="BC554" i="3"/>
  <c r="BD554" i="3"/>
  <c r="BE554" i="3"/>
  <c r="BA554" i="3" s="1"/>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L556" i="3" s="1"/>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L560" i="3" s="1"/>
  <c r="BO560" i="3"/>
  <c r="BP560" i="3"/>
  <c r="BQ560" i="3"/>
  <c r="BR560" i="3"/>
  <c r="BS560" i="3"/>
  <c r="BT560" i="3"/>
  <c r="H561" i="3"/>
  <c r="AC561" i="3"/>
  <c r="BB561" i="3"/>
  <c r="BC561" i="3"/>
  <c r="BD561" i="3"/>
  <c r="BE561" i="3"/>
  <c r="BA561" i="3" s="1"/>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A564" i="3" s="1"/>
  <c r="AZ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F37" i="33"/>
  <c r="D111" i="33"/>
  <c r="E111" i="33" s="1"/>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E71" i="37" s="1"/>
  <c r="F71" i="37" s="1"/>
  <c r="G71" i="37" s="1"/>
  <c r="H15" i="37"/>
  <c r="AB15" i="37" s="1"/>
  <c r="B68" i="37"/>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c r="F62" i="36" s="1"/>
  <c r="G62" i="36" s="1"/>
  <c r="B59" i="36"/>
  <c r="H13" i="36" s="1"/>
  <c r="AB13" i="36" s="1"/>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J45" i="34" s="1"/>
  <c r="B99" i="34"/>
  <c r="H32" i="34" s="1"/>
  <c r="B97" i="34"/>
  <c r="B95" i="34"/>
  <c r="B93" i="34"/>
  <c r="B75" i="34"/>
  <c r="J14" i="34" s="1"/>
  <c r="W14" i="34" s="1"/>
  <c r="B73" i="34"/>
  <c r="B71" i="34"/>
  <c r="B130" i="33"/>
  <c r="H46" i="33" s="1"/>
  <c r="B128" i="33"/>
  <c r="J45" i="33" s="1"/>
  <c r="W45" i="33" s="1"/>
  <c r="B126" i="33"/>
  <c r="B98" i="33"/>
  <c r="B96" i="33"/>
  <c r="J30" i="33" s="1"/>
  <c r="B94" i="33"/>
  <c r="F29" i="33" s="1"/>
  <c r="S29" i="33" s="1"/>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F31" i="21" s="1"/>
  <c r="B96" i="21"/>
  <c r="H30" i="21" s="1"/>
  <c r="U30" i="21" s="1"/>
  <c r="B94" i="21"/>
  <c r="J29" i="21" s="1"/>
  <c r="AC29" i="21" s="1"/>
  <c r="B92" i="21"/>
  <c r="J28" i="21" s="1"/>
  <c r="B90" i="21"/>
  <c r="J27" i="21" s="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Q43" i="21"/>
  <c r="Z43" i="21" s="1"/>
  <c r="Q44" i="21"/>
  <c r="Z44" i="21" s="1"/>
  <c r="Q45" i="21"/>
  <c r="Z45" i="2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R5" i="3" s="1"/>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H34" i="21"/>
  <c r="U34" i="21" s="1"/>
  <c r="H38" i="21"/>
  <c r="AB38" i="21" s="1"/>
  <c r="H43" i="21"/>
  <c r="AB43" i="21" s="1"/>
  <c r="F38" i="21"/>
  <c r="S38" i="21" s="1"/>
  <c r="F39" i="21"/>
  <c r="AA39" i="21" s="1"/>
  <c r="J40" i="21"/>
  <c r="W40" i="21" s="1"/>
  <c r="H35" i="21"/>
  <c r="AB35" i="21" s="1"/>
  <c r="J8" i="21"/>
  <c r="AC8" i="21" s="1"/>
  <c r="H8" i="21"/>
  <c r="U8" i="21" s="1"/>
  <c r="H10" i="21"/>
  <c r="AB10" i="21" s="1"/>
  <c r="H39" i="21"/>
  <c r="U39" i="21" s="1"/>
  <c r="F35" i="21"/>
  <c r="AA35" i="21" s="1"/>
  <c r="J10" i="21"/>
  <c r="AC10" i="21" s="1"/>
  <c r="AB19" i="21"/>
  <c r="J19" i="21"/>
  <c r="W19" i="21" s="1"/>
  <c r="AB41" i="21"/>
  <c r="F45" i="39"/>
  <c r="S45" i="39" s="1"/>
  <c r="J45" i="39"/>
  <c r="W45" i="39" s="1"/>
  <c r="W31" i="37"/>
  <c r="F103" i="37"/>
  <c r="G103" i="37" s="1"/>
  <c r="H103" i="37" s="1"/>
  <c r="I103" i="37" s="1"/>
  <c r="J103" i="37" s="1"/>
  <c r="K103" i="37" s="1"/>
  <c r="L103" i="37" s="1"/>
  <c r="M103" i="37" s="1"/>
  <c r="F39" i="37"/>
  <c r="S39" i="37" s="1"/>
  <c r="F29" i="36"/>
  <c r="AA29" i="36" s="1"/>
  <c r="F16" i="36"/>
  <c r="W28" i="36"/>
  <c r="U31" i="36"/>
  <c r="H22" i="35"/>
  <c r="AB22" i="35"/>
  <c r="AC27" i="35"/>
  <c r="W22" i="35"/>
  <c r="S31" i="35"/>
  <c r="F36" i="34"/>
  <c r="J35" i="34"/>
  <c r="H39" i="33"/>
  <c r="AB39" i="33"/>
  <c r="F26" i="33"/>
  <c r="S40" i="33"/>
  <c r="W33" i="33"/>
  <c r="H39" i="37"/>
  <c r="S27" i="35"/>
  <c r="F11" i="40"/>
  <c r="AA11" i="40"/>
  <c r="H11" i="40"/>
  <c r="AB11" i="40" s="1"/>
  <c r="AA9" i="40"/>
  <c r="U9" i="40"/>
  <c r="U34" i="40"/>
  <c r="F42" i="39"/>
  <c r="AA42" i="39" s="1"/>
  <c r="F41" i="39"/>
  <c r="S41" i="39" s="1"/>
  <c r="H40" i="39"/>
  <c r="AB40" i="39" s="1"/>
  <c r="H39" i="39"/>
  <c r="U39" i="39" s="1"/>
  <c r="S38" i="39"/>
  <c r="H34"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C25" i="39"/>
  <c r="H11" i="39"/>
  <c r="H32" i="33"/>
  <c r="H11" i="21"/>
  <c r="U11" i="21" s="1"/>
  <c r="J11" i="21"/>
  <c r="W11" i="21" s="1"/>
  <c r="H37" i="40"/>
  <c r="U37" i="40" s="1"/>
  <c r="H36" i="40"/>
  <c r="AB36" i="40" s="1"/>
  <c r="F35" i="40"/>
  <c r="AA35" i="40" s="1"/>
  <c r="H23" i="40"/>
  <c r="AB23" i="40" s="1"/>
  <c r="H17" i="40"/>
  <c r="U17" i="40" s="1"/>
  <c r="J15" i="40"/>
  <c r="W15" i="40" s="1"/>
  <c r="J11" i="40"/>
  <c r="AB8" i="39"/>
  <c r="J34" i="36"/>
  <c r="W34" i="36" s="1"/>
  <c r="U30" i="36"/>
  <c r="J30" i="35"/>
  <c r="W30" i="35" s="1"/>
  <c r="H30" i="35"/>
  <c r="AB30" i="35" s="1"/>
  <c r="F22" i="35"/>
  <c r="H10" i="35"/>
  <c r="U10" i="35" s="1"/>
  <c r="W30" i="36"/>
  <c r="H16" i="36"/>
  <c r="AB16" i="36" s="1"/>
  <c r="J29" i="36"/>
  <c r="AC29" i="36" s="1"/>
  <c r="F12" i="36"/>
  <c r="S12" i="36" s="1"/>
  <c r="F24" i="36"/>
  <c r="AA24" i="36" s="1"/>
  <c r="F34" i="36"/>
  <c r="S34" i="36" s="1"/>
  <c r="F14" i="35"/>
  <c r="J32" i="35"/>
  <c r="AC32" i="35" s="1"/>
  <c r="J16" i="35"/>
  <c r="AC16" i="35" s="1"/>
  <c r="H16" i="35"/>
  <c r="U16" i="35" s="1"/>
  <c r="F16" i="35"/>
  <c r="S16" i="35" s="1"/>
  <c r="H14" i="35"/>
  <c r="AB14" i="35" s="1"/>
  <c r="J29" i="35"/>
  <c r="H33" i="35"/>
  <c r="J20" i="35"/>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F19" i="34"/>
  <c r="H17" i="34"/>
  <c r="F15" i="34"/>
  <c r="AA15" i="34" s="1"/>
  <c r="J15" i="34"/>
  <c r="H15" i="34"/>
  <c r="AB15" i="34" s="1"/>
  <c r="F41" i="33"/>
  <c r="S41" i="33" s="1"/>
  <c r="F32" i="33"/>
  <c r="AA32" i="33" s="1"/>
  <c r="J19" i="33"/>
  <c r="AC19" i="33" s="1"/>
  <c r="J15" i="33"/>
  <c r="AC15" i="33" s="1"/>
  <c r="F11" i="33"/>
  <c r="AA11" i="33" s="1"/>
  <c r="W40" i="33"/>
  <c r="F37" i="40"/>
  <c r="AA37" i="40" s="1"/>
  <c r="F36" i="40"/>
  <c r="AA36" i="40" s="1"/>
  <c r="H28" i="40"/>
  <c r="U28" i="40" s="1"/>
  <c r="F23" i="40"/>
  <c r="F17" i="40"/>
  <c r="AA17" i="40" s="1"/>
  <c r="J17" i="40"/>
  <c r="W17" i="40"/>
  <c r="F15" i="40"/>
  <c r="S15" i="40" s="1"/>
  <c r="H15" i="40"/>
  <c r="AB15" i="40" s="1"/>
  <c r="AB30" i="36"/>
  <c r="F29" i="35"/>
  <c r="H29" i="35"/>
  <c r="AB29" i="35" s="1"/>
  <c r="H33" i="37"/>
  <c r="F33" i="37"/>
  <c r="AA33" i="37" s="1"/>
  <c r="U34" i="37"/>
  <c r="J43" i="34"/>
  <c r="AB42" i="34"/>
  <c r="J40" i="34"/>
  <c r="H38" i="34"/>
  <c r="AB38" i="34" s="1"/>
  <c r="J36" i="34"/>
  <c r="AC36" i="34" s="1"/>
  <c r="H37" i="34"/>
  <c r="U37" i="34" s="1"/>
  <c r="H25" i="34"/>
  <c r="AB25" i="34" s="1"/>
  <c r="J25" i="34"/>
  <c r="AC25" i="34" s="1"/>
  <c r="AB23" i="34"/>
  <c r="F23" i="34"/>
  <c r="AA23" i="34" s="1"/>
  <c r="J19" i="34"/>
  <c r="AC19" i="34" s="1"/>
  <c r="F17" i="34"/>
  <c r="J17" i="34"/>
  <c r="W17" i="34" s="1"/>
  <c r="G113" i="33"/>
  <c r="H113" i="33" s="1"/>
  <c r="I113" i="33" s="1"/>
  <c r="J113" i="33" s="1"/>
  <c r="K113" i="33" s="1"/>
  <c r="L113" i="33" s="1"/>
  <c r="M113" i="33" s="1"/>
  <c r="H37" i="33"/>
  <c r="AB37" i="33" s="1"/>
  <c r="H15" i="33"/>
  <c r="AB15" i="33" s="1"/>
  <c r="H11" i="33"/>
  <c r="AB11" i="33" s="1"/>
  <c r="F28" i="40"/>
  <c r="AA28" i="40" s="1"/>
  <c r="AC38" i="34"/>
  <c r="AA38" i="34"/>
  <c r="J37" i="34"/>
  <c r="AC37" i="34" s="1"/>
  <c r="J11" i="33"/>
  <c r="W11" i="33" s="1"/>
  <c r="J44" i="34"/>
  <c r="F44" i="34"/>
  <c r="J10" i="35"/>
  <c r="AC10" i="35" s="1"/>
  <c r="J14" i="21"/>
  <c r="W14" i="21"/>
  <c r="F14" i="21"/>
  <c r="S14" i="21" s="1"/>
  <c r="H14" i="21"/>
  <c r="U14" i="21" s="1"/>
  <c r="H28" i="21"/>
  <c r="AB28" i="21" s="1"/>
  <c r="F28" i="21"/>
  <c r="AA28" i="21" s="1"/>
  <c r="J30" i="21"/>
  <c r="AC30" i="21" s="1"/>
  <c r="J44" i="21"/>
  <c r="AC44" i="21" s="1"/>
  <c r="H44" i="21"/>
  <c r="U44" i="21" s="1"/>
  <c r="F44" i="21"/>
  <c r="AA44" i="21" s="1"/>
  <c r="H26" i="33"/>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S31" i="21"/>
  <c r="J13" i="33"/>
  <c r="H13" i="33"/>
  <c r="U13" i="33" s="1"/>
  <c r="F13" i="33"/>
  <c r="S13" i="33" s="1"/>
  <c r="H29" i="33"/>
  <c r="J31" i="33"/>
  <c r="W31" i="33" s="1"/>
  <c r="H31" i="33"/>
  <c r="F31" i="33"/>
  <c r="F14" i="34"/>
  <c r="H30" i="34"/>
  <c r="F30" i="34"/>
  <c r="S30" i="34" s="1"/>
  <c r="J30" i="34"/>
  <c r="H46" i="34"/>
  <c r="U46" i="34" s="1"/>
  <c r="F46" i="34"/>
  <c r="J46" i="34"/>
  <c r="H11" i="35"/>
  <c r="AB11" i="35" s="1"/>
  <c r="J11" i="35"/>
  <c r="W11" i="35" s="1"/>
  <c r="AC11" i="35"/>
  <c r="F11" i="35"/>
  <c r="S11" i="35" s="1"/>
  <c r="J26" i="36"/>
  <c r="W26" i="36" s="1"/>
  <c r="H28" i="36"/>
  <c r="U28" i="36" s="1"/>
  <c r="H32" i="36"/>
  <c r="AB32" i="36" s="1"/>
  <c r="J32" i="36"/>
  <c r="W32" i="36" s="1"/>
  <c r="H11" i="36"/>
  <c r="U11" i="36" s="1"/>
  <c r="J13" i="36"/>
  <c r="F13" i="36"/>
  <c r="S13" i="36" s="1"/>
  <c r="E89" i="37"/>
  <c r="F89" i="37" s="1"/>
  <c r="G89" i="37" s="1"/>
  <c r="H89" i="37" s="1"/>
  <c r="I89" i="37" s="1"/>
  <c r="J89" i="37" s="1"/>
  <c r="K89" i="37" s="1"/>
  <c r="L89" i="37" s="1"/>
  <c r="M89" i="37" s="1"/>
  <c r="J29" i="37"/>
  <c r="F29" i="37"/>
  <c r="S29" i="37" s="1"/>
  <c r="F105" i="37"/>
  <c r="G105" i="37" s="1"/>
  <c r="H36" i="37"/>
  <c r="AB36" i="37" s="1"/>
  <c r="J37" i="37"/>
  <c r="AC37" i="37" s="1"/>
  <c r="H37" i="37"/>
  <c r="U37" i="37" s="1"/>
  <c r="H40" i="37"/>
  <c r="U40" i="37" s="1"/>
  <c r="H14" i="33"/>
  <c r="U14" i="33" s="1"/>
  <c r="F14" i="33"/>
  <c r="AA14" i="33" s="1"/>
  <c r="J14" i="33"/>
  <c r="H30" i="33"/>
  <c r="AB30" i="33"/>
  <c r="F30" i="33"/>
  <c r="S30" i="33" s="1"/>
  <c r="H44" i="33"/>
  <c r="J44" i="33"/>
  <c r="W44" i="33" s="1"/>
  <c r="AC44" i="33"/>
  <c r="F44" i="33"/>
  <c r="J46" i="33"/>
  <c r="AC46" i="33" s="1"/>
  <c r="F46" i="33"/>
  <c r="AA46" i="33" s="1"/>
  <c r="AB46" i="33"/>
  <c r="H13" i="34"/>
  <c r="U13" i="34" s="1"/>
  <c r="J13" i="34"/>
  <c r="W13" i="34" s="1"/>
  <c r="F13" i="34"/>
  <c r="AA13" i="34" s="1"/>
  <c r="J29" i="34"/>
  <c r="F29" i="34"/>
  <c r="H29" i="34"/>
  <c r="AB29" i="34" s="1"/>
  <c r="J31" i="34"/>
  <c r="AC31" i="34" s="1"/>
  <c r="H31" i="34"/>
  <c r="F31" i="34"/>
  <c r="S31" i="34" s="1"/>
  <c r="H45" i="34"/>
  <c r="U45" i="34" s="1"/>
  <c r="W45" i="34"/>
  <c r="F45" i="34"/>
  <c r="S45" i="34" s="1"/>
  <c r="H47" i="34"/>
  <c r="U47" i="34" s="1"/>
  <c r="F47" i="34"/>
  <c r="S47" i="34" s="1"/>
  <c r="J47" i="34"/>
  <c r="AC47" i="34" s="1"/>
  <c r="J13" i="35"/>
  <c r="AC13" i="35" s="1"/>
  <c r="H13" i="35"/>
  <c r="J25" i="35"/>
  <c r="W25" i="35" s="1"/>
  <c r="F25" i="35"/>
  <c r="S25" i="35" s="1"/>
  <c r="H25" i="35"/>
  <c r="AB25" i="35" s="1"/>
  <c r="F35" i="35"/>
  <c r="AA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H14" i="39"/>
  <c r="AB14" i="39" s="1"/>
  <c r="H12" i="40"/>
  <c r="AB12" i="40" s="1"/>
  <c r="H30" i="40"/>
  <c r="AB30" i="40" s="1"/>
  <c r="F33" i="40"/>
  <c r="AA33" i="40" s="1"/>
  <c r="H33" i="40"/>
  <c r="AB33" i="40" s="1"/>
  <c r="J35" i="40"/>
  <c r="AC35" i="40" s="1"/>
  <c r="J37" i="40"/>
  <c r="AC37" i="40"/>
  <c r="F13" i="40"/>
  <c r="AA13" i="40" s="1"/>
  <c r="F14" i="37"/>
  <c r="F13" i="39"/>
  <c r="J13" i="39"/>
  <c r="W13" i="39" s="1"/>
  <c r="H13" i="39"/>
  <c r="H14" i="40"/>
  <c r="AB14" i="40" s="1"/>
  <c r="J14" i="40"/>
  <c r="W14" i="40" s="1"/>
  <c r="F14" i="40"/>
  <c r="J27" i="37"/>
  <c r="AC27" i="37" s="1"/>
  <c r="U46" i="33"/>
  <c r="J36" i="37"/>
  <c r="AC36" i="37" s="1"/>
  <c r="J10" i="36"/>
  <c r="AC10" i="36" s="1"/>
  <c r="AB46" i="34"/>
  <c r="BA585" i="3"/>
  <c r="H17" i="21"/>
  <c r="AB17" i="21" s="1"/>
  <c r="F15" i="21"/>
  <c r="S15" i="21" s="1"/>
  <c r="J41" i="39"/>
  <c r="W41" i="39" s="1"/>
  <c r="G540" i="3"/>
  <c r="G536" i="3"/>
  <c r="G535" i="3"/>
  <c r="G531" i="3"/>
  <c r="G527" i="3"/>
  <c r="G518" i="3"/>
  <c r="G508" i="3"/>
  <c r="G504" i="3"/>
  <c r="G500" i="3"/>
  <c r="G580" i="3"/>
  <c r="G564" i="3"/>
  <c r="G560" i="3"/>
  <c r="BL584" i="3"/>
  <c r="BL564" i="3"/>
  <c r="BL534" i="3"/>
  <c r="BL516" i="3"/>
  <c r="BL494" i="3"/>
  <c r="BL578" i="3"/>
  <c r="BL562" i="3"/>
  <c r="G533" i="3"/>
  <c r="G529" i="3"/>
  <c r="BL500" i="3"/>
  <c r="BL496" i="3"/>
  <c r="G493" i="3"/>
  <c r="BA570" i="3"/>
  <c r="BA566" i="3"/>
  <c r="BA560" i="3"/>
  <c r="BA558" i="3"/>
  <c r="BA544" i="3"/>
  <c r="BA540" i="3"/>
  <c r="BA524" i="3"/>
  <c r="BA516" i="3"/>
  <c r="BA508" i="3"/>
  <c r="BA506" i="3"/>
  <c r="BA500" i="3"/>
  <c r="AZ500" i="3" s="1"/>
  <c r="BA573" i="3"/>
  <c r="BA565" i="3"/>
  <c r="BA559" i="3"/>
  <c r="BA555" i="3"/>
  <c r="BA531" i="3"/>
  <c r="BA529" i="3"/>
  <c r="BA517" i="3"/>
  <c r="BA507" i="3"/>
  <c r="BA503" i="3"/>
  <c r="BA493" i="3"/>
  <c r="G579" i="3"/>
  <c r="G577" i="3"/>
  <c r="G571" i="3"/>
  <c r="G569" i="3"/>
  <c r="G567" i="3"/>
  <c r="G565" i="3"/>
  <c r="G563" i="3"/>
  <c r="G561" i="3"/>
  <c r="BL558" i="3"/>
  <c r="AC557" i="3"/>
  <c r="G557" i="3" s="1"/>
  <c r="BQ557" i="3"/>
  <c r="BL557" i="3" s="1"/>
  <c r="BQ583" i="3"/>
  <c r="BQ581" i="3"/>
  <c r="BQ579" i="3"/>
  <c r="BQ577" i="3"/>
  <c r="BQ575" i="3"/>
  <c r="BL575" i="3" s="1"/>
  <c r="BQ573" i="3"/>
  <c r="BQ571" i="3"/>
  <c r="BQ569" i="3"/>
  <c r="BL569" i="3" s="1"/>
  <c r="BQ567" i="3"/>
  <c r="BQ565" i="3"/>
  <c r="BQ563" i="3"/>
  <c r="BL563" i="3" s="1"/>
  <c r="AZ563" i="3" s="1"/>
  <c r="BQ561" i="3"/>
  <c r="BQ559" i="3"/>
  <c r="G559" i="3"/>
  <c r="G555" i="3"/>
  <c r="G543" i="3"/>
  <c r="G537" i="3"/>
  <c r="BQ555" i="3"/>
  <c r="BQ553" i="3"/>
  <c r="BQ551" i="3"/>
  <c r="BQ549" i="3"/>
  <c r="BQ547" i="3"/>
  <c r="BQ545" i="3"/>
  <c r="BQ543" i="3"/>
  <c r="BQ541" i="3"/>
  <c r="BQ539" i="3"/>
  <c r="BQ537" i="3"/>
  <c r="BQ535" i="3"/>
  <c r="BQ533" i="3"/>
  <c r="BQ531" i="3"/>
  <c r="BQ529" i="3"/>
  <c r="BQ527" i="3"/>
  <c r="BQ525" i="3"/>
  <c r="BL525" i="3" s="1"/>
  <c r="BQ523" i="3"/>
  <c r="AC521" i="3"/>
  <c r="G521" i="3" s="1"/>
  <c r="BQ521" i="3"/>
  <c r="BL520" i="3"/>
  <c r="G519" i="3"/>
  <c r="G515" i="3"/>
  <c r="G513" i="3"/>
  <c r="BQ519" i="3"/>
  <c r="BQ517" i="3"/>
  <c r="BQ515" i="3"/>
  <c r="BQ513" i="3"/>
  <c r="BL513" i="3" s="1"/>
  <c r="BQ511" i="3"/>
  <c r="BL511" i="3" s="1"/>
  <c r="AC509" i="3"/>
  <c r="BQ509" i="3"/>
  <c r="BL509" i="3" s="1"/>
  <c r="G507" i="3"/>
  <c r="G505" i="3"/>
  <c r="G503" i="3"/>
  <c r="G501" i="3"/>
  <c r="G499" i="3"/>
  <c r="G497" i="3"/>
  <c r="G495" i="3"/>
  <c r="BQ507" i="3"/>
  <c r="BQ505" i="3"/>
  <c r="BL505" i="3" s="1"/>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F37" i="37"/>
  <c r="AA37" i="37" s="1"/>
  <c r="F32" i="40"/>
  <c r="S32" i="40" s="1"/>
  <c r="H32" i="40"/>
  <c r="AB32" i="40" s="1"/>
  <c r="J36" i="40"/>
  <c r="W36" i="40" s="1"/>
  <c r="H19" i="37"/>
  <c r="AB19" i="37" s="1"/>
  <c r="H42" i="33"/>
  <c r="AB42" i="33" s="1"/>
  <c r="J43" i="33"/>
  <c r="AC43" i="33" s="1"/>
  <c r="S28" i="31"/>
  <c r="S27" i="31"/>
  <c r="S26" i="31"/>
  <c r="U14" i="40"/>
  <c r="W47" i="34"/>
  <c r="AC31" i="33"/>
  <c r="U19" i="21"/>
  <c r="F43" i="33"/>
  <c r="AA43" i="33" s="1"/>
  <c r="W15" i="34"/>
  <c r="AC15" i="34"/>
  <c r="W16" i="35"/>
  <c r="G107" i="37"/>
  <c r="H107" i="37" s="1"/>
  <c r="I107" i="37" s="1"/>
  <c r="J107" i="37" s="1"/>
  <c r="K107" i="37" s="1"/>
  <c r="L107" i="37" s="1"/>
  <c r="M107" i="37" s="1"/>
  <c r="H19" i="34"/>
  <c r="AB19" i="34" s="1"/>
  <c r="F36" i="35"/>
  <c r="S36" i="35" s="1"/>
  <c r="J9" i="37"/>
  <c r="W9" i="37" s="1"/>
  <c r="H9" i="37"/>
  <c r="U9" i="37" s="1"/>
  <c r="F9" i="37"/>
  <c r="S9" i="37" s="1"/>
  <c r="H12" i="37"/>
  <c r="AB12" i="37" s="1"/>
  <c r="F12" i="37"/>
  <c r="S12"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H37" i="39"/>
  <c r="H25" i="39"/>
  <c r="J25" i="39"/>
  <c r="W25" i="39" s="1"/>
  <c r="F25" i="39"/>
  <c r="AA25" i="39" s="1"/>
  <c r="F15" i="39"/>
  <c r="H15" i="39"/>
  <c r="U15" i="39" s="1"/>
  <c r="J15" i="39"/>
  <c r="W15" i="39" s="1"/>
  <c r="H41" i="39"/>
  <c r="AB41" i="39" s="1"/>
  <c r="W27" i="39"/>
  <c r="U40" i="39"/>
  <c r="S42" i="39"/>
  <c r="AA41" i="39"/>
  <c r="W9" i="39"/>
  <c r="W8" i="39"/>
  <c r="J19" i="40"/>
  <c r="AC19" i="40" s="1"/>
  <c r="J50" i="40"/>
  <c r="H103" i="9"/>
  <c r="D8" i="53" s="1"/>
  <c r="B16" i="53"/>
  <c r="B33" i="72" s="1"/>
  <c r="J11" i="39"/>
  <c r="W11" i="39" s="1"/>
  <c r="F11" i="39"/>
  <c r="S11" i="39" s="1"/>
  <c r="AA11" i="39"/>
  <c r="G4" i="4"/>
  <c r="I4" i="4"/>
  <c r="F61" i="43"/>
  <c r="H64" i="43" s="1"/>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BL370" i="3"/>
  <c r="G371" i="3"/>
  <c r="BA373" i="3"/>
  <c r="BL374" i="3"/>
  <c r="G375" i="3"/>
  <c r="BA377" i="3"/>
  <c r="BA379" i="3"/>
  <c r="AZ379" i="3" s="1"/>
  <c r="BL380" i="3"/>
  <c r="G381" i="3"/>
  <c r="BA383" i="3"/>
  <c r="BL384" i="3"/>
  <c r="G385" i="3"/>
  <c r="BA387" i="3"/>
  <c r="BL388" i="3"/>
  <c r="G389" i="3"/>
  <c r="BA391" i="3"/>
  <c r="BL392" i="3"/>
  <c r="G393" i="3"/>
  <c r="BJ5" i="3"/>
  <c r="BH5" i="3"/>
  <c r="BF5" i="3"/>
  <c r="G548" i="3"/>
  <c r="G538" i="3"/>
  <c r="G520" i="3"/>
  <c r="G502" i="3"/>
  <c r="BI5" i="3"/>
  <c r="BG5" i="3"/>
  <c r="G17" i="3"/>
  <c r="BA17" i="3"/>
  <c r="AZ356" i="3"/>
  <c r="BA15" i="3"/>
  <c r="G509" i="3"/>
  <c r="U36" i="40"/>
  <c r="F83" i="43"/>
  <c r="H85" i="43" s="1"/>
  <c r="F50" i="43"/>
  <c r="H54" i="43" s="1"/>
  <c r="F72" i="43"/>
  <c r="H75" i="43" s="1"/>
  <c r="U17" i="39"/>
  <c r="G10" i="1"/>
  <c r="AC11" i="39"/>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F23" i="39"/>
  <c r="AA23" i="39" s="1"/>
  <c r="H27" i="36"/>
  <c r="U27" i="36" s="1"/>
  <c r="F27" i="36"/>
  <c r="AA27" i="36" s="1"/>
  <c r="H33" i="34"/>
  <c r="U33" i="34" s="1"/>
  <c r="F32" i="37"/>
  <c r="S32" i="37" s="1"/>
  <c r="F20" i="36"/>
  <c r="AA20" i="36" s="1"/>
  <c r="J33" i="34"/>
  <c r="AC33" i="34" s="1"/>
  <c r="H23" i="39"/>
  <c r="U23" i="39" s="1"/>
  <c r="D48" i="9"/>
  <c r="M52" i="9" s="1"/>
  <c r="K9" i="1"/>
  <c r="M9" i="1" s="1"/>
  <c r="W26" i="33"/>
  <c r="W27" i="34"/>
  <c r="AC27" i="34"/>
  <c r="AB34" i="36"/>
  <c r="U34" i="36"/>
  <c r="AB33" i="36"/>
  <c r="U33" i="36"/>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AC34" i="33"/>
  <c r="AB37" i="40"/>
  <c r="S35" i="40"/>
  <c r="AC36" i="40"/>
  <c r="AA32" i="40"/>
  <c r="S17" i="40"/>
  <c r="AC17" i="40"/>
  <c r="AC15" i="40"/>
  <c r="AB27" i="40"/>
  <c r="S30" i="40"/>
  <c r="S28" i="40"/>
  <c r="AA27" i="40"/>
  <c r="U21" i="40"/>
  <c r="U35" i="39"/>
  <c r="F32" i="39"/>
  <c r="S32" i="39" s="1"/>
  <c r="F106" i="39"/>
  <c r="G106" i="39" s="1"/>
  <c r="H106" i="39" s="1"/>
  <c r="I106" i="39" s="1"/>
  <c r="J106" i="39" s="1"/>
  <c r="K106" i="39" s="1"/>
  <c r="L106" i="39" s="1"/>
  <c r="M106" i="39" s="1"/>
  <c r="AB27" i="39"/>
  <c r="J21" i="39"/>
  <c r="W21" i="39" s="1"/>
  <c r="F21" i="39"/>
  <c r="S21" i="39" s="1"/>
  <c r="G94" i="39"/>
  <c r="H21" i="39"/>
  <c r="AB21" i="39" s="1"/>
  <c r="W19" i="39"/>
  <c r="U19" i="39"/>
  <c r="S17" i="39"/>
  <c r="S9" i="39"/>
  <c r="AC13" i="39"/>
  <c r="U12" i="39"/>
  <c r="S23" i="36"/>
  <c r="U13" i="36"/>
  <c r="U26" i="36"/>
  <c r="AA34" i="36"/>
  <c r="AC26" i="36"/>
  <c r="W14" i="36"/>
  <c r="U22" i="36"/>
  <c r="AA25" i="36"/>
  <c r="S24" i="36"/>
  <c r="AB20" i="36"/>
  <c r="U16" i="36"/>
  <c r="S14" i="36"/>
  <c r="W24" i="35"/>
  <c r="U29" i="35"/>
  <c r="U28" i="35"/>
  <c r="AB27" i="35"/>
  <c r="U32" i="35"/>
  <c r="AA33" i="35"/>
  <c r="AC30" i="35"/>
  <c r="S32" i="35"/>
  <c r="AA36" i="35"/>
  <c r="S28" i="35"/>
  <c r="AB16" i="35"/>
  <c r="U22" i="35"/>
  <c r="U14" i="35"/>
  <c r="AA11" i="35"/>
  <c r="AC9" i="35"/>
  <c r="W9" i="35"/>
  <c r="W13" i="35"/>
  <c r="F9" i="35"/>
  <c r="S9" i="35" s="1"/>
  <c r="H9" i="35"/>
  <c r="U9" i="35" s="1"/>
  <c r="AB40" i="37"/>
  <c r="S25" i="37"/>
  <c r="W27" i="37"/>
  <c r="U29" i="37"/>
  <c r="AB31" i="37"/>
  <c r="W30" i="37"/>
  <c r="U32" i="37"/>
  <c r="W38" i="37"/>
  <c r="AC35" i="37"/>
  <c r="W39" i="37"/>
  <c r="S30" i="37"/>
  <c r="S37" i="37"/>
  <c r="AC15" i="37"/>
  <c r="J17" i="37"/>
  <c r="W17" i="37" s="1"/>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23" i="34"/>
  <c r="S13" i="34"/>
  <c r="H10" i="34"/>
  <c r="AB10" i="34" s="1"/>
  <c r="F11" i="34"/>
  <c r="S11" i="34" s="1"/>
  <c r="F70" i="34"/>
  <c r="W42" i="33"/>
  <c r="S27" i="33"/>
  <c r="S32" i="33"/>
  <c r="AA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U27" i="33" s="1"/>
  <c r="F87" i="33"/>
  <c r="G87" i="33" s="1"/>
  <c r="H87" i="33" s="1"/>
  <c r="I87" i="33" s="1"/>
  <c r="J87" i="33" s="1"/>
  <c r="K87" i="33" s="1"/>
  <c r="L87" i="33" s="1"/>
  <c r="M87" i="33" s="1"/>
  <c r="H25" i="33"/>
  <c r="F25" i="33"/>
  <c r="S25" i="33" s="1"/>
  <c r="J23" i="33"/>
  <c r="AC23" i="33" s="1"/>
  <c r="H23" i="33"/>
  <c r="U23" i="33" s="1"/>
  <c r="F81" i="33"/>
  <c r="G81" i="33" s="1"/>
  <c r="F19" i="33"/>
  <c r="S19" i="33" s="1"/>
  <c r="W19" i="33"/>
  <c r="J17" i="33"/>
  <c r="W17" i="33" s="1"/>
  <c r="F79" i="33"/>
  <c r="G79" i="33" s="1"/>
  <c r="S15" i="33"/>
  <c r="W15" i="33"/>
  <c r="J10" i="33"/>
  <c r="W10" i="33" s="1"/>
  <c r="H10" i="33"/>
  <c r="U10" i="33" s="1"/>
  <c r="AC11" i="33"/>
  <c r="AB14" i="33"/>
  <c r="W41" i="21"/>
  <c r="J15" i="21"/>
  <c r="AC15" i="21" s="1"/>
  <c r="W15" i="21"/>
  <c r="F77" i="21"/>
  <c r="G77" i="21"/>
  <c r="F23" i="21"/>
  <c r="AA23" i="21" s="1"/>
  <c r="S23" i="21"/>
  <c r="E85" i="21"/>
  <c r="AA14" i="21"/>
  <c r="D120" i="9"/>
  <c r="D121" i="9" s="1"/>
  <c r="D7" i="52" s="1"/>
  <c r="F34" i="67"/>
  <c r="F62" i="67" s="1"/>
  <c r="M20" i="67"/>
  <c r="F34" i="15"/>
  <c r="F62" i="15" s="1"/>
  <c r="BL17" i="3"/>
  <c r="AZ17" i="3" s="1"/>
  <c r="BL13" i="3"/>
  <c r="J56" i="9"/>
  <c r="J57" i="9" s="1"/>
  <c r="J59" i="9" s="1"/>
  <c r="J61" i="9" s="1"/>
  <c r="A24" i="51"/>
  <c r="B18" i="72" s="1"/>
  <c r="U29" i="34"/>
  <c r="G1" i="68"/>
  <c r="K1" i="12"/>
  <c r="E19" i="69"/>
  <c r="E19" i="68"/>
  <c r="E19" i="11"/>
  <c r="C6" i="43"/>
  <c r="B19" i="53"/>
  <c r="B37" i="72" s="1"/>
  <c r="A4" i="51"/>
  <c r="B6" i="72"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AA15" i="40"/>
  <c r="U11" i="40"/>
  <c r="U15" i="40"/>
  <c r="AB17" i="40"/>
  <c r="U8" i="40"/>
  <c r="S8" i="40"/>
  <c r="AA39" i="39"/>
  <c r="U42" i="39"/>
  <c r="U41" i="39"/>
  <c r="AC25" i="39"/>
  <c r="U13" i="39"/>
  <c r="AB13" i="39"/>
  <c r="AA13" i="39"/>
  <c r="S13" i="39"/>
  <c r="AB11" i="39"/>
  <c r="U11" i="39"/>
  <c r="AA27" i="39"/>
  <c r="S27" i="39"/>
  <c r="W17" i="39"/>
  <c r="AC17" i="39"/>
  <c r="AA45" i="39"/>
  <c r="AB39" i="39"/>
  <c r="W34" i="39"/>
  <c r="U38" i="39"/>
  <c r="S8" i="39"/>
  <c r="AC25" i="36"/>
  <c r="U32" i="36"/>
  <c r="W29" i="36"/>
  <c r="AC20" i="36"/>
  <c r="U25" i="36"/>
  <c r="AB28" i="36"/>
  <c r="AA13" i="36"/>
  <c r="W22" i="36"/>
  <c r="AB20" i="35"/>
  <c r="AC25" i="35"/>
  <c r="U25" i="35"/>
  <c r="U24" i="35"/>
  <c r="S35" i="35"/>
  <c r="AA16" i="35"/>
  <c r="AA35" i="37"/>
  <c r="W36" i="37"/>
  <c r="S28" i="37"/>
  <c r="W32" i="37"/>
  <c r="U36" i="37"/>
  <c r="U38" i="37"/>
  <c r="AB37" i="37"/>
  <c r="AC34" i="37"/>
  <c r="AB35" i="37"/>
  <c r="AA31" i="37"/>
  <c r="U19" i="37"/>
  <c r="AA29" i="37"/>
  <c r="U8" i="37"/>
  <c r="AB40" i="34"/>
  <c r="U19" i="34"/>
  <c r="W19" i="34"/>
  <c r="AC45" i="34"/>
  <c r="AA31" i="34"/>
  <c r="AA30" i="34"/>
  <c r="AB45"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AC43" i="34"/>
  <c r="W43" i="34"/>
  <c r="W23" i="34"/>
  <c r="AC23" i="34"/>
  <c r="AC35" i="34"/>
  <c r="W35" i="34"/>
  <c r="U12" i="34"/>
  <c r="AB12" i="34"/>
  <c r="AB28" i="33"/>
  <c r="AC37" i="33"/>
  <c r="W46" i="33"/>
  <c r="U39" i="33"/>
  <c r="U38" i="33"/>
  <c r="S33" i="33"/>
  <c r="U44" i="33"/>
  <c r="AB44" i="33"/>
  <c r="AA30" i="33"/>
  <c r="AC14" i="33"/>
  <c r="W14" i="33"/>
  <c r="AC30" i="33"/>
  <c r="W30" i="33"/>
  <c r="S31" i="33"/>
  <c r="AA31" i="33"/>
  <c r="W13" i="33"/>
  <c r="AC13" i="33"/>
  <c r="U15" i="33"/>
  <c r="S11" i="33"/>
  <c r="U37" i="33"/>
  <c r="W8" i="33"/>
  <c r="U28" i="21"/>
  <c r="F33" i="21"/>
  <c r="AA33" i="21" s="1"/>
  <c r="J33" i="21"/>
  <c r="AC33" i="21" s="1"/>
  <c r="H33" i="21"/>
  <c r="AB33" i="21" s="1"/>
  <c r="AB14" i="21"/>
  <c r="U40" i="21"/>
  <c r="U13" i="21"/>
  <c r="AB13" i="21"/>
  <c r="H15" i="21"/>
  <c r="U15" i="21" s="1"/>
  <c r="J17" i="21"/>
  <c r="AC17" i="21" s="1"/>
  <c r="AC19" i="21"/>
  <c r="AC14" i="21"/>
  <c r="W30" i="21"/>
  <c r="H45" i="21"/>
  <c r="U45" i="21" s="1"/>
  <c r="F29" i="21"/>
  <c r="AA29" i="21" s="1"/>
  <c r="F13" i="21"/>
  <c r="AA13" i="21" s="1"/>
  <c r="H9" i="21"/>
  <c r="AB9" i="21" s="1"/>
  <c r="J9" i="21"/>
  <c r="AC9" i="21" s="1"/>
  <c r="J32" i="21"/>
  <c r="W32" i="21" s="1"/>
  <c r="AA31" i="21"/>
  <c r="W29" i="21"/>
  <c r="S19" i="21"/>
  <c r="AA9" i="21"/>
  <c r="K141" i="21"/>
  <c r="K144" i="21"/>
  <c r="K143" i="21"/>
  <c r="AB25" i="21"/>
  <c r="W13" i="21"/>
  <c r="F10" i="21"/>
  <c r="AA10" i="21" s="1"/>
  <c r="K145" i="21"/>
  <c r="W25" i="21"/>
  <c r="W31" i="21"/>
  <c r="AA15" i="21"/>
  <c r="AB29" i="21"/>
  <c r="C19" i="39"/>
  <c r="C15" i="40"/>
  <c r="C17" i="40"/>
  <c r="C23" i="40"/>
  <c r="C21" i="40"/>
  <c r="U30" i="40"/>
  <c r="B56" i="43"/>
  <c r="B67" i="43"/>
  <c r="B51" i="43"/>
  <c r="B54" i="43"/>
  <c r="B58" i="43"/>
  <c r="B62" i="43"/>
  <c r="B65" i="43"/>
  <c r="B69" i="43"/>
  <c r="D23" i="15"/>
  <c r="D22" i="15"/>
  <c r="E4" i="4"/>
  <c r="B5" i="62" s="1"/>
  <c r="B73" i="72" s="1"/>
  <c r="C4" i="4"/>
  <c r="AA39" i="40"/>
  <c r="S39" i="40"/>
  <c r="J32" i="39"/>
  <c r="W32" i="39" s="1"/>
  <c r="H32" i="39"/>
  <c r="AB32" i="39" s="1"/>
  <c r="AC17" i="37"/>
  <c r="J19" i="37"/>
  <c r="W19" i="37" s="1"/>
  <c r="J23" i="37"/>
  <c r="W23" i="37" s="1"/>
  <c r="J10" i="37"/>
  <c r="W10" i="37" s="1"/>
  <c r="G63" i="37"/>
  <c r="H63" i="37" s="1"/>
  <c r="I63" i="37" s="1"/>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W27" i="33" s="1"/>
  <c r="U25" i="33"/>
  <c r="AB25" i="33"/>
  <c r="AA25" i="33"/>
  <c r="J25" i="33"/>
  <c r="AC25" i="33" s="1"/>
  <c r="AB23" i="33"/>
  <c r="F23" i="33"/>
  <c r="H19" i="33"/>
  <c r="AB19" i="33" s="1"/>
  <c r="H17" i="33"/>
  <c r="U17" i="33" s="1"/>
  <c r="F17" i="33"/>
  <c r="S17" i="33" s="1"/>
  <c r="AC17" i="33"/>
  <c r="J23" i="21"/>
  <c r="AC23" i="21" s="1"/>
  <c r="F85" i="21"/>
  <c r="G85" i="21" s="1"/>
  <c r="H23" i="21"/>
  <c r="U23" i="21" s="1"/>
  <c r="S13" i="21"/>
  <c r="AP7" i="1"/>
  <c r="AB45" i="21"/>
  <c r="A18" i="62"/>
  <c r="B64" i="72" s="1"/>
  <c r="U32" i="39"/>
  <c r="J63" i="37"/>
  <c r="K63" i="37" s="1"/>
  <c r="L63" i="37" s="1"/>
  <c r="M63" i="37" s="1"/>
  <c r="J11" i="37"/>
  <c r="AC11" i="37" s="1"/>
  <c r="H70" i="34"/>
  <c r="I70" i="34" s="1"/>
  <c r="J70" i="34" s="1"/>
  <c r="K70" i="34" s="1"/>
  <c r="L70" i="34" s="1"/>
  <c r="M70" i="34" s="1"/>
  <c r="J11" i="34"/>
  <c r="W11" i="34" s="1"/>
  <c r="AB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B13" i="76"/>
  <c r="B8" i="76"/>
  <c r="B7" i="76"/>
  <c r="F4" i="73"/>
  <c r="M8" i="15"/>
  <c r="F20" i="31"/>
  <c r="E12" i="76"/>
  <c r="M8" i="67"/>
  <c r="B10" i="76"/>
  <c r="E13" i="76"/>
  <c r="F6" i="73"/>
  <c r="F5" i="73"/>
  <c r="F3" i="73"/>
  <c r="F7" i="67"/>
  <c r="E7" i="76"/>
  <c r="E8" i="76"/>
  <c r="E11" i="76"/>
  <c r="B11" i="76"/>
  <c r="E9" i="76"/>
  <c r="AO13" i="1"/>
  <c r="M9" i="67"/>
  <c r="D34" i="9"/>
  <c r="M22" i="67"/>
  <c r="B12" i="76"/>
  <c r="B9" i="76"/>
  <c r="F7" i="73"/>
  <c r="M23" i="67"/>
  <c r="C76" i="67"/>
  <c r="E2" i="68"/>
  <c r="E2" i="69"/>
  <c r="E10" i="76"/>
  <c r="D35" i="9"/>
  <c r="F32" i="21" l="1"/>
  <c r="AA32" i="21" s="1"/>
  <c r="H32" i="21"/>
  <c r="U32" i="21" s="1"/>
  <c r="J34" i="21"/>
  <c r="W34" i="21" s="1"/>
  <c r="F34" i="21"/>
  <c r="AA34" i="21" s="1"/>
  <c r="G22" i="69"/>
  <c r="G22" i="11"/>
  <c r="E1" i="73"/>
  <c r="G26" i="12"/>
  <c r="G22" i="68"/>
  <c r="W23" i="21"/>
  <c r="C7" i="12"/>
  <c r="M47" i="9"/>
  <c r="H36" i="21"/>
  <c r="U36" i="21" s="1"/>
  <c r="F17" i="21"/>
  <c r="AA17" i="21" s="1"/>
  <c r="S28" i="21"/>
  <c r="C40" i="11"/>
  <c r="AA21" i="39"/>
  <c r="S12" i="33"/>
  <c r="AZ135" i="3"/>
  <c r="AA15" i="39"/>
  <c r="S15" i="39"/>
  <c r="AB37" i="39"/>
  <c r="U37" i="39"/>
  <c r="AA36" i="37"/>
  <c r="S36" i="37"/>
  <c r="U29" i="33"/>
  <c r="AB29" i="33"/>
  <c r="AA17" i="34"/>
  <c r="S17" i="34"/>
  <c r="AB15" i="21"/>
  <c r="AB27" i="33"/>
  <c r="U41" i="33"/>
  <c r="AA23" i="37"/>
  <c r="AA32" i="39"/>
  <c r="W30" i="40"/>
  <c r="AB34" i="33"/>
  <c r="AB35" i="40"/>
  <c r="U35" i="40"/>
  <c r="AZ387" i="3"/>
  <c r="U13" i="35"/>
  <c r="AB13" i="35"/>
  <c r="S29" i="34"/>
  <c r="AA29" i="34"/>
  <c r="S44" i="33"/>
  <c r="AA44" i="33"/>
  <c r="W29" i="37"/>
  <c r="AC29" i="37"/>
  <c r="W20" i="35"/>
  <c r="AC20" i="35"/>
  <c r="AA22" i="35"/>
  <c r="S22" i="35"/>
  <c r="AA16" i="36"/>
  <c r="S16" i="36"/>
  <c r="AZ512" i="3"/>
  <c r="AA17" i="33"/>
  <c r="AC32" i="39"/>
  <c r="AC32" i="33"/>
  <c r="AB47" i="34"/>
  <c r="AA40" i="34"/>
  <c r="AC41" i="39"/>
  <c r="AB39" i="37"/>
  <c r="U39" i="37"/>
  <c r="BP5" i="3"/>
  <c r="BK5" i="3"/>
  <c r="BC5" i="3"/>
  <c r="AZ560" i="3"/>
  <c r="AB25" i="39"/>
  <c r="U25" i="39"/>
  <c r="AB26" i="33"/>
  <c r="U26" i="33"/>
  <c r="S44" i="34"/>
  <c r="AA44" i="34"/>
  <c r="AA23" i="40"/>
  <c r="S23" i="40"/>
  <c r="W11" i="40"/>
  <c r="AC11" i="40"/>
  <c r="AZ377" i="3"/>
  <c r="AZ361" i="3"/>
  <c r="AZ327" i="3"/>
  <c r="U11" i="33"/>
  <c r="U26" i="37"/>
  <c r="H31" i="40"/>
  <c r="BL559" i="3"/>
  <c r="AZ559" i="3" s="1"/>
  <c r="F14" i="39"/>
  <c r="J29" i="33"/>
  <c r="F27" i="21"/>
  <c r="AA27" i="21" s="1"/>
  <c r="F30" i="21"/>
  <c r="AA42" i="34"/>
  <c r="AA12" i="36"/>
  <c r="S38" i="33"/>
  <c r="W31" i="40"/>
  <c r="AA41" i="21"/>
  <c r="F36" i="21"/>
  <c r="S36" i="21" s="1"/>
  <c r="F43" i="21"/>
  <c r="S43" i="21" s="1"/>
  <c r="G585" i="3"/>
  <c r="BL586" i="3"/>
  <c r="J43" i="21"/>
  <c r="F42" i="21"/>
  <c r="AA42" i="21" s="1"/>
  <c r="H12" i="36"/>
  <c r="AA26" i="36"/>
  <c r="AZ326" i="3"/>
  <c r="AZ320" i="3"/>
  <c r="AC45" i="33"/>
  <c r="F31" i="40"/>
  <c r="H27" i="34"/>
  <c r="BL517" i="3"/>
  <c r="BL523" i="3"/>
  <c r="BL547" i="3"/>
  <c r="BL565" i="3"/>
  <c r="AZ565" i="3" s="1"/>
  <c r="BL581" i="3"/>
  <c r="H14" i="34"/>
  <c r="H27" i="21"/>
  <c r="AB27" i="21" s="1"/>
  <c r="H42" i="21"/>
  <c r="U42" i="21" s="1"/>
  <c r="AA34" i="37"/>
  <c r="W28" i="35"/>
  <c r="F35" i="39"/>
  <c r="J25" i="37"/>
  <c r="J42" i="21"/>
  <c r="AC42" i="21" s="1"/>
  <c r="W8" i="34"/>
  <c r="J36" i="21"/>
  <c r="AC36" i="21" s="1"/>
  <c r="G582" i="3"/>
  <c r="G398" i="3"/>
  <c r="BL402" i="3"/>
  <c r="BA407" i="3"/>
  <c r="G414" i="3"/>
  <c r="BA424" i="3"/>
  <c r="BL427" i="3"/>
  <c r="BA444" i="3"/>
  <c r="G454" i="3"/>
  <c r="G464" i="3"/>
  <c r="BL464" i="3"/>
  <c r="G472" i="3"/>
  <c r="G489" i="3"/>
  <c r="G351" i="3"/>
  <c r="BL395" i="3"/>
  <c r="BA217" i="3"/>
  <c r="G223" i="3"/>
  <c r="G231" i="3"/>
  <c r="G235" i="3"/>
  <c r="G241" i="3"/>
  <c r="BL259" i="3"/>
  <c r="G262" i="3"/>
  <c r="BA265" i="3"/>
  <c r="BL265" i="3"/>
  <c r="G267" i="3"/>
  <c r="G283" i="3"/>
  <c r="G287" i="3"/>
  <c r="BL298" i="3"/>
  <c r="G300" i="3"/>
  <c r="G126" i="3"/>
  <c r="G136" i="3"/>
  <c r="BL173" i="3"/>
  <c r="BL198" i="3"/>
  <c r="BL20" i="3"/>
  <c r="BA21" i="3"/>
  <c r="BA78" i="3"/>
  <c r="BA105" i="3"/>
  <c r="AZ105" i="3" s="1"/>
  <c r="BL105" i="3"/>
  <c r="BA110" i="3"/>
  <c r="AZ110" i="3" s="1"/>
  <c r="U29" i="39"/>
  <c r="P27" i="6"/>
  <c r="C87" i="71"/>
  <c r="Q68" i="71"/>
  <c r="F67" i="71"/>
  <c r="F66" i="71" s="1"/>
  <c r="G401" i="3"/>
  <c r="BA410" i="3"/>
  <c r="G413" i="3"/>
  <c r="G421" i="3"/>
  <c r="BA443" i="3"/>
  <c r="G445" i="3"/>
  <c r="G449" i="3"/>
  <c r="BL462" i="3"/>
  <c r="G467" i="3"/>
  <c r="BA476" i="3"/>
  <c r="G492" i="3"/>
  <c r="BL359" i="3"/>
  <c r="AZ359" i="3" s="1"/>
  <c r="BL367" i="3"/>
  <c r="G374" i="3"/>
  <c r="G382" i="3"/>
  <c r="BL383" i="3"/>
  <c r="AZ383" i="3" s="1"/>
  <c r="BA211" i="3"/>
  <c r="AZ211" i="3" s="1"/>
  <c r="BL215" i="3"/>
  <c r="G218" i="3"/>
  <c r="BL222" i="3"/>
  <c r="BA228" i="3"/>
  <c r="BA237" i="3"/>
  <c r="AZ237" i="3" s="1"/>
  <c r="BA248" i="3"/>
  <c r="G249" i="3"/>
  <c r="G259" i="3"/>
  <c r="BL278" i="3"/>
  <c r="BA288" i="3"/>
  <c r="BL289" i="3"/>
  <c r="BA291" i="3"/>
  <c r="G294" i="3"/>
  <c r="BL295" i="3"/>
  <c r="BL135" i="3"/>
  <c r="BA145" i="3"/>
  <c r="G152" i="3"/>
  <c r="BA157" i="3"/>
  <c r="BL161" i="3"/>
  <c r="G164" i="3"/>
  <c r="BL169" i="3"/>
  <c r="G190" i="3"/>
  <c r="BA194" i="3"/>
  <c r="G206" i="3"/>
  <c r="G31" i="3"/>
  <c r="G35" i="3"/>
  <c r="G51" i="3"/>
  <c r="G52" i="3"/>
  <c r="BA52" i="3"/>
  <c r="G63" i="3"/>
  <c r="G68" i="3"/>
  <c r="BA70" i="3"/>
  <c r="AZ70" i="3" s="1"/>
  <c r="BL70" i="3"/>
  <c r="BL71" i="3"/>
  <c r="G80" i="3"/>
  <c r="G84" i="3"/>
  <c r="BL91" i="3"/>
  <c r="G93" i="3"/>
  <c r="BL96" i="3"/>
  <c r="G102" i="3"/>
  <c r="G111" i="3"/>
  <c r="C40" i="68"/>
  <c r="C21" i="68"/>
  <c r="S18" i="36"/>
  <c r="D72" i="71"/>
  <c r="S68" i="71"/>
  <c r="T80" i="71"/>
  <c r="G568" i="3"/>
  <c r="G14" i="3"/>
  <c r="G403" i="3"/>
  <c r="BL406" i="3"/>
  <c r="G411" i="3"/>
  <c r="BL411" i="3"/>
  <c r="G424" i="3"/>
  <c r="BL430" i="3"/>
  <c r="G433" i="3"/>
  <c r="G439" i="3"/>
  <c r="G440" i="3"/>
  <c r="BA446" i="3"/>
  <c r="G452" i="3"/>
  <c r="G466" i="3"/>
  <c r="BL472" i="3"/>
  <c r="G473" i="3"/>
  <c r="G477" i="3"/>
  <c r="BL480" i="3"/>
  <c r="G482" i="3"/>
  <c r="BA483" i="3"/>
  <c r="BL483" i="3"/>
  <c r="AZ483" i="3" s="1"/>
  <c r="G490" i="3"/>
  <c r="BA315" i="3"/>
  <c r="AZ315" i="3" s="1"/>
  <c r="BA331" i="3"/>
  <c r="AZ331" i="3" s="1"/>
  <c r="BA333" i="3"/>
  <c r="G364" i="3"/>
  <c r="G380" i="3"/>
  <c r="G384" i="3"/>
  <c r="G396" i="3"/>
  <c r="G210" i="3"/>
  <c r="G220" i="3"/>
  <c r="BL224" i="3"/>
  <c r="G228" i="3"/>
  <c r="G232" i="3"/>
  <c r="BA233" i="3"/>
  <c r="G236" i="3"/>
  <c r="BL242" i="3"/>
  <c r="G247" i="3"/>
  <c r="G268" i="3"/>
  <c r="G280" i="3"/>
  <c r="G284" i="3"/>
  <c r="G292" i="3"/>
  <c r="G302" i="3"/>
  <c r="G116" i="3"/>
  <c r="BA120" i="3"/>
  <c r="AZ120" i="3" s="1"/>
  <c r="G123" i="3"/>
  <c r="G127" i="3"/>
  <c r="BA128" i="3"/>
  <c r="AZ128" i="3" s="1"/>
  <c r="G158" i="3"/>
  <c r="G166" i="3"/>
  <c r="G167" i="3"/>
  <c r="BA177" i="3"/>
  <c r="G191" i="3"/>
  <c r="G195" i="3"/>
  <c r="BA201" i="3"/>
  <c r="G26" i="3"/>
  <c r="BA30" i="3"/>
  <c r="AZ30" i="3" s="1"/>
  <c r="BL34" i="3"/>
  <c r="G42" i="3"/>
  <c r="G45" i="3"/>
  <c r="BL64" i="3"/>
  <c r="G65" i="3"/>
  <c r="G69" i="3"/>
  <c r="BL82" i="3"/>
  <c r="BL83" i="3"/>
  <c r="G86" i="3"/>
  <c r="BA97" i="3"/>
  <c r="B77" i="43"/>
  <c r="C71" i="71"/>
  <c r="J1" i="73"/>
  <c r="C7" i="35"/>
  <c r="C48" i="35" s="1"/>
  <c r="D48" i="35" s="1"/>
  <c r="E48" i="35" s="1"/>
  <c r="C7" i="36"/>
  <c r="C46" i="36" s="1"/>
  <c r="D46" i="36" s="1"/>
  <c r="E46" i="36" s="1"/>
  <c r="F46" i="36" s="1"/>
  <c r="G46" i="36" s="1"/>
  <c r="H46" i="36" s="1"/>
  <c r="I46" i="36" s="1"/>
  <c r="J46" i="36" s="1"/>
  <c r="K46" i="36" s="1"/>
  <c r="L46" i="36" s="1"/>
  <c r="M46" i="36" s="1"/>
  <c r="N46" i="36" s="1"/>
  <c r="O46" i="36" s="1"/>
  <c r="E32" i="6"/>
  <c r="C18" i="9"/>
  <c r="D18" i="9" s="1"/>
  <c r="J37" i="21"/>
  <c r="W37" i="21" s="1"/>
  <c r="H37" i="21"/>
  <c r="U37" i="21" s="1"/>
  <c r="F37" i="21"/>
  <c r="AA37" i="21" s="1"/>
  <c r="AA19" i="33"/>
  <c r="AA19" i="37"/>
  <c r="AZ369" i="3"/>
  <c r="AZ390" i="3"/>
  <c r="AZ371" i="3"/>
  <c r="AZ351" i="3"/>
  <c r="AZ380" i="3"/>
  <c r="AZ325" i="3"/>
  <c r="AZ306" i="3"/>
  <c r="S14" i="33"/>
  <c r="E89" i="21"/>
  <c r="F89"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AZ567" i="3" s="1"/>
  <c r="BB5" i="3"/>
  <c r="E5" i="6" s="1"/>
  <c r="D9" i="68"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G425" i="3"/>
  <c r="BL425" i="3"/>
  <c r="BL426" i="3"/>
  <c r="AZ426" i="3" s="1"/>
  <c r="G429" i="3"/>
  <c r="G441" i="3"/>
  <c r="BA441" i="3"/>
  <c r="BL443" i="3"/>
  <c r="AZ443" i="3" s="1"/>
  <c r="G446" i="3"/>
  <c r="BA451" i="3"/>
  <c r="AZ451" i="3" s="1"/>
  <c r="BA454" i="3"/>
  <c r="BL458" i="3"/>
  <c r="BA466" i="3"/>
  <c r="BA469" i="3"/>
  <c r="AZ469" i="3" s="1"/>
  <c r="BL473" i="3"/>
  <c r="BL474" i="3"/>
  <c r="G475" i="3"/>
  <c r="BA487" i="3"/>
  <c r="BA489" i="3"/>
  <c r="BL489" i="3"/>
  <c r="AZ489" i="3" s="1"/>
  <c r="BL491" i="3"/>
  <c r="BL492" i="3"/>
  <c r="G307" i="3"/>
  <c r="G311" i="3"/>
  <c r="G315" i="3"/>
  <c r="G323" i="3"/>
  <c r="G339" i="3"/>
  <c r="BL386" i="3"/>
  <c r="BA208" i="3"/>
  <c r="AZ208" i="3" s="1"/>
  <c r="BA214" i="3"/>
  <c r="BA220" i="3"/>
  <c r="BA225" i="3"/>
  <c r="AZ225" i="3" s="1"/>
  <c r="BA245" i="3"/>
  <c r="AZ245" i="3" s="1"/>
  <c r="BL245" i="3"/>
  <c r="BA257" i="3"/>
  <c r="BL257" i="3"/>
  <c r="BL258" i="3"/>
  <c r="AB21" i="37"/>
  <c r="U21" i="37"/>
  <c r="G399" i="3"/>
  <c r="BA402" i="3"/>
  <c r="AZ402" i="3" s="1"/>
  <c r="BL409" i="3"/>
  <c r="BA419" i="3"/>
  <c r="BA437" i="3"/>
  <c r="AZ437" i="3" s="1"/>
  <c r="BL437" i="3"/>
  <c r="BA448" i="3"/>
  <c r="BA450" i="3"/>
  <c r="BL465" i="3"/>
  <c r="BL479" i="3"/>
  <c r="BL484" i="3"/>
  <c r="BA486" i="3"/>
  <c r="BL488" i="3"/>
  <c r="BA319" i="3"/>
  <c r="AZ319" i="3" s="1"/>
  <c r="BL381" i="3"/>
  <c r="AZ381" i="3" s="1"/>
  <c r="BA385" i="3"/>
  <c r="BA395" i="3"/>
  <c r="AZ395" i="3" s="1"/>
  <c r="BL213" i="3"/>
  <c r="BA222" i="3"/>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BL400" i="3"/>
  <c r="G405" i="3"/>
  <c r="G408" i="3"/>
  <c r="BL408" i="3"/>
  <c r="BL412" i="3"/>
  <c r="G417" i="3"/>
  <c r="BL417" i="3"/>
  <c r="BL418" i="3"/>
  <c r="BA420" i="3"/>
  <c r="AZ420" i="3" s="1"/>
  <c r="BL420" i="3"/>
  <c r="G422" i="3"/>
  <c r="G423" i="3"/>
  <c r="BL423" i="3"/>
  <c r="G428" i="3"/>
  <c r="BA428" i="3"/>
  <c r="BA429" i="3"/>
  <c r="BA430" i="3"/>
  <c r="AZ430" i="3" s="1"/>
  <c r="BA433" i="3"/>
  <c r="AZ433" i="3" s="1"/>
  <c r="BA435" i="3"/>
  <c r="G442" i="3"/>
  <c r="G443" i="3"/>
  <c r="BL447" i="3"/>
  <c r="G450" i="3"/>
  <c r="G459" i="3"/>
  <c r="BA460" i="3"/>
  <c r="AZ460" i="3" s="1"/>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BL240" i="3"/>
  <c r="G244" i="3"/>
  <c r="BL262" i="3"/>
  <c r="BA293" i="3"/>
  <c r="BL181" i="3"/>
  <c r="BL205" i="3"/>
  <c r="AA21" i="33"/>
  <c r="D38" i="71"/>
  <c r="C39" i="71"/>
  <c r="C40" i="71" s="1"/>
  <c r="D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AZ205" i="3" s="1"/>
  <c r="G19" i="3"/>
  <c r="BL24" i="3"/>
  <c r="BA25" i="3"/>
  <c r="BA26" i="3"/>
  <c r="G28" i="3"/>
  <c r="BL28" i="3"/>
  <c r="BA29" i="3"/>
  <c r="BA33" i="3"/>
  <c r="G36" i="3"/>
  <c r="G40" i="3"/>
  <c r="G41" i="3"/>
  <c r="BA47" i="3"/>
  <c r="AZ47" i="3" s="1"/>
  <c r="BL47" i="3"/>
  <c r="G49" i="3"/>
  <c r="G50" i="3"/>
  <c r="G54" i="3"/>
  <c r="BA62" i="3"/>
  <c r="AZ62" i="3" s="1"/>
  <c r="BL62" i="3"/>
  <c r="BL63" i="3"/>
  <c r="BL69" i="3"/>
  <c r="G70" i="3"/>
  <c r="BA77" i="3"/>
  <c r="BL79" i="3"/>
  <c r="BL81" i="3"/>
  <c r="BA82" i="3"/>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AZ92" i="3" s="1"/>
  <c r="BA94" i="3"/>
  <c r="AZ94" i="3" s="1"/>
  <c r="BL94" i="3"/>
  <c r="BL99" i="3"/>
  <c r="BA100" i="3"/>
  <c r="AZ100" i="3" s="1"/>
  <c r="Y35" i="71"/>
  <c r="Z35" i="71" s="1"/>
  <c r="G251" i="3"/>
  <c r="G255" i="3"/>
  <c r="BA262" i="3"/>
  <c r="AZ262" i="3" s="1"/>
  <c r="G265" i="3"/>
  <c r="BA273" i="3"/>
  <c r="BA280" i="3"/>
  <c r="AZ280" i="3" s="1"/>
  <c r="G282" i="3"/>
  <c r="BA294" i="3"/>
  <c r="G297" i="3"/>
  <c r="BL123" i="3"/>
  <c r="AZ123" i="3" s="1"/>
  <c r="G134" i="3"/>
  <c r="BA148" i="3"/>
  <c r="AZ148" i="3" s="1"/>
  <c r="BL154" i="3"/>
  <c r="G155" i="3"/>
  <c r="BA162" i="3"/>
  <c r="BL166" i="3"/>
  <c r="G170" i="3"/>
  <c r="G175" i="3"/>
  <c r="G180" i="3"/>
  <c r="BL186" i="3"/>
  <c r="G198" i="3"/>
  <c r="G204" i="3"/>
  <c r="BA207" i="3"/>
  <c r="AZ207" i="3" s="1"/>
  <c r="BA22" i="3"/>
  <c r="BL35" i="3"/>
  <c r="BA36" i="3"/>
  <c r="BL38" i="3"/>
  <c r="BA39" i="3"/>
  <c r="BA43" i="3"/>
  <c r="G46" i="3"/>
  <c r="BL52" i="3"/>
  <c r="AZ52" i="3" s="1"/>
  <c r="BA53" i="3"/>
  <c r="BA54" i="3"/>
  <c r="G57" i="3"/>
  <c r="G61" i="3"/>
  <c r="BA65" i="3"/>
  <c r="AZ65" i="3" s="1"/>
  <c r="BL65" i="3"/>
  <c r="BL66" i="3"/>
  <c r="BA72" i="3"/>
  <c r="AZ72" i="3" s="1"/>
  <c r="BL72" i="3"/>
  <c r="G74" i="3"/>
  <c r="BA75" i="3"/>
  <c r="BL86" i="3"/>
  <c r="G87" i="3"/>
  <c r="G88" i="3"/>
  <c r="BA91" i="3"/>
  <c r="AZ91" i="3" s="1"/>
  <c r="BL93" i="3"/>
  <c r="BA98" i="3"/>
  <c r="W29" i="39"/>
  <c r="C29" i="39"/>
  <c r="N68" i="71"/>
  <c r="B63" i="71"/>
  <c r="B64" i="71" s="1"/>
  <c r="S64" i="71" s="1"/>
  <c r="F75" i="71"/>
  <c r="F74" i="71" s="1"/>
  <c r="U17" i="21"/>
  <c r="S17" i="21"/>
  <c r="W44" i="21"/>
  <c r="AB44" i="21"/>
  <c r="S44" i="21"/>
  <c r="AA43" i="21"/>
  <c r="U43" i="21"/>
  <c r="AC40" i="21"/>
  <c r="AB39" i="21"/>
  <c r="W39" i="21"/>
  <c r="AC35" i="21"/>
  <c r="U35" i="21"/>
  <c r="AB34" i="21"/>
  <c r="AC27" i="21"/>
  <c r="S39" i="21"/>
  <c r="S32" i="21"/>
  <c r="AB32" i="21"/>
  <c r="AC38" i="21"/>
  <c r="AA38" i="21"/>
  <c r="AB36" i="21"/>
  <c r="S35" i="21"/>
  <c r="W9" i="21"/>
  <c r="D93" i="9"/>
  <c r="B41" i="1"/>
  <c r="M18" i="67" s="1"/>
  <c r="F30" i="69"/>
  <c r="F48" i="69" s="1"/>
  <c r="A4" i="52"/>
  <c r="B41" i="72" s="1"/>
  <c r="A2" i="9"/>
  <c r="A118" i="9"/>
  <c r="C7" i="40"/>
  <c r="C63" i="40" s="1"/>
  <c r="C65" i="40" s="1"/>
  <c r="C7" i="39"/>
  <c r="C67" i="39" s="1"/>
  <c r="D67" i="39" s="1"/>
  <c r="D69" i="39" s="1"/>
  <c r="C42" i="1"/>
  <c r="C24" i="12" s="1"/>
  <c r="C7" i="34"/>
  <c r="C59" i="34" s="1"/>
  <c r="D59" i="34" s="1"/>
  <c r="E59" i="34" s="1"/>
  <c r="F59" i="34" s="1"/>
  <c r="G59" i="34" s="1"/>
  <c r="H59" i="34" s="1"/>
  <c r="I59" i="34" s="1"/>
  <c r="J59" i="34" s="1"/>
  <c r="K59" i="34" s="1"/>
  <c r="L59" i="34" s="1"/>
  <c r="M59" i="34" s="1"/>
  <c r="N59" i="34" s="1"/>
  <c r="O59" i="34" s="1"/>
  <c r="C7" i="21"/>
  <c r="C58" i="21" s="1"/>
  <c r="D58" i="21" s="1"/>
  <c r="C7" i="37"/>
  <c r="C52" i="37" s="1"/>
  <c r="D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F28" i="15"/>
  <c r="AB33" i="34"/>
  <c r="S24" i="35"/>
  <c r="S23" i="39"/>
  <c r="S43" i="33"/>
  <c r="U15" i="34"/>
  <c r="AB14" i="36"/>
  <c r="U14" i="39"/>
  <c r="AB19" i="40"/>
  <c r="AA19" i="40"/>
  <c r="AA32" i="37"/>
  <c r="AZ373" i="3"/>
  <c r="AZ362" i="3"/>
  <c r="AZ322" i="3"/>
  <c r="AZ372" i="3"/>
  <c r="AZ347" i="3"/>
  <c r="AZ336" i="3"/>
  <c r="AZ305" i="3"/>
  <c r="S21" i="40"/>
  <c r="BL535" i="3"/>
  <c r="AZ516" i="3"/>
  <c r="H13" i="40"/>
  <c r="U33" i="40"/>
  <c r="S38" i="37"/>
  <c r="U17" i="34"/>
  <c r="AB17" i="34"/>
  <c r="J45" i="21"/>
  <c r="F45" i="21"/>
  <c r="AA40" i="21"/>
  <c r="S40" i="21"/>
  <c r="B101" i="43"/>
  <c r="B79" i="43"/>
  <c r="AA28" i="34"/>
  <c r="S28" i="34"/>
  <c r="H12" i="35"/>
  <c r="J12" i="40"/>
  <c r="F12" i="40"/>
  <c r="BA569" i="3"/>
  <c r="AZ569" i="3" s="1"/>
  <c r="BL568" i="3"/>
  <c r="BA568" i="3"/>
  <c r="BA567" i="3"/>
  <c r="BL566" i="3"/>
  <c r="AZ566" i="3" s="1"/>
  <c r="AZ14" i="3"/>
  <c r="AZ503" i="3"/>
  <c r="S14" i="34"/>
  <c r="AA14" i="34"/>
  <c r="AA14" i="35"/>
  <c r="S14" i="35"/>
  <c r="BL587" i="3"/>
  <c r="AZ587" i="3" s="1"/>
  <c r="J46" i="21"/>
  <c r="W46" i="21" s="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BL571" i="3"/>
  <c r="BA571" i="3"/>
  <c r="AZ571" i="3" s="1"/>
  <c r="BL570" i="3"/>
  <c r="AZ570" i="3" s="1"/>
  <c r="BL554" i="3"/>
  <c r="AZ554" i="3" s="1"/>
  <c r="BL552" i="3"/>
  <c r="BA552" i="3"/>
  <c r="AZ552" i="3" s="1"/>
  <c r="BL551" i="3"/>
  <c r="BA551" i="3"/>
  <c r="BA550" i="3"/>
  <c r="BA549" i="3"/>
  <c r="AZ549" i="3" s="1"/>
  <c r="BL548" i="3"/>
  <c r="BA548" i="3"/>
  <c r="BA547" i="3"/>
  <c r="AZ547" i="3" s="1"/>
  <c r="BL546" i="3"/>
  <c r="AZ546" i="3" s="1"/>
  <c r="BA545" i="3"/>
  <c r="BL544" i="3"/>
  <c r="AZ544" i="3" s="1"/>
  <c r="BL542" i="3"/>
  <c r="BA542" i="3"/>
  <c r="AZ542" i="3" s="1"/>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AZ524" i="3" s="1"/>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AZ508" i="3" s="1"/>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W17" i="21"/>
  <c r="AB36" i="33"/>
  <c r="F54" i="9"/>
  <c r="F30" i="68"/>
  <c r="F48" i="68" s="1"/>
  <c r="S20" i="36"/>
  <c r="AA35" i="33"/>
  <c r="AC39" i="34"/>
  <c r="S20" i="35"/>
  <c r="AA25" i="35"/>
  <c r="AA22" i="36"/>
  <c r="AA34" i="33"/>
  <c r="AC5" i="3"/>
  <c r="S25" i="21"/>
  <c r="AA25" i="21"/>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419" i="3"/>
  <c r="AZ394" i="3"/>
  <c r="BL519" i="3"/>
  <c r="AZ519" i="3" s="1"/>
  <c r="BL531" i="3"/>
  <c r="AZ531" i="3" s="1"/>
  <c r="BL573" i="3"/>
  <c r="AZ573" i="3" s="1"/>
  <c r="BL583" i="3"/>
  <c r="AZ583" i="3" s="1"/>
  <c r="J12" i="34"/>
  <c r="F12" i="34"/>
  <c r="S12" i="34" s="1"/>
  <c r="J39" i="40"/>
  <c r="H39" i="40"/>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AZ439" i="3" s="1"/>
  <c r="BL448" i="3"/>
  <c r="AZ448" i="3" s="1"/>
  <c r="G451" i="3"/>
  <c r="BL452" i="3"/>
  <c r="G455" i="3"/>
  <c r="BA458" i="3"/>
  <c r="BA459" i="3"/>
  <c r="G463" i="3"/>
  <c r="BL463" i="3"/>
  <c r="AZ463" i="3" s="1"/>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BA414" i="3"/>
  <c r="BA415" i="3"/>
  <c r="AZ415" i="3" s="1"/>
  <c r="BA416" i="3"/>
  <c r="AZ416" i="3" s="1"/>
  <c r="BA418" i="3"/>
  <c r="AZ418" i="3" s="1"/>
  <c r="BA421" i="3"/>
  <c r="BA423" i="3"/>
  <c r="G430" i="3"/>
  <c r="BL440" i="3"/>
  <c r="BL444" i="3"/>
  <c r="AZ444" i="3" s="1"/>
  <c r="G447" i="3"/>
  <c r="BL449" i="3"/>
  <c r="BL450" i="3"/>
  <c r="BA456" i="3"/>
  <c r="AZ456" i="3" s="1"/>
  <c r="BL457" i="3"/>
  <c r="BA462" i="3"/>
  <c r="AZ462" i="3" s="1"/>
  <c r="BL467" i="3"/>
  <c r="BL468" i="3"/>
  <c r="AZ468" i="3" s="1"/>
  <c r="BA473" i="3"/>
  <c r="AZ473" i="3" s="1"/>
  <c r="BL16" i="3"/>
  <c r="AZ16" i="3" s="1"/>
  <c r="BA401" i="3"/>
  <c r="AZ401" i="3" s="1"/>
  <c r="BA403" i="3"/>
  <c r="BA404" i="3"/>
  <c r="BA405" i="3"/>
  <c r="G409" i="3"/>
  <c r="BL410" i="3"/>
  <c r="G412" i="3"/>
  <c r="G418" i="3"/>
  <c r="G419" i="3"/>
  <c r="BA422" i="3"/>
  <c r="BA431" i="3"/>
  <c r="BA432" i="3"/>
  <c r="BA434" i="3"/>
  <c r="AZ434" i="3" s="1"/>
  <c r="BA436" i="3"/>
  <c r="BA438" i="3"/>
  <c r="BL441" i="3"/>
  <c r="AZ441" i="3" s="1"/>
  <c r="BL442" i="3"/>
  <c r="AZ442" i="3" s="1"/>
  <c r="BL445" i="3"/>
  <c r="BL446" i="3"/>
  <c r="BA452" i="3"/>
  <c r="AZ452" i="3" s="1"/>
  <c r="BA453" i="3"/>
  <c r="BA455" i="3"/>
  <c r="AZ455" i="3" s="1"/>
  <c r="BA457" i="3"/>
  <c r="G460" i="3"/>
  <c r="BL460" i="3"/>
  <c r="BL461" i="3"/>
  <c r="AZ461" i="3" s="1"/>
  <c r="BA464" i="3"/>
  <c r="AZ464" i="3" s="1"/>
  <c r="BA470" i="3"/>
  <c r="AZ470" i="3" s="1"/>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BA370" i="3"/>
  <c r="AZ370" i="3" s="1"/>
  <c r="BA386" i="3"/>
  <c r="BA216" i="3"/>
  <c r="AZ216" i="3" s="1"/>
  <c r="BA218" i="3"/>
  <c r="BL218" i="3"/>
  <c r="BL220" i="3"/>
  <c r="BL221" i="3"/>
  <c r="BL223" i="3"/>
  <c r="BA227" i="3"/>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BA442" i="3"/>
  <c r="BA445" i="3"/>
  <c r="AZ445" i="3" s="1"/>
  <c r="BA447" i="3"/>
  <c r="AZ447" i="3" s="1"/>
  <c r="BA449" i="3"/>
  <c r="BL453" i="3"/>
  <c r="BL454" i="3"/>
  <c r="AZ454" i="3" s="1"/>
  <c r="G458" i="3"/>
  <c r="BL459" i="3"/>
  <c r="G461" i="3"/>
  <c r="G462" i="3"/>
  <c r="BA465" i="3"/>
  <c r="BA467" i="3"/>
  <c r="BA468" i="3"/>
  <c r="BL471" i="3"/>
  <c r="BL475" i="3"/>
  <c r="BA477" i="3"/>
  <c r="BA478" i="3"/>
  <c r="BA481" i="3"/>
  <c r="G484" i="3"/>
  <c r="BA488"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BL239" i="3"/>
  <c r="BA241" i="3"/>
  <c r="BL241" i="3"/>
  <c r="BA244" i="3"/>
  <c r="BL244" i="3"/>
  <c r="BA246" i="3"/>
  <c r="BA252" i="3"/>
  <c r="AZ252" i="3" s="1"/>
  <c r="BA254" i="3"/>
  <c r="BA256" i="3"/>
  <c r="BL256" i="3"/>
  <c r="BA258" i="3"/>
  <c r="AZ258" i="3" s="1"/>
  <c r="BL264" i="3"/>
  <c r="BL266" i="3"/>
  <c r="BA268" i="3"/>
  <c r="BL273" i="3"/>
  <c r="AZ273" i="3" s="1"/>
  <c r="G274" i="3"/>
  <c r="BA277" i="3"/>
  <c r="BL277" i="3"/>
  <c r="BA282" i="3"/>
  <c r="AZ282" i="3" s="1"/>
  <c r="BL282" i="3"/>
  <c r="BA284" i="3"/>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BA221" i="3"/>
  <c r="AZ221" i="3" s="1"/>
  <c r="BA223" i="3"/>
  <c r="BL228" i="3"/>
  <c r="BA230" i="3"/>
  <c r="AZ230" i="3" s="1"/>
  <c r="BL232" i="3"/>
  <c r="BL234" i="3"/>
  <c r="BA236" i="3"/>
  <c r="BA238" i="3"/>
  <c r="BA243" i="3"/>
  <c r="BL248" i="3"/>
  <c r="AZ248" i="3" s="1"/>
  <c r="G250" i="3"/>
  <c r="BL250" i="3"/>
  <c r="AZ250" i="3" s="1"/>
  <c r="G252" i="3"/>
  <c r="G254" i="3"/>
  <c r="BA259" i="3"/>
  <c r="BL261" i="3"/>
  <c r="BA263" i="3"/>
  <c r="AZ263" i="3" s="1"/>
  <c r="BA267" i="3"/>
  <c r="AZ267" i="3" s="1"/>
  <c r="BA269" i="3"/>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BA41" i="3"/>
  <c r="BA42" i="3"/>
  <c r="G47" i="3"/>
  <c r="BL48" i="3"/>
  <c r="BL54" i="3"/>
  <c r="AZ54" i="3" s="1"/>
  <c r="BL55" i="3"/>
  <c r="AZ55" i="3" s="1"/>
  <c r="G58" i="3"/>
  <c r="BA59" i="3"/>
  <c r="BL61" i="3"/>
  <c r="G64" i="3"/>
  <c r="BA64" i="3"/>
  <c r="G67" i="3"/>
  <c r="BL68" i="3"/>
  <c r="BA69" i="3"/>
  <c r="G72" i="3"/>
  <c r="BL73" i="3"/>
  <c r="BA74" i="3"/>
  <c r="BA87" i="3"/>
  <c r="BA89" i="3"/>
  <c r="BL101" i="3"/>
  <c r="BL102" i="3"/>
  <c r="AZ102" i="3" s="1"/>
  <c r="G105" i="3"/>
  <c r="BL106"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BL165" i="3"/>
  <c r="BL170" i="3"/>
  <c r="BA173" i="3"/>
  <c r="AZ173" i="3" s="1"/>
  <c r="BA174" i="3"/>
  <c r="BL179" i="3"/>
  <c r="AZ179" i="3" s="1"/>
  <c r="BA181" i="3"/>
  <c r="BA182" i="3"/>
  <c r="AZ182" i="3" s="1"/>
  <c r="BL185" i="3"/>
  <c r="BL193" i="3"/>
  <c r="AZ193" i="3" s="1"/>
  <c r="G194" i="3"/>
  <c r="BL194" i="3"/>
  <c r="AZ194" i="3" s="1"/>
  <c r="BA198" i="3"/>
  <c r="G199" i="3"/>
  <c r="G205" i="3"/>
  <c r="BL206" i="3"/>
  <c r="BA19" i="3"/>
  <c r="G22" i="3"/>
  <c r="G24" i="3"/>
  <c r="G25" i="3"/>
  <c r="G27" i="3"/>
  <c r="BA27" i="3"/>
  <c r="G30" i="3"/>
  <c r="BL30" i="3"/>
  <c r="BL31" i="3"/>
  <c r="G37" i="3"/>
  <c r="BL40" i="3"/>
  <c r="AZ40" i="3" s="1"/>
  <c r="BL41" i="3"/>
  <c r="BL45" i="3"/>
  <c r="BA48" i="3"/>
  <c r="BA49" i="3"/>
  <c r="BA51" i="3"/>
  <c r="G55" i="3"/>
  <c r="BL56" i="3"/>
  <c r="BA58" i="3"/>
  <c r="BL59" i="3"/>
  <c r="BL60" i="3"/>
  <c r="BA61" i="3"/>
  <c r="BA68" i="3"/>
  <c r="BA73" i="3"/>
  <c r="G78" i="3"/>
  <c r="G79" i="3"/>
  <c r="G81" i="3"/>
  <c r="G85" i="3"/>
  <c r="BL85" i="3"/>
  <c r="BA86" i="3"/>
  <c r="BL97" i="3"/>
  <c r="AZ97" i="3" s="1"/>
  <c r="G103" i="3"/>
  <c r="BA103" i="3"/>
  <c r="AZ103" i="3" s="1"/>
  <c r="BA104" i="3"/>
  <c r="BA106" i="3"/>
  <c r="BL108" i="3"/>
  <c r="AZ108" i="3" s="1"/>
  <c r="W21" i="21"/>
  <c r="T44" i="71"/>
  <c r="F28" i="71"/>
  <c r="F27" i="71" s="1"/>
  <c r="F26" i="71" s="1"/>
  <c r="T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BA57" i="3"/>
  <c r="BL58" i="3"/>
  <c r="G60" i="3"/>
  <c r="BA60" i="3"/>
  <c r="AZ60" i="3" s="1"/>
  <c r="BA63" i="3"/>
  <c r="AZ63" i="3" s="1"/>
  <c r="BA66" i="3"/>
  <c r="AZ66" i="3" s="1"/>
  <c r="BL74" i="3"/>
  <c r="G75" i="3"/>
  <c r="BL75" i="3"/>
  <c r="AZ75" i="3" s="1"/>
  <c r="BA80" i="3"/>
  <c r="BL84" i="3"/>
  <c r="G89" i="3"/>
  <c r="BA90" i="3"/>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G108" i="3"/>
  <c r="G109" i="3"/>
  <c r="BL112" i="3"/>
  <c r="W18" i="35"/>
  <c r="U25" i="40"/>
  <c r="S21" i="34"/>
  <c r="B68" i="43"/>
  <c r="B88" i="43"/>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9" i="3"/>
  <c r="AZ467" i="3"/>
  <c r="W35" i="39"/>
  <c r="F27" i="34"/>
  <c r="C21" i="39"/>
  <c r="U9" i="36"/>
  <c r="U14" i="37"/>
  <c r="H12" i="21"/>
  <c r="G526" i="3"/>
  <c r="AZ424" i="3"/>
  <c r="AZ438" i="3"/>
  <c r="AZ446" i="3"/>
  <c r="AZ450" i="3"/>
  <c r="G28" i="6"/>
  <c r="G30" i="6" s="1"/>
  <c r="G31" i="6" s="1"/>
  <c r="W36" i="39"/>
  <c r="U23" i="40"/>
  <c r="AA39" i="37"/>
  <c r="AC16" i="36"/>
  <c r="AB12" i="33"/>
  <c r="C27" i="39"/>
  <c r="U40" i="40"/>
  <c r="AC9" i="40"/>
  <c r="W36" i="35"/>
  <c r="J12" i="21"/>
  <c r="B73" i="43"/>
  <c r="B76" i="43"/>
  <c r="F9" i="36"/>
  <c r="J40" i="40"/>
  <c r="G562"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G248" i="3"/>
  <c r="AZ260" i="3"/>
  <c r="BL268" i="3"/>
  <c r="AZ268" i="3" s="1"/>
  <c r="G278" i="3"/>
  <c r="BA474" i="3"/>
  <c r="BA475" i="3"/>
  <c r="AZ475" i="3" s="1"/>
  <c r="BL481" i="3"/>
  <c r="BL482" i="3"/>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BL145" i="3"/>
  <c r="BL147" i="3"/>
  <c r="AZ147" i="3" s="1"/>
  <c r="G148" i="3"/>
  <c r="BL151" i="3"/>
  <c r="AZ151" i="3" s="1"/>
  <c r="BA165" i="3"/>
  <c r="AZ165" i="3" s="1"/>
  <c r="G168" i="3"/>
  <c r="BA170" i="3"/>
  <c r="BL174" i="3"/>
  <c r="AZ174" i="3" s="1"/>
  <c r="AZ185" i="3"/>
  <c r="BL202" i="3"/>
  <c r="AZ202" i="3" s="1"/>
  <c r="BL36" i="3"/>
  <c r="AZ36" i="3" s="1"/>
  <c r="AZ106" i="3"/>
  <c r="G200" i="3"/>
  <c r="G207" i="3"/>
  <c r="BA23" i="3"/>
  <c r="BA24" i="3"/>
  <c r="AZ24" i="3" s="1"/>
  <c r="BL26" i="3"/>
  <c r="AZ26" i="3" s="1"/>
  <c r="BL32" i="3"/>
  <c r="AZ32" i="3" s="1"/>
  <c r="BA34" i="3"/>
  <c r="AZ34" i="3" s="1"/>
  <c r="BA35" i="3"/>
  <c r="AZ35" i="3" s="1"/>
  <c r="BL37" i="3"/>
  <c r="BL42" i="3"/>
  <c r="AZ42" i="3" s="1"/>
  <c r="BA44" i="3"/>
  <c r="AZ44" i="3" s="1"/>
  <c r="BA206" i="3"/>
  <c r="AZ206" i="3" s="1"/>
  <c r="BL22" i="3"/>
  <c r="AZ22" i="3" s="1"/>
  <c r="BL33" i="3"/>
  <c r="BL43" i="3"/>
  <c r="AZ43" i="3" s="1"/>
  <c r="BL46" i="3"/>
  <c r="AZ46" i="3" s="1"/>
  <c r="AZ90" i="3"/>
  <c r="BL78" i="3"/>
  <c r="AZ78" i="3" s="1"/>
  <c r="BA83" i="3"/>
  <c r="G91" i="3"/>
  <c r="BL95" i="3"/>
  <c r="AZ95" i="3" s="1"/>
  <c r="BL98" i="3"/>
  <c r="AZ98" i="3" s="1"/>
  <c r="BL109" i="3"/>
  <c r="AB21" i="21"/>
  <c r="G77" i="3"/>
  <c r="BA81" i="3"/>
  <c r="BA85" i="3"/>
  <c r="AZ85" i="3" s="1"/>
  <c r="BL89" i="3"/>
  <c r="AZ89" i="3" s="1"/>
  <c r="G94" i="3"/>
  <c r="G97" i="3"/>
  <c r="G100" i="3"/>
  <c r="BA107" i="3"/>
  <c r="AZ107" i="3" s="1"/>
  <c r="BA112" i="3"/>
  <c r="AC21" i="34"/>
  <c r="E27" i="71"/>
  <c r="E26" i="71" s="1"/>
  <c r="V28" i="71"/>
  <c r="BA76" i="3"/>
  <c r="AZ76" i="3" s="1"/>
  <c r="BL80" i="3"/>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J26" i="43" s="1"/>
  <c r="E29" i="6"/>
  <c r="K15" i="1" s="1"/>
  <c r="E28" i="6"/>
  <c r="M6" i="1"/>
  <c r="O6" i="1"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P11" i="1"/>
  <c r="K14" i="1"/>
  <c r="AZ13" i="3"/>
  <c r="O9" i="1"/>
  <c r="P9" i="1" s="1"/>
  <c r="O12" i="1"/>
  <c r="P12" i="1" s="1"/>
  <c r="O8" i="1"/>
  <c r="P8" i="1" s="1"/>
  <c r="H73" i="43"/>
  <c r="H90" i="43"/>
  <c r="I18" i="43"/>
  <c r="E17" i="43" s="1"/>
  <c r="C17" i="43" s="1"/>
  <c r="H55" i="43"/>
  <c r="H86" i="43"/>
  <c r="H87" i="43"/>
  <c r="H89" i="43"/>
  <c r="H88" i="43"/>
  <c r="H84" i="43"/>
  <c r="C69" i="39"/>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B20" i="31"/>
  <c r="B21" i="31" s="1"/>
  <c r="I1" i="73"/>
  <c r="B39" i="1" s="1"/>
  <c r="Q71" i="67"/>
  <c r="B13" i="70"/>
  <c r="M7" i="67"/>
  <c r="F50" i="67"/>
  <c r="D6" i="73"/>
  <c r="F8" i="67"/>
  <c r="M9" i="15"/>
  <c r="J15" i="67"/>
  <c r="F16" i="67"/>
  <c r="C36" i="69"/>
  <c r="F13" i="67"/>
  <c r="F38" i="15"/>
  <c r="L48" i="67"/>
  <c r="F38" i="67"/>
  <c r="J15" i="15"/>
  <c r="D5" i="73"/>
  <c r="F37" i="67"/>
  <c r="D3" i="73"/>
  <c r="F37" i="15"/>
  <c r="M6" i="67"/>
  <c r="M26" i="67"/>
  <c r="F9" i="67"/>
  <c r="F36" i="67"/>
  <c r="F6" i="15"/>
  <c r="L47" i="15"/>
  <c r="D4" i="73"/>
  <c r="L48" i="15"/>
  <c r="F9" i="15"/>
  <c r="F16" i="15"/>
  <c r="L47" i="67"/>
  <c r="F40" i="67"/>
  <c r="M29" i="67"/>
  <c r="D9" i="69"/>
  <c r="M28" i="67"/>
  <c r="M28" i="15"/>
  <c r="M22" i="15"/>
  <c r="F8" i="15"/>
  <c r="F42" i="15"/>
  <c r="M23" i="15"/>
  <c r="F7" i="15"/>
  <c r="F36" i="15"/>
  <c r="F43" i="15"/>
  <c r="F6" i="67"/>
  <c r="F40" i="15"/>
  <c r="F13" i="15"/>
  <c r="F42" i="67"/>
  <c r="F26" i="15"/>
  <c r="F26" i="67"/>
  <c r="M26" i="15"/>
  <c r="M24" i="67"/>
  <c r="M29" i="15"/>
  <c r="M24" i="15"/>
  <c r="F43" i="67"/>
  <c r="C76" i="15"/>
  <c r="M6" i="15"/>
  <c r="D7" i="73"/>
  <c r="E13" i="6" l="1"/>
  <c r="D19" i="12"/>
  <c r="C19" i="12" s="1"/>
  <c r="E12" i="6"/>
  <c r="E57" i="40" s="1"/>
  <c r="A1" i="79"/>
  <c r="D9" i="11"/>
  <c r="C9" i="11" s="1"/>
  <c r="E14" i="6"/>
  <c r="E63" i="39" s="1"/>
  <c r="E10" i="6"/>
  <c r="E11" i="6"/>
  <c r="E60" i="39" s="1"/>
  <c r="E8" i="6"/>
  <c r="F27" i="6" s="1"/>
  <c r="E15" i="6"/>
  <c r="E64" i="39" s="1"/>
  <c r="P26" i="43"/>
  <c r="AC34" i="21"/>
  <c r="C77" i="9"/>
  <c r="C74" i="9" s="1"/>
  <c r="W42" i="21"/>
  <c r="S42" i="21"/>
  <c r="AC37" i="21"/>
  <c r="AB37" i="21"/>
  <c r="W36" i="21"/>
  <c r="AA36" i="21"/>
  <c r="O23" i="43"/>
  <c r="C28" i="15"/>
  <c r="U27" i="21"/>
  <c r="L59" i="15"/>
  <c r="Q74" i="15" s="1"/>
  <c r="N59" i="15"/>
  <c r="M59" i="15"/>
  <c r="F64" i="67"/>
  <c r="M7" i="15"/>
  <c r="J6" i="15" s="1"/>
  <c r="F50" i="15"/>
  <c r="U31" i="40"/>
  <c r="AB31" i="40"/>
  <c r="AZ93" i="3"/>
  <c r="AZ145" i="3"/>
  <c r="AZ158" i="3"/>
  <c r="AZ117" i="3"/>
  <c r="AZ396" i="3"/>
  <c r="AZ474" i="3"/>
  <c r="AZ68" i="3"/>
  <c r="AZ58" i="3"/>
  <c r="AZ49" i="3"/>
  <c r="AZ181" i="3"/>
  <c r="AZ73" i="3"/>
  <c r="AZ59" i="3"/>
  <c r="AZ38" i="3"/>
  <c r="AZ219" i="3"/>
  <c r="AZ386" i="3"/>
  <c r="AZ412" i="3"/>
  <c r="AZ543" i="3"/>
  <c r="S27" i="21"/>
  <c r="AB42" i="21"/>
  <c r="AZ240" i="3"/>
  <c r="AZ400" i="3"/>
  <c r="AZ257" i="3"/>
  <c r="AA35" i="39"/>
  <c r="S35" i="39"/>
  <c r="AA31" i="40"/>
  <c r="S31" i="40"/>
  <c r="AC43" i="21"/>
  <c r="W43" i="21"/>
  <c r="D63" i="40"/>
  <c r="E63" i="40" s="1"/>
  <c r="L19" i="6"/>
  <c r="L27" i="6" s="1"/>
  <c r="AZ33" i="3"/>
  <c r="AZ23" i="3"/>
  <c r="AZ141" i="3"/>
  <c r="AZ114" i="3"/>
  <c r="D39" i="71"/>
  <c r="AZ57" i="3"/>
  <c r="AZ86" i="3"/>
  <c r="AZ61" i="3"/>
  <c r="AZ48" i="3"/>
  <c r="AZ64" i="3"/>
  <c r="AZ18" i="3"/>
  <c r="AZ269" i="3"/>
  <c r="AZ259" i="3"/>
  <c r="AZ236" i="3"/>
  <c r="AZ228" i="3"/>
  <c r="AZ284" i="3"/>
  <c r="AZ277" i="3"/>
  <c r="AZ256" i="3"/>
  <c r="AZ397" i="3"/>
  <c r="AZ488" i="3"/>
  <c r="AZ440" i="3"/>
  <c r="AZ227" i="3"/>
  <c r="AZ404" i="3"/>
  <c r="F52" i="9"/>
  <c r="F28" i="67"/>
  <c r="C28" i="67" s="1"/>
  <c r="S37" i="21"/>
  <c r="AZ222" i="3"/>
  <c r="AZ265" i="3"/>
  <c r="U14" i="34"/>
  <c r="AB14" i="34"/>
  <c r="S14" i="39"/>
  <c r="AA14" i="39"/>
  <c r="C70" i="71"/>
  <c r="D70" i="71" s="1"/>
  <c r="D71" i="71"/>
  <c r="AC25" i="37"/>
  <c r="W25" i="37"/>
  <c r="AB27" i="34"/>
  <c r="U27" i="34"/>
  <c r="AZ80" i="3"/>
  <c r="AZ81" i="3"/>
  <c r="AZ109" i="3"/>
  <c r="AZ83" i="3"/>
  <c r="AZ138" i="3"/>
  <c r="AZ481" i="3"/>
  <c r="AZ101" i="3"/>
  <c r="AZ56" i="3"/>
  <c r="AZ198" i="3"/>
  <c r="AZ162" i="3"/>
  <c r="AZ69" i="3"/>
  <c r="AZ465" i="3"/>
  <c r="AZ367" i="3"/>
  <c r="AZ403" i="3"/>
  <c r="AZ423" i="3"/>
  <c r="AZ458" i="3"/>
  <c r="F32" i="15"/>
  <c r="F60" i="15" s="1"/>
  <c r="F32" i="67"/>
  <c r="F60" i="67" s="1"/>
  <c r="AZ82" i="3"/>
  <c r="U12" i="36"/>
  <c r="AB12" i="36"/>
  <c r="S30" i="21"/>
  <c r="AA30" i="21"/>
  <c r="C36" i="68"/>
  <c r="N370" i="46"/>
  <c r="F68" i="67"/>
  <c r="F65" i="67"/>
  <c r="J57" i="67"/>
  <c r="J55" i="67" s="1"/>
  <c r="J58" i="67" s="1"/>
  <c r="Q50" i="67" s="1"/>
  <c r="L56" i="67"/>
  <c r="I54" i="67"/>
  <c r="J53" i="67"/>
  <c r="F1" i="67" s="1"/>
  <c r="L59" i="67"/>
  <c r="Q74" i="67" s="1"/>
  <c r="L58" i="67"/>
  <c r="Q73" i="67" s="1"/>
  <c r="M59" i="67"/>
  <c r="N59" i="67"/>
  <c r="C27" i="67"/>
  <c r="F66" i="67"/>
  <c r="AZ275" i="3"/>
  <c r="N65" i="71"/>
  <c r="N66" i="71"/>
  <c r="AB36" i="35"/>
  <c r="U36" i="35"/>
  <c r="AC40" i="37"/>
  <c r="W40" i="37"/>
  <c r="AB44" i="39"/>
  <c r="U44" i="39"/>
  <c r="W28" i="33"/>
  <c r="AC28" i="33"/>
  <c r="AC9" i="33"/>
  <c r="W9" i="33"/>
  <c r="H26" i="43"/>
  <c r="E59" i="40"/>
  <c r="AZ170" i="3"/>
  <c r="AZ482" i="3"/>
  <c r="AZ317" i="3"/>
  <c r="AZ254" i="3"/>
  <c r="AZ118" i="3"/>
  <c r="AZ272" i="3"/>
  <c r="AZ249" i="3"/>
  <c r="AZ218" i="3"/>
  <c r="AZ457" i="3"/>
  <c r="P67" i="71"/>
  <c r="E66" i="71"/>
  <c r="AA27" i="37"/>
  <c r="S27" i="37"/>
  <c r="AA28" i="33"/>
  <c r="S28" i="33"/>
  <c r="G89" i="2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W7" i="37" s="1"/>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417"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B15" i="71" s="1"/>
  <c r="B14" i="71" s="1"/>
  <c r="B13" i="71" s="1"/>
  <c r="B12"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AA26" i="37"/>
  <c r="S26" i="37"/>
  <c r="BA5" i="3"/>
  <c r="E27" i="6" s="1"/>
  <c r="K26" i="6" s="1"/>
  <c r="M26" i="6" s="1"/>
  <c r="I26" i="6" s="1"/>
  <c r="S26" i="6" s="1"/>
  <c r="W40" i="40"/>
  <c r="AC40" i="40"/>
  <c r="AC12" i="21"/>
  <c r="W12" i="21"/>
  <c r="AB12" i="21"/>
  <c r="U12" i="21"/>
  <c r="AA27" i="34"/>
  <c r="S27" i="34"/>
  <c r="AC26" i="37"/>
  <c r="W26" i="37"/>
  <c r="BL5" i="3"/>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C9" i="69"/>
  <c r="C9" i="68"/>
  <c r="E72" i="43"/>
  <c r="B70" i="43" s="1"/>
  <c r="E60" i="40"/>
  <c r="F31" i="6"/>
  <c r="E51" i="40"/>
  <c r="E16" i="6"/>
  <c r="E58" i="40"/>
  <c r="E62" i="39"/>
  <c r="M14" i="1"/>
  <c r="D5" i="43"/>
  <c r="C7" i="43"/>
  <c r="C5" i="43" s="1"/>
  <c r="D10" i="52"/>
  <c r="D125" i="9"/>
  <c r="D11" i="52" s="1"/>
  <c r="B7" i="74"/>
  <c r="C7" i="74" s="1"/>
  <c r="H7" i="37"/>
  <c r="AB7" i="37" s="1"/>
  <c r="T42" i="37" s="1"/>
  <c r="G42" i="37" s="1"/>
  <c r="H7" i="33"/>
  <c r="J7" i="33"/>
  <c r="F48" i="35"/>
  <c r="F7" i="33"/>
  <c r="E58" i="21"/>
  <c r="F7" i="37"/>
  <c r="M17" i="67"/>
  <c r="P28" i="43"/>
  <c r="B66" i="40" s="1"/>
  <c r="P25" i="43"/>
  <c r="P29" i="43"/>
  <c r="P27" i="43"/>
  <c r="B70" i="39" s="1"/>
  <c r="M11" i="67"/>
  <c r="J10" i="67" s="1"/>
  <c r="F11" i="15"/>
  <c r="M11" i="15"/>
  <c r="J10" i="15" s="1"/>
  <c r="F11" i="67"/>
  <c r="C32" i="15"/>
  <c r="AE11" i="1"/>
  <c r="AE9" i="1"/>
  <c r="AE7" i="1"/>
  <c r="AE8" i="1"/>
  <c r="AE12" i="1"/>
  <c r="AE10" i="1"/>
  <c r="AE6" i="1"/>
  <c r="C16" i="15"/>
  <c r="C16" i="67"/>
  <c r="F27" i="69"/>
  <c r="F41" i="67"/>
  <c r="G1" i="73"/>
  <c r="E56" i="40" l="1"/>
  <c r="D65" i="40"/>
  <c r="F27" i="11"/>
  <c r="C29" i="11" s="1"/>
  <c r="D27" i="11" s="1"/>
  <c r="M17" i="15"/>
  <c r="W7" i="36"/>
  <c r="E211" i="3"/>
  <c r="E162" i="3"/>
  <c r="E514" i="3"/>
  <c r="E533" i="3"/>
  <c r="E321" i="3"/>
  <c r="E227" i="3"/>
  <c r="E551" i="3"/>
  <c r="E134" i="3"/>
  <c r="E236" i="3"/>
  <c r="Q61" i="15"/>
  <c r="F59" i="15"/>
  <c r="F27" i="68"/>
  <c r="C47" i="68" s="1"/>
  <c r="D45" i="68" s="1"/>
  <c r="S16" i="71"/>
  <c r="E191" i="3"/>
  <c r="K6" i="3"/>
  <c r="E458" i="3"/>
  <c r="AA7" i="36"/>
  <c r="R36" i="36" s="1"/>
  <c r="R37" i="36" s="1"/>
  <c r="AC7" i="37"/>
  <c r="V42" i="37" s="1"/>
  <c r="I42" i="37" s="1"/>
  <c r="E200" i="3"/>
  <c r="E69" i="3"/>
  <c r="E322" i="3"/>
  <c r="E400" i="3"/>
  <c r="E454" i="3"/>
  <c r="E77" i="3"/>
  <c r="E185" i="3"/>
  <c r="E305" i="3"/>
  <c r="E269" i="3"/>
  <c r="E382" i="3"/>
  <c r="E334" i="3"/>
  <c r="E128" i="3"/>
  <c r="E291" i="3"/>
  <c r="E385" i="3"/>
  <c r="E387" i="3"/>
  <c r="E109" i="3"/>
  <c r="E327" i="3"/>
  <c r="E465" i="3"/>
  <c r="E495" i="3"/>
  <c r="E439" i="3"/>
  <c r="E441" i="3"/>
  <c r="E111" i="3"/>
  <c r="E415" i="3"/>
  <c r="E581" i="3"/>
  <c r="E159" i="3"/>
  <c r="E118" i="3"/>
  <c r="E487" i="3"/>
  <c r="E296" i="3"/>
  <c r="E445" i="3"/>
  <c r="E431" i="3"/>
  <c r="E489" i="3"/>
  <c r="E214" i="3"/>
  <c r="AK6" i="3"/>
  <c r="E361" i="3"/>
  <c r="E410" i="3"/>
  <c r="E505" i="3"/>
  <c r="E85" i="3"/>
  <c r="E239" i="3"/>
  <c r="E429" i="3"/>
  <c r="O6" i="3"/>
  <c r="F10" i="40"/>
  <c r="S10" i="40" s="1"/>
  <c r="AA10" i="39"/>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384" i="3"/>
  <c r="E27" i="3"/>
  <c r="E478" i="3"/>
  <c r="E31" i="3"/>
  <c r="E450" i="3"/>
  <c r="E193" i="3"/>
  <c r="E583" i="3"/>
  <c r="E290" i="3"/>
  <c r="E230" i="3"/>
  <c r="E151" i="3"/>
  <c r="E553" i="3"/>
  <c r="E166" i="3"/>
  <c r="P6" i="3"/>
  <c r="E394" i="3"/>
  <c r="E481" i="3"/>
  <c r="AA6" i="3"/>
  <c r="E17" i="3"/>
  <c r="E523" i="3"/>
  <c r="E501" i="3"/>
  <c r="E71" i="3"/>
  <c r="E207" i="3"/>
  <c r="E471" i="3"/>
  <c r="E157" i="3"/>
  <c r="E187" i="3"/>
  <c r="E66" i="3"/>
  <c r="E266" i="3"/>
  <c r="E48" i="3"/>
  <c r="E312" i="3"/>
  <c r="E348" i="3"/>
  <c r="E365" i="3"/>
  <c r="E123" i="3"/>
  <c r="E194" i="3"/>
  <c r="L6" i="3"/>
  <c r="E463" i="3"/>
  <c r="E507" i="3"/>
  <c r="E16" i="3"/>
  <c r="E324" i="3"/>
  <c r="E41" i="3"/>
  <c r="E408" i="3"/>
  <c r="E205" i="3"/>
  <c r="E235" i="3"/>
  <c r="E381" i="3"/>
  <c r="E56" i="3"/>
  <c r="E411" i="3"/>
  <c r="E208" i="3"/>
  <c r="E529" i="3"/>
  <c r="E127" i="3"/>
  <c r="E459" i="3"/>
  <c r="E542" i="3"/>
  <c r="E149" i="3"/>
  <c r="E520" i="3"/>
  <c r="E386" i="3"/>
  <c r="E141" i="3"/>
  <c r="E364" i="3"/>
  <c r="E325" i="3"/>
  <c r="E473" i="3"/>
  <c r="E178" i="3"/>
  <c r="E376" i="3"/>
  <c r="E105" i="3"/>
  <c r="E232" i="3"/>
  <c r="E356" i="3"/>
  <c r="E497" i="3"/>
  <c r="E525" i="3"/>
  <c r="AF6" i="3"/>
  <c r="E391" i="3"/>
  <c r="E64" i="3"/>
  <c r="E51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31" i="3"/>
  <c r="E447" i="3"/>
  <c r="E515" i="3"/>
  <c r="E318" i="3"/>
  <c r="E571" i="3"/>
  <c r="E45" i="3"/>
  <c r="E336" i="3"/>
  <c r="E117" i="3"/>
  <c r="E294" i="3"/>
  <c r="E229" i="3"/>
  <c r="E366" i="3"/>
  <c r="E121" i="3"/>
  <c r="E448" i="3"/>
  <c r="E256" i="3"/>
  <c r="E437" i="3"/>
  <c r="E280" i="3"/>
  <c r="E565" i="3"/>
  <c r="S6" i="3"/>
  <c r="E319" i="3"/>
  <c r="E403" i="3"/>
  <c r="E196" i="3"/>
  <c r="E537" i="3"/>
  <c r="E352" i="3"/>
  <c r="E413" i="3"/>
  <c r="E163" i="3"/>
  <c r="E375" i="3"/>
  <c r="E354" i="3"/>
  <c r="E244" i="3"/>
  <c r="E90" i="3"/>
  <c r="E265" i="3"/>
  <c r="E112" i="3"/>
  <c r="E170" i="3"/>
  <c r="E372" i="3"/>
  <c r="E401" i="3"/>
  <c r="E427" i="3"/>
  <c r="E329" i="3"/>
  <c r="E220" i="3"/>
  <c r="E26" i="3"/>
  <c r="E512" i="3"/>
  <c r="E22" i="3"/>
  <c r="E174" i="3"/>
  <c r="E233" i="3"/>
  <c r="E212" i="3"/>
  <c r="E575" i="3"/>
  <c r="I3" i="6"/>
  <c r="E192" i="3"/>
  <c r="E409" i="3"/>
  <c r="E267" i="3"/>
  <c r="E67" i="3"/>
  <c r="E63" i="3"/>
  <c r="E198" i="3"/>
  <c r="E42" i="3"/>
  <c r="E96" i="3"/>
  <c r="E383" i="3"/>
  <c r="E206" i="3"/>
  <c r="R6" i="3"/>
  <c r="E435" i="3"/>
  <c r="E241" i="3"/>
  <c r="E425" i="3"/>
  <c r="E300" i="3"/>
  <c r="E144" i="3"/>
  <c r="E264"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541" i="3"/>
  <c r="E363" i="3"/>
  <c r="E310" i="3"/>
  <c r="E309" i="3"/>
  <c r="E482" i="3"/>
  <c r="E86"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443" i="3"/>
  <c r="E404" i="3"/>
  <c r="E295" i="3"/>
  <c r="E480" i="3"/>
  <c r="E282" i="3"/>
  <c r="E569" i="3"/>
  <c r="E358" i="3"/>
  <c r="E407" i="3"/>
  <c r="E130" i="3"/>
  <c r="E260" i="3"/>
  <c r="E61" i="3"/>
  <c r="E518" i="3"/>
  <c r="E253" i="3"/>
  <c r="E511" i="3"/>
  <c r="E519" i="3"/>
  <c r="E457" i="3"/>
  <c r="E433" i="3"/>
  <c r="E279" i="3"/>
  <c r="E567" i="3"/>
  <c r="E107" i="3"/>
  <c r="E414" i="3"/>
  <c r="E476" i="3"/>
  <c r="E186" i="3"/>
  <c r="E44" i="3"/>
  <c r="E449" i="3"/>
  <c r="E76" i="3"/>
  <c r="E23" i="3"/>
  <c r="E21" i="3"/>
  <c r="E18" i="3"/>
  <c r="E34"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AE6" i="3"/>
  <c r="E203" i="3"/>
  <c r="E32" i="3"/>
  <c r="AG6" i="3"/>
  <c r="E558" i="3"/>
  <c r="E88" i="3"/>
  <c r="E316" i="3"/>
  <c r="E125" i="3"/>
  <c r="N6" i="3"/>
  <c r="E396" i="3"/>
  <c r="E559" i="3"/>
  <c r="E320" i="3"/>
  <c r="E114" i="3"/>
  <c r="E550" i="3"/>
  <c r="E245" i="3"/>
  <c r="E293" i="3"/>
  <c r="E453" i="3"/>
  <c r="E99" i="3"/>
  <c r="E573" i="3"/>
  <c r="E562" i="3"/>
  <c r="E72" i="3"/>
  <c r="E351" i="3"/>
  <c r="E549" i="3"/>
  <c r="E585" i="3"/>
  <c r="E477" i="3"/>
  <c r="E378" i="3"/>
  <c r="E248" i="3"/>
  <c r="E131"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210" i="3"/>
  <c r="AS6" i="3"/>
  <c r="E271" i="3"/>
  <c r="E150" i="3"/>
  <c r="E527" i="3"/>
  <c r="E314" i="3"/>
  <c r="E578" i="3"/>
  <c r="E395" i="3"/>
  <c r="V6" i="3"/>
  <c r="E516" i="3"/>
  <c r="E30" i="3"/>
  <c r="E444" i="3"/>
  <c r="E252" i="3"/>
  <c r="E496" i="3"/>
  <c r="E120" i="3"/>
  <c r="E303" i="3"/>
  <c r="E298" i="3"/>
  <c r="E359" i="3"/>
  <c r="E317" i="3"/>
  <c r="E548" i="3"/>
  <c r="E357" i="3"/>
  <c r="E474" i="3"/>
  <c r="E82" i="3"/>
  <c r="E195" i="3"/>
  <c r="E374" i="3"/>
  <c r="E464" i="3"/>
  <c r="E110" i="3"/>
  <c r="E24" i="3"/>
  <c r="E552" i="3"/>
  <c r="E20" i="3"/>
  <c r="E392" i="3"/>
  <c r="E15" i="3"/>
  <c r="E226" i="3"/>
  <c r="AH6" i="3"/>
  <c r="E393" i="3"/>
  <c r="E80" i="3"/>
  <c r="E428" i="3"/>
  <c r="E13" i="3"/>
  <c r="T6" i="3"/>
  <c r="E102" i="3"/>
  <c r="AL6" i="3"/>
  <c r="E103" i="3"/>
  <c r="E199" i="3"/>
  <c r="F67" i="39"/>
  <c r="G67" i="39" s="1"/>
  <c r="Q52" i="67"/>
  <c r="Q61" i="67"/>
  <c r="Q60" i="67"/>
  <c r="H89" i="21"/>
  <c r="I89" i="21" s="1"/>
  <c r="J89" i="21" s="1"/>
  <c r="K89" i="21" s="1"/>
  <c r="L89" i="21" s="1"/>
  <c r="M89" i="21" s="1"/>
  <c r="F26" i="21"/>
  <c r="P65" i="71"/>
  <c r="P66" i="71"/>
  <c r="AZ5" i="3"/>
  <c r="AY6" i="3" s="1"/>
  <c r="D26" i="43"/>
  <c r="C25" i="43" s="1"/>
  <c r="C33" i="43" s="1"/>
  <c r="Q73" i="15"/>
  <c r="J18" i="15"/>
  <c r="C48" i="11"/>
  <c r="C30" i="11"/>
  <c r="C47" i="69"/>
  <c r="D45" i="69" s="1"/>
  <c r="C29" i="69"/>
  <c r="D27" i="69" s="1"/>
  <c r="F45" i="69"/>
  <c r="H10" i="39"/>
  <c r="U10" i="39" s="1"/>
  <c r="H10" i="40"/>
  <c r="AB10" i="40" s="1"/>
  <c r="J10" i="40"/>
  <c r="AC10" i="40" s="1"/>
  <c r="F59" i="67"/>
  <c r="J10" i="39"/>
  <c r="W10" i="39" s="1"/>
  <c r="E389" i="3"/>
  <c r="E95" i="3"/>
  <c r="E554" i="3"/>
  <c r="E442" i="3"/>
  <c r="E536" i="3"/>
  <c r="J5" i="15"/>
  <c r="J24" i="15" s="1"/>
  <c r="F1" i="15"/>
  <c r="C49" i="15"/>
  <c r="Q52" i="15"/>
  <c r="U7" i="36"/>
  <c r="J5" i="67"/>
  <c r="J24" i="67" s="1"/>
  <c r="E494" i="3"/>
  <c r="E283" i="3"/>
  <c r="E68" i="3"/>
  <c r="E184" i="3"/>
  <c r="E84" i="3"/>
  <c r="E371" i="3"/>
  <c r="E160" i="3"/>
  <c r="E467" i="3"/>
  <c r="E59" i="3"/>
  <c r="E349" i="3"/>
  <c r="E258" i="3"/>
  <c r="E37" i="3"/>
  <c r="E491" i="3"/>
  <c r="AP6" i="3"/>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D3" i="21"/>
  <c r="C39" i="43"/>
  <c r="C42" i="43"/>
  <c r="E42" i="43" s="1"/>
  <c r="C38" i="43"/>
  <c r="U7" i="37"/>
  <c r="I53" i="34"/>
  <c r="J53" i="34" s="1"/>
  <c r="F58" i="21"/>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10" i="15"/>
  <c r="C5" i="15" s="1"/>
  <c r="C38" i="15" s="1"/>
  <c r="M27" i="15"/>
  <c r="M27" i="67"/>
  <c r="F41" i="15"/>
  <c r="C47" i="11" l="1"/>
  <c r="D45" i="11" s="1"/>
  <c r="F69" i="39"/>
  <c r="AY176" i="3"/>
  <c r="AY297" i="3"/>
  <c r="AY289" i="3"/>
  <c r="AY441" i="3"/>
  <c r="AY342"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507" i="3"/>
  <c r="AY275" i="3"/>
  <c r="AY480" i="3"/>
  <c r="AY536" i="3"/>
  <c r="AY519" i="3"/>
  <c r="AY189" i="3"/>
  <c r="AY266" i="3"/>
  <c r="AY313" i="3"/>
  <c r="AY453" i="3"/>
  <c r="AY579" i="3"/>
  <c r="AY509" i="3"/>
  <c r="AY94" i="3"/>
  <c r="AY167" i="3"/>
  <c r="AY221" i="3"/>
  <c r="AY466" i="3"/>
  <c r="AY512" i="3"/>
  <c r="AY27" i="3"/>
  <c r="AY273" i="3"/>
  <c r="AY323" i="3"/>
  <c r="AY550" i="3"/>
  <c r="AY205" i="3"/>
  <c r="AY321" i="3"/>
  <c r="AY399" i="3"/>
  <c r="AY110" i="3"/>
  <c r="AY216" i="3"/>
  <c r="AY528" i="3"/>
  <c r="AY288" i="3"/>
  <c r="AY413" i="3"/>
  <c r="AY113" i="3"/>
  <c r="AY479" i="3"/>
  <c r="AY522" i="3"/>
  <c r="AY19" i="3"/>
  <c r="AY315" i="3"/>
  <c r="AY71" i="3"/>
  <c r="AY386" i="3"/>
  <c r="BT6" i="3"/>
  <c r="AY115" i="3"/>
  <c r="AY225" i="3"/>
  <c r="AY261" i="3"/>
  <c r="AY26" i="3"/>
  <c r="AY310" i="3"/>
  <c r="AY553" i="3"/>
  <c r="AY60" i="3"/>
  <c r="AY170" i="3"/>
  <c r="AY299" i="3"/>
  <c r="AY246" i="3"/>
  <c r="AY357" i="3"/>
  <c r="AY41" i="3"/>
  <c r="AY114" i="3"/>
  <c r="AY377" i="3"/>
  <c r="AY491" i="3"/>
  <c r="AY414" i="3"/>
  <c r="AY561" i="3"/>
  <c r="AY16" i="3"/>
  <c r="AY237" i="3"/>
  <c r="AY269" i="3"/>
  <c r="AY535" i="3"/>
  <c r="AY68" i="3"/>
  <c r="AY117" i="3"/>
  <c r="AY365" i="3"/>
  <c r="AY130" i="3"/>
  <c r="AY308" i="3"/>
  <c r="AY516" i="3"/>
  <c r="AY496" i="3"/>
  <c r="AY132" i="3"/>
  <c r="AY412" i="3"/>
  <c r="AY326" i="3"/>
  <c r="AY105" i="3"/>
  <c r="AY162" i="3"/>
  <c r="AY238" i="3"/>
  <c r="AY72" i="3"/>
  <c r="AY370" i="3"/>
  <c r="AY406" i="3"/>
  <c r="AY543" i="3"/>
  <c r="AY65" i="3"/>
  <c r="AY137" i="3"/>
  <c r="AY380" i="3"/>
  <c r="AY312" i="3"/>
  <c r="AY426" i="3"/>
  <c r="AY14" i="3"/>
  <c r="AY570" i="3"/>
  <c r="AY46" i="3"/>
  <c r="AY285" i="3"/>
  <c r="AY362" i="3"/>
  <c r="AY437" i="3"/>
  <c r="AY91" i="3"/>
  <c r="AY148" i="3"/>
  <c r="AY224" i="3"/>
  <c r="AY490" i="3"/>
  <c r="AY511" i="3"/>
  <c r="AY298" i="3"/>
  <c r="AY492" i="3"/>
  <c r="AY575" i="3"/>
  <c r="AY203" i="3"/>
  <c r="AY330" i="3"/>
  <c r="AY39" i="3"/>
  <c r="AY375" i="3"/>
  <c r="AY567" i="3"/>
  <c r="AY396" i="3"/>
  <c r="AY434" i="3"/>
  <c r="AY545" i="3"/>
  <c r="AY301" i="3"/>
  <c r="AY408" i="3"/>
  <c r="AY164" i="3"/>
  <c r="AY477" i="3"/>
  <c r="AY276" i="3"/>
  <c r="AY50" i="3"/>
  <c r="AY473" i="3"/>
  <c r="AY372" i="3"/>
  <c r="AY549" i="3"/>
  <c r="AY77" i="3"/>
  <c r="AY206" i="3"/>
  <c r="AY149" i="3"/>
  <c r="AY263" i="3"/>
  <c r="AY392" i="3"/>
  <c r="BJ6" i="3"/>
  <c r="AY274" i="3"/>
  <c r="AY317" i="3"/>
  <c r="AY457" i="3"/>
  <c r="AY581" i="3"/>
  <c r="AY546" i="3"/>
  <c r="AY188" i="3"/>
  <c r="AY335" i="3"/>
  <c r="AY209" i="3"/>
  <c r="AY260" i="3"/>
  <c r="AY420" i="3"/>
  <c r="AY97" i="3"/>
  <c r="AY44" i="3"/>
  <c r="AY154" i="3"/>
  <c r="AY283" i="3"/>
  <c r="AY230" i="3"/>
  <c r="AY360" i="3"/>
  <c r="AY56" i="3"/>
  <c r="AY295" i="3"/>
  <c r="AY353" i="3"/>
  <c r="AY475" i="3"/>
  <c r="AY398" i="3"/>
  <c r="AY534" i="3"/>
  <c r="AY501" i="3"/>
  <c r="AY387" i="3"/>
  <c r="AY244" i="3"/>
  <c r="AY562" i="3"/>
  <c r="AY36" i="3"/>
  <c r="AY302" i="3"/>
  <c r="BS6" i="3"/>
  <c r="AY279" i="3"/>
  <c r="AY467" i="3"/>
  <c r="BN6" i="3"/>
  <c r="AY577" i="3"/>
  <c r="AY31" i="3"/>
  <c r="AY497" i="3"/>
  <c r="AY478" i="3"/>
  <c r="AY100" i="3"/>
  <c r="AY173" i="3"/>
  <c r="AY227" i="3"/>
  <c r="AY29" i="3"/>
  <c r="AY341" i="3"/>
  <c r="AY419" i="3"/>
  <c r="AY584" i="3"/>
  <c r="AY80" i="3"/>
  <c r="AY129" i="3"/>
  <c r="AY369" i="3"/>
  <c r="AY487" i="3"/>
  <c r="AY410" i="3"/>
  <c r="D3" i="6"/>
  <c r="M19" i="9" s="1"/>
  <c r="C118" i="9" s="1"/>
  <c r="B2" i="74" s="1"/>
  <c r="AY531" i="3"/>
  <c r="AY35" i="3"/>
  <c r="AY280" i="3"/>
  <c r="AY331" i="3"/>
  <c r="AY405" i="3"/>
  <c r="AY86" i="3"/>
  <c r="AY159" i="3"/>
  <c r="AY213" i="3"/>
  <c r="AY459" i="3"/>
  <c r="AY504" i="3"/>
  <c r="AY235" i="3"/>
  <c r="AY461" i="3"/>
  <c r="AY537" i="3"/>
  <c r="AY140" i="3"/>
  <c r="AY482" i="3"/>
  <c r="AY22" i="3"/>
  <c r="AY339" i="3"/>
  <c r="AY64" i="3"/>
  <c r="AY361" i="3"/>
  <c r="AY402" i="3"/>
  <c r="BP6" i="3"/>
  <c r="AY265" i="3"/>
  <c r="AY500" i="3"/>
  <c r="AY143" i="3"/>
  <c r="AY443" i="3"/>
  <c r="AY197" i="3"/>
  <c r="AY171" i="3"/>
  <c r="AY566" i="3"/>
  <c r="AY563" i="3"/>
  <c r="AY99" i="3"/>
  <c r="AY572" i="3"/>
  <c r="AY291" i="3"/>
  <c r="AY393" i="3"/>
  <c r="AY555" i="3"/>
  <c r="AY359" i="3"/>
  <c r="AY233" i="3"/>
  <c r="AY38" i="3"/>
  <c r="AY468" i="3"/>
  <c r="AY368" i="3"/>
  <c r="AY422" i="3"/>
  <c r="AY240" i="3"/>
  <c r="AY538" i="3"/>
  <c r="AY136" i="3"/>
  <c r="AY431" i="3"/>
  <c r="AY354" i="3"/>
  <c r="AY469" i="3"/>
  <c r="AY565" i="3"/>
  <c r="AY251" i="3"/>
  <c r="AY483" i="3"/>
  <c r="AY52" i="3"/>
  <c r="AY81" i="3"/>
  <c r="AY57" i="3"/>
  <c r="AY311" i="3"/>
  <c r="AY153" i="3"/>
  <c r="AY32" i="3"/>
  <c r="AY156" i="3"/>
  <c r="AY582" i="3"/>
  <c r="AY229" i="3"/>
  <c r="AY178" i="3"/>
  <c r="AY62" i="3"/>
  <c r="AY432" i="3"/>
  <c r="AY429" i="3"/>
  <c r="AY560" i="3"/>
  <c r="AY329" i="3"/>
  <c r="AY220" i="3"/>
  <c r="AY107" i="3"/>
  <c r="AY320" i="3"/>
  <c r="AY13" i="3"/>
  <c r="AY352" i="3"/>
  <c r="AY277" i="3"/>
  <c r="AY232" i="3"/>
  <c r="AY407" i="3"/>
  <c r="AY194" i="3"/>
  <c r="AY121" i="3"/>
  <c r="AY557" i="3"/>
  <c r="AY559" i="3"/>
  <c r="AY254" i="3"/>
  <c r="AY444" i="3"/>
  <c r="E36" i="36"/>
  <c r="H26" i="21"/>
  <c r="J26" i="21"/>
  <c r="I46" i="37"/>
  <c r="J46" i="37" s="1"/>
  <c r="G47" i="37"/>
  <c r="H47" i="37" s="1"/>
  <c r="W10" i="40"/>
  <c r="E49" i="34"/>
  <c r="E54" i="34" s="1"/>
  <c r="F54" i="34" s="1"/>
  <c r="F45" i="68"/>
  <c r="C29" i="68"/>
  <c r="D27" i="68" s="1"/>
  <c r="AC6" i="3"/>
  <c r="AA10" i="40"/>
  <c r="U10" i="40"/>
  <c r="H6" i="3"/>
  <c r="AC10" i="39"/>
  <c r="AB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18" i="4"/>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14" i="67"/>
  <c r="C34" i="69"/>
  <c r="C17" i="67"/>
  <c r="C17" i="15"/>
  <c r="D10" i="69"/>
  <c r="D21" i="6" l="1"/>
  <c r="L19" i="9"/>
  <c r="E61" i="40"/>
  <c r="D9" i="6"/>
  <c r="D28" i="6"/>
  <c r="E53" i="34"/>
  <c r="F53" i="34" s="1"/>
  <c r="D5" i="6"/>
  <c r="D22" i="6"/>
  <c r="R22" i="6" s="1"/>
  <c r="R9" i="1" s="1"/>
  <c r="AC26" i="21"/>
  <c r="W26" i="21"/>
  <c r="AB26" i="21"/>
  <c r="U26" i="21"/>
  <c r="E6" i="3"/>
  <c r="H24" i="6"/>
  <c r="D13" i="6"/>
  <c r="D23" i="6"/>
  <c r="D29" i="6"/>
  <c r="D30" i="6" s="1"/>
  <c r="D14" i="6"/>
  <c r="D20" i="6"/>
  <c r="D15" i="6"/>
  <c r="H26" i="6"/>
  <c r="D11" i="6"/>
  <c r="D8" i="6"/>
  <c r="D24" i="6"/>
  <c r="D25" i="6"/>
  <c r="D12" i="6"/>
  <c r="D19" i="6"/>
  <c r="D10" i="6"/>
  <c r="D26" i="6"/>
  <c r="C26" i="69"/>
  <c r="D22" i="69" s="1"/>
  <c r="H22" i="6"/>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H21" i="6"/>
  <c r="R21" i="6" s="1"/>
  <c r="R8" i="1" s="1"/>
  <c r="C26" i="11"/>
  <c r="D22" i="11" s="1"/>
  <c r="H25" i="6"/>
  <c r="C19" i="71"/>
  <c r="T20" i="71"/>
  <c r="D20" i="71"/>
  <c r="U20" i="71" s="1"/>
  <c r="C18" i="67"/>
  <c r="C15" i="67"/>
  <c r="H23" i="6"/>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C15" i="12"/>
  <c r="C12" i="12"/>
  <c r="D8" i="74"/>
  <c r="D7" i="74"/>
  <c r="C10" i="69"/>
  <c r="C8" i="69" s="1"/>
  <c r="D19" i="69"/>
  <c r="F50" i="69"/>
  <c r="F50" i="11"/>
  <c r="F50" i="68"/>
  <c r="C4" i="52"/>
  <c r="B45"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D16" i="6" l="1"/>
  <c r="R24" i="6"/>
  <c r="R11" i="1" s="1"/>
  <c r="R20" i="6"/>
  <c r="R7" i="1" s="1"/>
  <c r="R23" i="6"/>
  <c r="R10" i="1" s="1"/>
  <c r="D27" i="6"/>
  <c r="D31" i="6" s="1"/>
  <c r="R26" i="6"/>
  <c r="R25" i="6"/>
  <c r="R12" i="1" s="1"/>
  <c r="C24" i="11"/>
  <c r="A7" i="51"/>
  <c r="B7" i="72" s="1"/>
  <c r="A10" i="51"/>
  <c r="B9" i="72" s="1"/>
  <c r="C25" i="11"/>
  <c r="D10" i="11"/>
  <c r="C10" i="11" s="1"/>
  <c r="D6" i="6"/>
  <c r="D20" i="12"/>
  <c r="C20" i="12" s="1"/>
  <c r="C18" i="12" s="1"/>
  <c r="D10" i="68"/>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E2" i="76"/>
  <c r="B2" i="76"/>
  <c r="I69" i="39"/>
  <c r="J67" i="39"/>
  <c r="I63" i="40"/>
  <c r="H65" i="40"/>
  <c r="I58" i="21"/>
  <c r="J58" i="21" s="1"/>
  <c r="K58" i="21" s="1"/>
  <c r="L58" i="21" s="1"/>
  <c r="M58" i="21" s="1"/>
  <c r="N58" i="21" s="1"/>
  <c r="O58" i="21" s="1"/>
  <c r="H7" i="21" s="1"/>
  <c r="J48" i="35"/>
  <c r="C22" i="11" l="1"/>
  <c r="C31" i="11" s="1"/>
  <c r="C21" i="12"/>
  <c r="C22" i="12" s="1"/>
  <c r="C10" i="68"/>
  <c r="D19" i="68"/>
  <c r="C17" i="71"/>
  <c r="D18" i="71"/>
  <c r="F7" i="21"/>
  <c r="S7" i="21" s="1"/>
  <c r="J7" i="21"/>
  <c r="AC7" i="21" s="1"/>
  <c r="V48" i="21" s="1"/>
  <c r="I48" i="21" s="1"/>
  <c r="C23" i="67"/>
  <c r="C29" i="67" s="1"/>
  <c r="J59" i="67" s="1"/>
  <c r="J60" i="67" s="1"/>
  <c r="Q48" i="67" s="1"/>
  <c r="C19" i="15"/>
  <c r="C20" i="15" s="1"/>
  <c r="C26" i="15" s="1"/>
  <c r="C38" i="11"/>
  <c r="C35" i="11"/>
  <c r="H27" i="6"/>
  <c r="R19" i="6"/>
  <c r="C39" i="69"/>
  <c r="C43" i="69" s="1"/>
  <c r="C42" i="69"/>
  <c r="B3" i="76"/>
  <c r="J69" i="39"/>
  <c r="K67" i="39"/>
  <c r="U7" i="21"/>
  <c r="AB7" i="21"/>
  <c r="T48" i="21" s="1"/>
  <c r="G48" i="21" s="1"/>
  <c r="J63" i="40"/>
  <c r="I65" i="40"/>
  <c r="K48" i="35"/>
  <c r="L48" i="35" s="1"/>
  <c r="M48" i="35" s="1"/>
  <c r="N48" i="35" s="1"/>
  <c r="O48" i="35" s="1"/>
  <c r="H7" i="35" s="1"/>
  <c r="C27" i="12" l="1"/>
  <c r="C25" i="12" s="1"/>
  <c r="C30" i="12"/>
  <c r="C28" i="12"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L67" i="39"/>
  <c r="K69" i="39"/>
  <c r="J65" i="40"/>
  <c r="K63" i="40"/>
  <c r="I52" i="21"/>
  <c r="J52" i="21" s="1"/>
  <c r="U7" i="35"/>
  <c r="AB7" i="35"/>
  <c r="T38" i="35" s="1"/>
  <c r="G38" i="35" s="1"/>
  <c r="G52" i="21"/>
  <c r="H52" i="21" s="1"/>
  <c r="G53" i="21"/>
  <c r="H53" i="21" s="1"/>
  <c r="F7" i="35"/>
  <c r="F35" i="67"/>
  <c r="F35" i="15"/>
  <c r="M21" i="15"/>
  <c r="M21" i="67"/>
  <c r="C32" i="12" l="1"/>
  <c r="B2" i="12" s="1"/>
  <c r="B3" i="12" s="1"/>
  <c r="C46" i="68"/>
  <c r="C45" i="68" s="1"/>
  <c r="C42" i="68"/>
  <c r="C41" i="68" s="1"/>
  <c r="C20" i="68"/>
  <c r="C24" i="68"/>
  <c r="E48" i="21"/>
  <c r="E53" i="21" s="1"/>
  <c r="F53" i="21" s="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49" i="68" l="1"/>
  <c r="C51" i="68" s="1"/>
  <c r="C28" i="68"/>
  <c r="C27" i="68" s="1"/>
  <c r="C25" i="68"/>
  <c r="C22" i="68" s="1"/>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C13" i="7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D2" i="33"/>
  <c r="L51" i="67"/>
  <c r="B2" i="68" l="1"/>
  <c r="B3" i="68" s="1"/>
  <c r="C102" i="9"/>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D2" i="34"/>
  <c r="L51" i="15"/>
  <c r="D2" i="35"/>
  <c r="C20" i="9"/>
  <c r="C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AO7" i="1"/>
  <c r="AO9" i="1"/>
  <c r="AO10" i="1"/>
  <c r="AO11" i="1"/>
  <c r="C10" i="71" l="1"/>
  <c r="D11" i="71"/>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s="1"/>
  <c r="C23" i="69" l="1"/>
  <c r="C20" i="69"/>
  <c r="C25" i="69" s="1"/>
  <c r="C22" i="69" l="1"/>
  <c r="C28" i="69"/>
  <c r="C27" i="69" s="1"/>
  <c r="C31" i="69" l="1"/>
  <c r="C52" i="69" s="1"/>
  <c r="B2" i="69" s="1"/>
  <c r="AO6" i="1"/>
  <c r="B3" i="69"/>
  <c r="D19" i="9"/>
  <c r="D20" i="9"/>
  <c r="B6" i="70" l="1"/>
  <c r="B2" i="70" s="1"/>
  <c r="B3" i="70" s="1"/>
  <c r="C57" i="69"/>
  <c r="C56" i="69" s="1"/>
  <c r="D102" i="9"/>
  <c r="G19" i="9"/>
  <c r="D14" i="74" s="1"/>
  <c r="D22" i="9"/>
  <c r="D21" i="9"/>
  <c r="D103" i="9"/>
  <c r="G20" i="9"/>
  <c r="C32" i="9" s="1"/>
  <c r="C35" i="9" s="1"/>
  <c r="C34" i="9" s="1"/>
  <c r="G21" i="9" l="1"/>
  <c r="B5" i="74"/>
  <c r="D5" i="74" s="1"/>
  <c r="E14" i="74"/>
  <c r="F14" i="74"/>
  <c r="B20" i="72" l="1"/>
  <c r="C73" i="9"/>
  <c r="P57" i="9"/>
  <c r="N58" i="9"/>
  <c r="H5" i="52"/>
  <c r="C78" i="9"/>
  <c r="D52" i="9"/>
  <c r="D53" i="9"/>
  <c r="C6" i="74"/>
  <c r="H4" i="52"/>
  <c r="C104" i="9"/>
  <c r="H119" i="9"/>
  <c r="C93" i="9"/>
  <c r="C86" i="9"/>
  <c r="B30" i="72"/>
  <c r="B51" i="72"/>
  <c r="C105" i="9"/>
  <c r="I4" i="52"/>
  <c r="B48" i="72"/>
  <c r="M54" i="9"/>
  <c r="C81" i="9"/>
  <c r="M55" i="9"/>
  <c r="D54" i="9"/>
  <c r="B21" i="72"/>
  <c r="M48" i="9"/>
  <c r="G4" i="52"/>
  <c r="B52" i="72"/>
  <c r="F4" i="52"/>
  <c r="E4" i="52"/>
  <c r="D56" i="9"/>
  <c r="D59" i="9"/>
  <c r="C68" i="9"/>
  <c r="D5" i="53"/>
  <c r="D6" i="53"/>
  <c r="B22" i="72"/>
  <c r="B53" i="72"/>
  <c r="D8" i="52"/>
  <c r="N60" i="9"/>
  <c r="N59" i="9"/>
  <c r="N61" i="9"/>
  <c r="E81" i="9"/>
  <c r="D7" i="53"/>
  <c r="H102" i="9"/>
  <c r="C5" i="74"/>
  <c r="C96" i="9"/>
  <c r="E96" i="9"/>
  <c r="E97" i="9"/>
  <c r="H108" i="9"/>
  <c r="D15" i="53"/>
  <c r="B31" i="72"/>
  <c r="C72" i="9"/>
  <c r="C79" i="9"/>
  <c r="C80" i="9"/>
  <c r="E80" i="9"/>
  <c r="D119" i="9"/>
  <c r="D5" i="52"/>
  <c r="B49" i="72"/>
  <c r="G118" i="9"/>
  <c r="F118" i="9"/>
  <c r="F119" i="9"/>
  <c r="F5" i="52"/>
  <c r="C85" i="9"/>
  <c r="C95" i="9"/>
  <c r="C97" i="9"/>
  <c r="D58" i="9"/>
  <c r="C64" i="9"/>
  <c r="C63" i="9"/>
  <c r="C67" i="9"/>
  <c r="D122" i="9"/>
  <c r="D123" i="9"/>
  <c r="D9" i="52"/>
  <c r="H107" i="9"/>
  <c r="D13" i="53"/>
  <c r="D14" i="53"/>
  <c r="B32" i="72"/>
  <c r="E118" i="9"/>
  <c r="D118" i="9"/>
  <c r="D4" i="52"/>
  <c r="B47" i="72"/>
  <c r="I118" i="9"/>
  <c r="H118" i="9"/>
  <c r="H101" i="9"/>
  <c r="D45" i="9"/>
  <c r="D55" i="9"/>
  <c r="M53" i="9"/>
  <c r="N5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刘朝阳</author>
    <author>vampire</author>
  </authors>
  <commentList>
    <comment ref="AW25" authorId="0" shapeId="0">
      <text>
        <r>
          <rPr>
            <b/>
            <sz val="9"/>
            <color indexed="81"/>
            <rFont val="宋体"/>
            <family val="3"/>
            <charset val="134"/>
          </rPr>
          <t>填写交易证明的类型，分为商品房合同、预售契约、买卖契约、认购书。</t>
        </r>
      </text>
    </comment>
    <comment ref="AX25"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5" authorId="0" shapeId="0">
      <text>
        <r>
          <rPr>
            <b/>
            <sz val="9"/>
            <color indexed="81"/>
            <rFont val="宋体"/>
            <family val="3"/>
            <charset val="134"/>
          </rPr>
          <t>填写数值型数据，保留小数点后一位。</t>
        </r>
      </text>
    </comment>
    <comment ref="BG25" authorId="0" shapeId="0">
      <text>
        <r>
          <rPr>
            <b/>
            <sz val="9"/>
            <color indexed="81"/>
            <rFont val="宋体"/>
            <family val="3"/>
            <charset val="134"/>
          </rPr>
          <t>此项填写合同日期，无合同日期填写预售登记日期，均无则在备注中注明</t>
        </r>
      </text>
    </comment>
    <comment ref="BH25" authorId="0" shapeId="0">
      <text>
        <r>
          <rPr>
            <b/>
            <sz val="9"/>
            <color indexed="81"/>
            <rFont val="宋体"/>
            <family val="3"/>
            <charset val="134"/>
          </rPr>
          <t>在补充过程中发现合同遗漏的项目，不能正常补充的需注明。</t>
        </r>
      </text>
    </comment>
    <comment ref="BL25" authorId="1" shapeId="0">
      <text>
        <r>
          <rPr>
            <b/>
            <sz val="9"/>
            <color indexed="81"/>
            <rFont val="宋体"/>
            <family val="3"/>
            <charset val="134"/>
          </rPr>
          <t>销售方式分为现售和预售两种方式</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<sst xmlns="http://schemas.openxmlformats.org/spreadsheetml/2006/main" count="8977" uniqueCount="4058">
  <si>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</si>
  <si>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</si>
  <si>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</si>
  <si>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</si>
  <si>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</si>
  <si>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</si>
  <si>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</si>
  <si>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</si>
  <si>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</si>
  <si>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</si>
  <si>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</si>
  <si>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</si>
  <si>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</si>
  <si>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</si>
  <si>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</si>
  <si>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</si>
  <si>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</si>
  <si>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</si>
  <si>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</si>
  <si>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</si>
  <si>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</si>
  <si>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</si>
  <si>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</si>
  <si>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</si>
  <si>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</si>
  <si>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</si>
  <si>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</si>
  <si>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</si>
  <si>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</si>
  <si>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</si>
  <si>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</si>
  <si>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</si>
  <si>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</si>
  <si>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</si>
  <si>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</si>
  <si>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</si>
  <si>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</si>
  <si>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</si>
  <si>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</si>
  <si>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</si>
  <si>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</si>
  <si>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</si>
  <si>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</si>
  <si>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</si>
  <si>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</si>
  <si>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</si>
  <si>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</si>
  <si>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</si>
  <si>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</si>
  <si>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</si>
  <si>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</si>
  <si>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</si>
  <si>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</si>
  <si>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</si>
  <si>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</si>
  <si>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</si>
  <si>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</si>
  <si>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</si>
  <si>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</si>
  <si>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</si>
  <si>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</si>
  <si>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</si>
  <si>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</si>
  <si>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</si>
  <si>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</si>
  <si>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</si>
  <si>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</si>
  <si>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</si>
  <si>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</si>
  <si>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</si>
  <si>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</si>
  <si>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</si>
  <si>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</si>
  <si>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</si>
  <si>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</si>
  <si>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</si>
  <si>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</si>
  <si>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</si>
  <si>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</si>
  <si>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</si>
  <si>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</si>
  <si>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</si>
  <si>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</si>
  <si>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</si>
  <si>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</si>
  <si>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</si>
  <si>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</si>
  <si>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</si>
  <si>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</si>
  <si>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</si>
  <si>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</si>
  <si>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</si>
  <si>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</si>
  <si>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</si>
  <si>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</si>
  <si>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</si>
  <si>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</si>
  <si>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</si>
  <si>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</si>
  <si>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</si>
  <si>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</si>
  <si>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</si>
  <si>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</si>
  <si>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</si>
  <si>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</si>
  <si>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</si>
  <si>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</si>
  <si>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</si>
  <si>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</si>
  <si>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</si>
  <si>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</si>
  <si>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</si>
  <si>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</si>
  <si>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</si>
  <si>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</si>
  <si>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</si>
  <si>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</si>
  <si>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</si>
  <si>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</si>
  <si>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</si>
  <si>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</si>
  <si>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</si>
  <si>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</si>
  <si>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</si>
  <si>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</si>
  <si>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</si>
  <si>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</si>
  <si>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</si>
  <si>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</si>
  <si>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</si>
  <si>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</si>
  <si>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</si>
  <si>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</si>
  <si>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</si>
  <si>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</si>
  <si>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</si>
  <si>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</si>
  <si>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</si>
  <si>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</si>
  <si>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</si>
  <si>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</si>
  <si>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</si>
  <si>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</si>
  <si>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</si>
  <si>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</si>
  <si>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</si>
  <si>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</si>
  <si>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</si>
  <si>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</si>
  <si>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</si>
  <si>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</si>
  <si>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</si>
  <si>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</si>
  <si>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</si>
  <si>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</si>
  <si>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</si>
  <si>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</si>
  <si>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</si>
  <si>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</si>
  <si>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</si>
  <si>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</si>
  <si>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</si>
  <si>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</si>
  <si>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</si>
  <si>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</si>
  <si>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</si>
  <si>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</si>
  <si>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</si>
  <si>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</si>
  <si>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</si>
  <si>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</si>
  <si>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</si>
  <si>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</si>
  <si>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</si>
  <si>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</si>
  <si>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</si>
  <si>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</si>
  <si>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</si>
  <si>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</si>
  <si>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</si>
  <si>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</si>
  <si>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</si>
  <si>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</si>
  <si>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</si>
  <si>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</si>
  <si>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</si>
  <si>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</si>
  <si>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</si>
  <si>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</si>
  <si>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</si>
  <si>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</si>
  <si>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</si>
  <si>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</si>
  <si>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</si>
  <si>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</si>
  <si>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</si>
  <si>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</si>
  <si>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</si>
  <si>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</si>
  <si>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</si>
  <si>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</si>
  <si>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</si>
  <si>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</si>
  <si>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</si>
  <si>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</si>
  <si>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</si>
  <si>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</si>
  <si>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</si>
  <si>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</si>
  <si>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</si>
  <si>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</si>
  <si>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</si>
  <si>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</si>
  <si>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</si>
  <si>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</si>
  <si>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</si>
  <si>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</si>
  <si>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</si>
  <si>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</si>
  <si>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</si>
  <si>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</si>
  <si>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</si>
  <si>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</si>
  <si>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</si>
  <si>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</si>
  <si>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</si>
  <si>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</si>
  <si>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</si>
  <si>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</si>
  <si>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</si>
  <si>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</si>
  <si>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</si>
  <si>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</si>
  <si>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</si>
  <si>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</si>
  <si>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</si>
  <si>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</si>
  <si>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</si>
  <si>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</si>
  <si>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</si>
  <si>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</si>
  <si>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</si>
  <si>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</si>
  <si>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</si>
  <si>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</si>
  <si>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</si>
  <si>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</si>
  <si>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</si>
  <si>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</si>
  <si>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</si>
  <si>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</si>
  <si>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</si>
  <si>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</si>
  <si>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</si>
  <si>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</si>
  <si>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</si>
  <si>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</si>
  <si>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</si>
  <si>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</si>
  <si>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</si>
  <si>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</si>
  <si>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</si>
  <si>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</si>
  <si>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</si>
  <si>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</si>
  <si>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</si>
  <si>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</si>
  <si>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</si>
  <si>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</si>
  <si>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</si>
  <si>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</si>
  <si>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</si>
  <si>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</si>
  <si>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</si>
  <si>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</si>
  <si>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</si>
  <si>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</si>
  <si>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</si>
  <si>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</si>
  <si>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</si>
  <si>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</si>
  <si>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</si>
  <si>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</si>
  <si>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</si>
  <si>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</si>
  <si>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</si>
  <si>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</si>
  <si>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</si>
  <si>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</si>
  <si>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</si>
  <si>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</si>
  <si>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</si>
  <si>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</si>
  <si>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</si>
  <si>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</si>
  <si>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</si>
  <si>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</si>
  <si>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</si>
  <si>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</si>
  <si>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</si>
  <si>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</si>
  <si>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</si>
  <si>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</si>
  <si>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</si>
  <si>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</si>
  <si>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</si>
  <si>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</si>
  <si>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</si>
  <si>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</si>
  <si>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</si>
  <si>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</si>
  <si>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</si>
  <si>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</si>
  <si>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</si>
  <si>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</si>
  <si>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</si>
  <si>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</si>
  <si>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</si>
  <si>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</si>
  <si>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</si>
  <si>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</si>
  <si>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</si>
  <si>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</si>
  <si>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</si>
  <si>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</si>
  <si>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</si>
  <si>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</si>
  <si>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</si>
  <si>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</si>
  <si>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</si>
  <si>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</si>
  <si>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</si>
  <si>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</si>
  <si>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</si>
  <si>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</si>
  <si>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</si>
  <si>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</si>
  <si>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</si>
  <si>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</si>
  <si>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</si>
  <si>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</si>
  <si>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</si>
  <si>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</si>
  <si>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</si>
  <si>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</si>
  <si>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</si>
  <si>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</si>
  <si>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</si>
  <si>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</si>
  <si>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</si>
  <si>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</si>
  <si>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</si>
  <si>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</si>
  <si>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</si>
  <si>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</si>
  <si>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</si>
  <si>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</si>
  <si>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</si>
  <si>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</si>
  <si>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</si>
  <si>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</si>
  <si>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</si>
  <si>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</si>
  <si>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</si>
  <si>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</si>
  <si>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</si>
  <si>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</si>
  <si>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</si>
  <si>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</si>
  <si>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</si>
  <si>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</si>
  <si>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</si>
  <si>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</si>
  <si>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</si>
  <si>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</si>
  <si>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</si>
  <si>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</si>
  <si>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</si>
  <si>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</si>
  <si>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</si>
  <si>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</si>
  <si>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</si>
  <si>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</si>
  <si>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</si>
  <si>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</si>
  <si>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</si>
  <si>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</si>
  <si>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</si>
  <si>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</si>
  <si>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</si>
  <si>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</si>
  <si>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</si>
  <si>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</si>
  <si>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</si>
  <si>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</si>
  <si>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</si>
  <si>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</si>
  <si>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</si>
  <si>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</si>
  <si>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</si>
  <si>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</si>
  <si>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</si>
  <si>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</si>
  <si>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</si>
  <si>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</si>
  <si>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</si>
  <si>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</si>
  <si>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</si>
  <si>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</si>
  <si>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</si>
  <si>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</si>
  <si>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</si>
  <si>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</si>
  <si>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</si>
  <si>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</si>
  <si>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</si>
  <si>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</si>
  <si>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</si>
  <si>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</si>
  <si>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</si>
  <si>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</si>
  <si>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</si>
  <si>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</si>
  <si>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</si>
  <si>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</si>
  <si>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</si>
  <si>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</si>
  <si>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</si>
  <si>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</si>
  <si>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</si>
  <si>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</si>
  <si>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</si>
  <si>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</si>
  <si>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</si>
  <si>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</si>
  <si>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</si>
  <si>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</si>
  <si>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</si>
  <si>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</si>
  <si>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</si>
  <si>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</si>
  <si>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</si>
  <si>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</si>
  <si>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</si>
  <si>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</si>
  <si>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</si>
  <si>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</si>
  <si>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</si>
  <si>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</si>
  <si>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</si>
  <si>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</si>
  <si>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</si>
  <si>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</si>
  <si>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</si>
  <si>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</si>
  <si>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</si>
  <si>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</si>
  <si>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</si>
  <si>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</si>
  <si>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</si>
  <si>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</si>
  <si>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</si>
  <si>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</si>
  <si>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</si>
  <si>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</si>
  <si>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</si>
  <si>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</si>
  <si>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</si>
  <si>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</si>
  <si>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</si>
  <si>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</si>
  <si>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</si>
  <si>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</si>
  <si>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</si>
  <si>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</si>
  <si>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</si>
  <si>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</si>
  <si>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</si>
  <si>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</si>
  <si>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</si>
  <si>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</si>
  <si>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</si>
  <si>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</si>
  <si>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</si>
  <si>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</si>
  <si>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</si>
  <si>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</si>
  <si>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</si>
  <si>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</si>
  <si>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</si>
  <si>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</si>
  <si>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</si>
  <si>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</si>
  <si>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</si>
  <si>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</si>
  <si>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</si>
  <si>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</si>
  <si>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</si>
  <si>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</si>
  <si>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</si>
  <si>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</si>
  <si>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</si>
  <si>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</si>
  <si>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</si>
  <si>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</si>
  <si>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</si>
  <si>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</si>
  <si>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</si>
  <si>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</si>
  <si>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</si>
  <si>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</si>
  <si>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</si>
  <si>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</si>
  <si>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</si>
  <si>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</si>
  <si>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</si>
  <si>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</si>
  <si>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</si>
  <si>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</si>
  <si>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</si>
  <si>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</si>
  <si>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</si>
  <si>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</si>
  <si>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</si>
  <si>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</si>
  <si>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</si>
  <si>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</si>
  <si>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</si>
  <si>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</si>
  <si>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</si>
  <si>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</si>
  <si>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</si>
  <si>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</si>
  <si>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</si>
  <si>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</si>
  <si>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</si>
  <si>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</si>
  <si>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</si>
  <si>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</si>
  <si>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</si>
  <si>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</si>
  <si>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</si>
  <si>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</si>
  <si>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</si>
  <si>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</si>
  <si>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</si>
  <si>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</si>
  <si>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</si>
  <si>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</si>
  <si>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</si>
  <si>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</si>
  <si>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</si>
  <si>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</si>
  <si>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</si>
  <si>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</si>
  <si>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</si>
  <si>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</si>
  <si>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</si>
  <si>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</si>
  <si>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</si>
  <si>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</si>
  <si>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</si>
  <si>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</si>
  <si>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</si>
  <si>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</si>
  <si>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</si>
  <si>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</si>
  <si>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</si>
  <si>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</si>
  <si>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</si>
  <si>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</si>
  <si>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</si>
  <si>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</si>
  <si>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</si>
  <si>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</si>
  <si>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</si>
  <si>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</si>
  <si>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</si>
  <si>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</si>
  <si>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</si>
  <si>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</si>
  <si>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</si>
  <si>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</si>
  <si>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</si>
  <si>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</si>
  <si>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</si>
  <si>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</si>
  <si>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</si>
  <si>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</si>
  <si>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</si>
  <si>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</si>
  <si>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</si>
  <si>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</si>
  <si>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</si>
  <si>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</si>
  <si>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</si>
  <si>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</si>
  <si>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</si>
  <si>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</si>
  <si>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</si>
  <si>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</si>
  <si>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</si>
  <si>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</si>
  <si>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</si>
  <si>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</si>
  <si>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</si>
  <si>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</si>
  <si>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</si>
  <si>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</si>
  <si>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</si>
  <si>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</si>
  <si>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</si>
  <si>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</si>
  <si>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</si>
  <si>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</si>
  <si>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</si>
  <si>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</si>
  <si>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</si>
  <si>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</si>
  <si>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</si>
  <si>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</si>
  <si>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</si>
  <si>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</si>
  <si>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</si>
  <si>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</si>
  <si>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</si>
  <si>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</si>
  <si>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</si>
  <si>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</si>
  <si>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</si>
  <si>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</si>
  <si>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</si>
  <si>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</si>
  <si>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</si>
  <si>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</si>
  <si>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</si>
  <si>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</si>
  <si>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</si>
  <si>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</si>
  <si>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</si>
  <si>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</si>
  <si>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</si>
  <si>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</si>
  <si>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</si>
  <si>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</si>
  <si>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</si>
  <si>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</si>
  <si>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</si>
  <si>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</si>
  <si>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</si>
  <si>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</si>
  <si>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</si>
  <si>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</si>
  <si>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</si>
  <si>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</si>
  <si>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</si>
  <si>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</si>
  <si>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</si>
  <si>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</si>
  <si>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</si>
  <si>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</si>
  <si>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</si>
  <si>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</si>
  <si>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</si>
  <si>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</si>
  <si>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</si>
  <si>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</si>
  <si>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</si>
  <si>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</si>
  <si>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</si>
  <si>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</si>
  <si>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</si>
  <si>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</si>
  <si>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</si>
  <si>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</si>
  <si>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</si>
  <si>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</si>
  <si>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</si>
  <si>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</si>
  <si>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</si>
  <si>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</si>
  <si>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</si>
  <si>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</si>
  <si>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</si>
  <si>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</si>
  <si>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</si>
  <si>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</si>
  <si>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</si>
  <si>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</si>
  <si>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</si>
  <si>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</si>
  <si>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</si>
  <si>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</si>
  <si>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</si>
  <si>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</si>
  <si>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</si>
  <si>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</si>
  <si>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</si>
  <si>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</si>
  <si>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</si>
  <si>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</si>
  <si>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</si>
  <si>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</si>
  <si>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</si>
  <si>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</si>
  <si>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</si>
  <si>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</si>
  <si>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</si>
  <si>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</si>
  <si>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</si>
  <si>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</si>
  <si>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</si>
  <si>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</si>
  <si>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</si>
  <si>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</si>
  <si>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</si>
  <si>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</si>
  <si>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</si>
  <si>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</si>
  <si>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</si>
  <si>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</si>
  <si>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</si>
  <si>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</si>
  <si>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</si>
  <si>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</si>
  <si>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</si>
  <si>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</si>
  <si>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</si>
  <si>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</si>
  <si>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</si>
  <si>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</si>
  <si>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</si>
  <si>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</si>
  <si>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</si>
  <si>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</si>
  <si>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</si>
  <si>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</si>
  <si>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</si>
  <si>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</si>
  <si>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</si>
  <si>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</si>
  <si>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</si>
  <si>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</si>
  <si>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</si>
  <si>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</si>
  <si>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</si>
  <si>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</si>
  <si>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</si>
  <si>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</si>
  <si>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</si>
  <si>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</si>
  <si>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</si>
  <si>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</si>
  <si>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</si>
  <si>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</si>
  <si>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</si>
  <si>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</si>
  <si>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</si>
  <si>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</si>
  <si>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</si>
  <si>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</si>
  <si>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</si>
  <si>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</si>
  <si>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</si>
  <si>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</si>
  <si>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</si>
  <si>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</si>
  <si>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</si>
  <si>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</si>
  <si>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</si>
  <si>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</si>
  <si>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</si>
  <si>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</si>
  <si>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</si>
  <si>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</si>
  <si>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</si>
  <si>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</si>
  <si>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</si>
  <si>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</si>
  <si>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</si>
  <si>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</si>
  <si>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</si>
  <si>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</si>
  <si>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</si>
  <si>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</si>
  <si>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</si>
  <si>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</si>
  <si>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</si>
  <si>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</si>
  <si>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</si>
  <si>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</si>
  <si>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</si>
  <si>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</si>
  <si>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</si>
  <si>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</si>
  <si>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</si>
  <si>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</si>
  <si>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</si>
  <si>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</si>
  <si>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</si>
  <si>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</si>
  <si>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</si>
  <si>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</si>
  <si>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</si>
  <si>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</si>
  <si>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</si>
  <si>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</si>
  <si>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</si>
  <si>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</si>
  <si>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</si>
  <si>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</si>
  <si>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</si>
  <si>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</si>
  <si>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</si>
  <si>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</si>
  <si>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</si>
  <si>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</si>
  <si>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</si>
  <si>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</si>
  <si>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</si>
  <si>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</si>
  <si>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</si>
  <si>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</si>
  <si>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</si>
  <si>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</si>
  <si>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</si>
  <si>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</si>
  <si>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</si>
  <si>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</si>
  <si>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</si>
  <si>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</si>
  <si>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</si>
  <si>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</si>
  <si>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</si>
  <si>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</si>
  <si>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</si>
  <si>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</si>
  <si>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</si>
  <si>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</si>
  <si>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</si>
  <si>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</si>
  <si>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</si>
  <si>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</si>
  <si>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</si>
  <si>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</si>
  <si>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</si>
  <si>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</si>
  <si>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</si>
  <si>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</si>
  <si>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</si>
  <si>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</si>
  <si>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</si>
  <si>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</si>
  <si>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</si>
  <si>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</si>
  <si>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</si>
  <si>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</si>
  <si>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</si>
  <si>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</si>
  <si>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</si>
  <si>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</si>
  <si>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</si>
  <si>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</si>
  <si>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</si>
  <si>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</si>
  <si>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</si>
  <si>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</si>
  <si>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</si>
  <si>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</si>
  <si>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</si>
  <si>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</si>
  <si>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</si>
  <si>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</si>
  <si>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</si>
  <si>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</si>
  <si>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</si>
  <si>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</si>
  <si>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</si>
  <si>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</si>
  <si>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</si>
  <si>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</si>
  <si>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</si>
  <si>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</si>
  <si>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</si>
  <si>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</si>
  <si>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</si>
  <si>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</si>
  <si>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</si>
  <si>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</si>
  <si>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</si>
  <si>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</si>
  <si>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</si>
  <si>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</si>
  <si>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</si>
  <si>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</si>
  <si>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</si>
  <si>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</si>
  <si>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</si>
  <si>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</si>
  <si>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</si>
  <si>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</si>
  <si>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</si>
  <si>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</si>
  <si>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</si>
  <si>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</si>
  <si>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</si>
  <si>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</si>
  <si>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</si>
  <si>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</si>
  <si>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</si>
  <si>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</si>
  <si>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</si>
  <si>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</si>
  <si>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</si>
  <si>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</si>
  <si>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</si>
  <si>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</si>
  <si>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</si>
  <si>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</si>
  <si>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</si>
  <si>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</si>
  <si>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</si>
  <si>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</si>
  <si>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</si>
  <si>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</si>
  <si>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</si>
  <si>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</si>
  <si>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</si>
  <si>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</si>
  <si>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</si>
  <si>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</si>
  <si>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</si>
  <si>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</si>
  <si>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</si>
  <si>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</si>
  <si>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</si>
  <si>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</si>
  <si>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</si>
  <si>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</si>
  <si>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</si>
  <si>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</si>
  <si>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</si>
  <si>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</si>
  <si>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</si>
  <si>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</si>
  <si>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</si>
  <si>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</si>
  <si>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</si>
  <si>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</si>
  <si>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</si>
  <si>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</si>
  <si>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</si>
  <si>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</si>
  <si>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</si>
  <si>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</si>
  <si>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</si>
  <si>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</si>
  <si>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</si>
  <si>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</si>
  <si>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</si>
  <si>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</si>
  <si>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</si>
  <si>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</si>
  <si>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</si>
  <si>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</si>
  <si>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</si>
  <si>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</si>
  <si>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</si>
  <si>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</si>
  <si>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</si>
  <si>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</si>
  <si>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</si>
  <si>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</si>
  <si>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</si>
  <si>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</si>
  <si>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</si>
  <si>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</si>
  <si>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</si>
  <si>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</si>
  <si>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</si>
  <si>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</si>
  <si>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</si>
  <si>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</si>
  <si>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</si>
  <si>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</si>
  <si>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</si>
  <si>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</si>
  <si>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</si>
  <si>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</si>
  <si>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</si>
  <si>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</si>
  <si>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</si>
  <si>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</si>
  <si>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</si>
  <si>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</si>
  <si>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</si>
  <si>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</si>
  <si>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</si>
  <si>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</si>
  <si>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</si>
  <si>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</si>
  <si>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</si>
  <si>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</si>
  <si>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</si>
  <si>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</si>
  <si>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</si>
  <si>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</si>
  <si>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</si>
  <si>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</si>
  <si>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</si>
  <si>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</si>
  <si>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</si>
  <si>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</si>
  <si>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</si>
  <si>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</si>
  <si>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</si>
  <si>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</si>
  <si>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</si>
  <si>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</si>
  <si>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</si>
  <si>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</si>
  <si>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</si>
  <si>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</si>
  <si>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</si>
  <si>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</si>
  <si>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</si>
  <si>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</si>
  <si>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</si>
  <si>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</si>
  <si>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</si>
  <si>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</si>
  <si>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</si>
  <si>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</si>
  <si>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</si>
  <si>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</si>
  <si>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</si>
  <si>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</si>
  <si>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</si>
  <si>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</si>
  <si>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</si>
  <si>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</si>
  <si>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</si>
  <si>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</si>
  <si>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</si>
  <si>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</si>
  <si>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</si>
  <si>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</si>
  <si>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</si>
  <si>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</si>
  <si>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</si>
  <si>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</si>
  <si>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</si>
  <si>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</si>
  <si>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</si>
  <si>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</si>
  <si>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</si>
  <si>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</si>
  <si>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</si>
  <si>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</si>
  <si>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</si>
  <si>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</si>
  <si>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</si>
  <si>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</si>
  <si>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</si>
  <si>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</si>
  <si>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</si>
  <si>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</si>
  <si>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</si>
  <si>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</si>
  <si>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</si>
  <si>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</si>
  <si>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</si>
  <si>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</si>
  <si>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</si>
  <si>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</si>
  <si>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</si>
  <si>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</si>
  <si>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</si>
  <si>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</si>
  <si>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</si>
  <si>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</si>
  <si>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</si>
  <si>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</si>
  <si>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</si>
  <si>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</si>
  <si>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</si>
  <si>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</si>
  <si>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</si>
  <si>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</si>
  <si>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</si>
  <si>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</si>
  <si>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</si>
  <si>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</si>
  <si>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</si>
  <si>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</si>
  <si>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</si>
  <si>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</si>
  <si>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</si>
  <si>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</si>
  <si>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</si>
  <si>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</si>
  <si>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</si>
  <si>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</si>
  <si>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</si>
  <si>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</si>
  <si>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</si>
  <si>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</si>
  <si>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</si>
  <si>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</si>
  <si>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</si>
  <si>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</si>
  <si>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</si>
  <si>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</si>
  <si>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</si>
  <si>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</si>
  <si>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</si>
  <si>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</si>
  <si>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</si>
  <si>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</si>
  <si>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</si>
  <si>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</si>
  <si>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</si>
  <si>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</si>
  <si>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</si>
  <si>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</si>
  <si>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</si>
  <si>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</si>
  <si>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</si>
  <si>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</si>
  <si>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</si>
  <si>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</si>
  <si>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</si>
  <si>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</si>
  <si>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</si>
  <si>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</si>
  <si>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</si>
  <si>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</si>
  <si>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</si>
  <si>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</si>
  <si>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</si>
  <si>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</si>
  <si>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</si>
  <si>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</si>
  <si>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</si>
  <si>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</si>
  <si>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</si>
  <si>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</si>
  <si>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</si>
  <si>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</si>
  <si>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</si>
  <si>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</si>
  <si>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</si>
  <si>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</si>
  <si>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</si>
  <si>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</si>
  <si>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</si>
  <si>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</si>
  <si>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</si>
  <si>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</si>
  <si>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</si>
  <si>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</si>
  <si>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</si>
  <si>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</si>
  <si>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</si>
  <si>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</si>
  <si>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</si>
  <si>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</si>
  <si>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</si>
  <si>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</si>
  <si>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</si>
  <si>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</si>
  <si>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</si>
  <si>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</si>
  <si>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</si>
  <si>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</si>
  <si>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</si>
  <si>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</si>
  <si>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</si>
  <si>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</si>
  <si>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</si>
  <si>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</si>
  <si>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</si>
  <si>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</si>
  <si>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</si>
  <si>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</si>
  <si>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</si>
  <si>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</si>
  <si>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</si>
  <si>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</si>
  <si>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</si>
  <si>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</si>
  <si>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</si>
  <si>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</si>
  <si>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</si>
  <si>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</si>
  <si>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</si>
  <si>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</si>
  <si>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</si>
  <si>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</si>
  <si>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</si>
  <si>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</si>
  <si>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</si>
  <si>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</si>
  <si>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</si>
  <si>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</si>
  <si>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</si>
  <si>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</si>
  <si>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</si>
  <si>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</si>
  <si>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</si>
  <si>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</si>
  <si>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</si>
  <si>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</si>
  <si>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</si>
  <si>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</si>
  <si>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</si>
  <si>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</si>
  <si>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</si>
  <si>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</si>
  <si>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</si>
  <si>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</si>
  <si>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</si>
  <si>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</si>
  <si>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</si>
  <si>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</si>
  <si>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</si>
  <si>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</si>
  <si>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</si>
  <si>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</si>
  <si>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</si>
  <si>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</si>
  <si>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</si>
  <si>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</si>
  <si>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</si>
  <si>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</si>
  <si>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</si>
  <si>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</si>
  <si>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</si>
  <si>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</si>
  <si>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</si>
  <si>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</si>
  <si>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</si>
  <si>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</si>
  <si>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</si>
  <si>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</si>
  <si>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</si>
  <si>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</si>
  <si>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</si>
  <si>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</si>
  <si>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</si>
  <si>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</si>
  <si>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</si>
  <si>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</si>
  <si>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</si>
  <si>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</si>
  <si>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</si>
  <si>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</si>
  <si>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</si>
  <si>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</si>
  <si>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</si>
  <si>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</si>
  <si>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</si>
  <si>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</si>
  <si>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</si>
  <si>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</si>
  <si>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</si>
  <si>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</si>
  <si>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</si>
  <si>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</si>
  <si>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</si>
  <si>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</si>
  <si>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</si>
  <si>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</si>
  <si>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</si>
  <si>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</si>
  <si>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</si>
  <si>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</si>
  <si>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</si>
  <si>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</si>
  <si>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</si>
  <si>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</si>
  <si>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</si>
  <si>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</si>
  <si>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</si>
  <si>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</si>
  <si>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</si>
  <si>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</si>
  <si>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</si>
  <si>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</si>
  <si>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</si>
  <si>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</si>
  <si>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</si>
  <si>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</si>
  <si>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</si>
  <si>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</si>
  <si>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</si>
  <si>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</si>
  <si>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</si>
  <si>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</si>
  <si>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</si>
  <si>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</si>
  <si>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</si>
  <si>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</si>
  <si>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</si>
  <si>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</si>
  <si>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</si>
  <si>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</si>
  <si>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</si>
  <si>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</si>
  <si>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</si>
  <si>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</si>
  <si>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</si>
  <si>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</si>
  <si>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</si>
  <si>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</si>
  <si>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</si>
  <si>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</si>
  <si>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</si>
  <si>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</si>
  <si>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</si>
  <si>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</si>
  <si>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</si>
  <si>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</si>
  <si>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</si>
  <si>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</si>
  <si>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</si>
  <si>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</si>
  <si>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</si>
  <si>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</si>
  <si>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</si>
  <si>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</si>
  <si>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</si>
  <si>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</si>
  <si>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</si>
  <si>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</si>
  <si>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</si>
  <si>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</si>
  <si>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</si>
  <si>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</si>
  <si>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</si>
  <si>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</si>
  <si>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</si>
  <si>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</si>
  <si>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</si>
  <si>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</si>
  <si>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</si>
  <si>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</si>
  <si>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</si>
  <si>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</si>
  <si>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</si>
  <si>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</si>
  <si>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</si>
  <si>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</si>
  <si>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</si>
  <si>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</si>
  <si>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</si>
  <si>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</si>
  <si>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</si>
  <si>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</si>
  <si>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</si>
  <si>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</si>
  <si>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</si>
  <si>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</si>
  <si>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</si>
  <si>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</si>
  <si>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</si>
  <si>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</si>
  <si>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</si>
  <si>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</si>
  <si>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</si>
  <si>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</si>
  <si>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</si>
  <si>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</si>
  <si>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</si>
  <si>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</si>
  <si>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</si>
  <si>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</si>
  <si>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</si>
  <si>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</si>
  <si>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</si>
  <si>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</si>
  <si>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</si>
  <si>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</si>
  <si>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</si>
  <si>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</si>
  <si>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</si>
  <si>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</si>
  <si>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</si>
  <si>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</si>
  <si>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</si>
  <si>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</si>
  <si>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</si>
  <si>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</si>
  <si>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</si>
  <si>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</si>
  <si>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</si>
  <si>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</si>
  <si>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</si>
  <si>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</si>
  <si>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</si>
  <si>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</si>
  <si>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</si>
  <si>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</si>
  <si>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</si>
  <si>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</si>
  <si>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</si>
  <si>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</si>
  <si>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</si>
  <si>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</si>
  <si>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</si>
  <si>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</si>
  <si>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</si>
  <si>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</si>
  <si>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</si>
  <si>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</si>
  <si>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</si>
  <si>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</si>
  <si>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</si>
  <si>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</si>
  <si>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</si>
  <si>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</si>
  <si>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</si>
  <si>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</si>
  <si>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</si>
  <si>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</si>
  <si>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</si>
  <si>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</si>
  <si>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</si>
  <si>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</si>
  <si>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</si>
  <si>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</si>
  <si>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</si>
  <si>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</si>
  <si>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</si>
  <si>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</si>
  <si>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</si>
  <si>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</si>
  <si>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</si>
  <si>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</si>
  <si>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</si>
  <si>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</si>
  <si>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</si>
  <si>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</si>
  <si>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</si>
  <si>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</si>
  <si>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</si>
  <si>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</si>
  <si>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</si>
  <si>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</si>
  <si>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</si>
  <si>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</si>
  <si>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</si>
  <si>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</si>
  <si>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</si>
  <si>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</si>
  <si>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</si>
  <si>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</si>
  <si>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</si>
  <si>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</si>
  <si>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</si>
  <si>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</si>
  <si>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</si>
  <si>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</si>
  <si>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</si>
  <si>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</si>
  <si>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</si>
  <si>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</si>
  <si>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</si>
  <si>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</si>
  <si>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</si>
  <si>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</si>
  <si>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</si>
  <si>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</si>
  <si>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</si>
  <si>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</si>
  <si>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</si>
  <si>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</si>
  <si>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</si>
  <si>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</si>
  <si>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</si>
  <si>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</si>
  <si>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</si>
  <si>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</si>
  <si>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</si>
  <si>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</si>
  <si>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</si>
  <si>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</si>
  <si>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</si>
  <si>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</si>
  <si>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</si>
  <si>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</si>
  <si>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</si>
  <si>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</si>
  <si>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</si>
  <si>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</si>
  <si>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</si>
  <si>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</si>
  <si>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</si>
  <si>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</si>
  <si>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</si>
  <si>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</si>
  <si>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</si>
  <si>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</si>
  <si>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</si>
  <si>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</si>
  <si>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</si>
  <si>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</si>
  <si>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</si>
  <si>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</si>
  <si>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</si>
  <si>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</si>
  <si>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</si>
  <si>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</si>
  <si>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</si>
  <si>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</si>
  <si>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</si>
  <si>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</si>
  <si>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</si>
  <si>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</si>
  <si>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</si>
  <si>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</si>
  <si>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</si>
  <si>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</si>
  <si>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</si>
  <si>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</si>
  <si>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</si>
  <si>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</si>
  <si>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</si>
  <si>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</si>
  <si>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</si>
  <si>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</si>
  <si>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</si>
  <si>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</si>
  <si>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</si>
  <si>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</si>
  <si>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</si>
  <si>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</si>
  <si>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</si>
  <si>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</si>
  <si>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</si>
  <si>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</si>
  <si>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</si>
  <si>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</si>
  <si>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</si>
  <si>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</si>
  <si>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</si>
  <si>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</si>
  <si>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</si>
  <si>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</si>
  <si>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</si>
  <si>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</si>
  <si>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</si>
  <si>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</si>
  <si>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</si>
  <si>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</si>
  <si>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</si>
  <si>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</si>
  <si>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</si>
  <si>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</si>
  <si>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</si>
  <si>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</si>
  <si>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</si>
  <si>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</si>
  <si>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</si>
  <si>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</si>
  <si>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</si>
  <si>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</si>
  <si>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</si>
  <si>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</si>
  <si>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</si>
  <si>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</si>
  <si>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</si>
  <si>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</si>
  <si>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</si>
  <si>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</si>
  <si>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</si>
  <si>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</si>
  <si>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</si>
  <si>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</si>
  <si>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</si>
  <si>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</si>
  <si>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</si>
  <si>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</si>
  <si>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</si>
  <si>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</si>
  <si>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</si>
  <si>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</si>
  <si>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</si>
  <si>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</si>
  <si>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</si>
  <si>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</si>
  <si>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</si>
  <si>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</si>
  <si>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</si>
  <si>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</si>
  <si>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</si>
  <si>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</si>
  <si>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</si>
  <si>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</si>
  <si>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</si>
  <si>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</si>
  <si>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</si>
  <si>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</si>
  <si>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</si>
  <si>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</si>
  <si>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</si>
  <si>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</si>
  <si>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</si>
  <si>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</si>
  <si>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</si>
  <si>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</si>
  <si>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</si>
  <si>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</si>
  <si>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</si>
  <si>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</si>
  <si>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</si>
  <si>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</si>
  <si>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</si>
  <si>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</si>
  <si>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</si>
  <si>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</si>
  <si>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</si>
  <si>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</si>
  <si>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</si>
  <si>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</si>
  <si>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</si>
  <si>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</si>
  <si>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</si>
  <si>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</si>
  <si>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</si>
  <si>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</si>
  <si>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</si>
  <si>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</si>
  <si>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</si>
  <si>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</si>
  <si>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</si>
  <si>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</si>
  <si>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</si>
  <si>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</si>
  <si>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</si>
  <si>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</si>
  <si>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</si>
  <si>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</si>
  <si>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</si>
  <si>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</si>
  <si>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</si>
  <si>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</si>
  <si>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</si>
  <si>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</si>
  <si>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</si>
  <si>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</si>
  <si>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</si>
  <si>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</si>
  <si>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</si>
  <si>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</si>
  <si>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</si>
  <si>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</si>
  <si>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</si>
  <si>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</si>
  <si>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</si>
  <si>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</si>
  <si>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</si>
  <si>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</si>
  <si>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</si>
  <si>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</si>
  <si>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</si>
  <si>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</si>
  <si>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</si>
  <si>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</si>
  <si>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</si>
  <si>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</si>
  <si>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</si>
  <si>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</si>
  <si>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</si>
  <si>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</si>
  <si>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</si>
  <si>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</si>
  <si>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</si>
  <si>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</si>
  <si>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</si>
  <si>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</si>
  <si>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</si>
  <si>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</si>
  <si>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</si>
  <si>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</si>
  <si>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</si>
  <si>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</si>
  <si>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</si>
  <si>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</si>
  <si>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</si>
  <si>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</si>
  <si>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</si>
  <si>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</si>
  <si>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</si>
  <si>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</si>
  <si>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</si>
  <si>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</si>
  <si>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</si>
  <si>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</si>
  <si>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</si>
  <si>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</si>
  <si>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</si>
  <si>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</si>
  <si>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</si>
  <si>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</si>
  <si>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</si>
  <si>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</si>
  <si>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</si>
  <si>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</si>
  <si>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</si>
  <si>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</si>
  <si>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</si>
  <si>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</si>
  <si>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</si>
  <si>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</si>
  <si>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</si>
  <si>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</si>
  <si>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</si>
  <si>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</si>
  <si>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</si>
  <si>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</si>
  <si>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</si>
  <si>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</si>
  <si>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</si>
  <si>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</si>
  <si>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</si>
  <si>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</si>
  <si>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</si>
  <si>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</si>
  <si>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</si>
  <si>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</si>
  <si>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</si>
  <si>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</si>
  <si>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</si>
  <si>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</si>
  <si>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</si>
  <si>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</si>
  <si>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</si>
  <si>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</si>
  <si>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</si>
  <si>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</si>
  <si>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</si>
  <si>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</si>
  <si>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</si>
  <si>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</si>
  <si>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</si>
  <si>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</si>
  <si>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</si>
  <si>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</si>
  <si>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</si>
  <si>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</si>
  <si>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</si>
  <si>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</si>
  <si>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</si>
  <si>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</si>
  <si>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</si>
  <si>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</si>
  <si>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</si>
  <si>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</si>
  <si>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</si>
  <si>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</si>
  <si>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</si>
  <si>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</si>
  <si>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</si>
  <si>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</si>
  <si>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</si>
  <si>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</si>
  <si>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</si>
  <si>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</si>
  <si>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</si>
  <si>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</si>
  <si>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</si>
  <si>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</si>
  <si>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</si>
  <si>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</si>
  <si>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</si>
  <si>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</si>
  <si>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</si>
  <si>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</si>
  <si>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</si>
  <si>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</si>
  <si>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</si>
  <si>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</si>
  <si>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</si>
  <si>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</si>
  <si>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</si>
  <si>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</si>
  <si>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</si>
  <si>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</si>
  <si>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</si>
  <si>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</si>
  <si>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</si>
  <si>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</si>
  <si>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</si>
  <si>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</si>
  <si>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</si>
  <si>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</si>
  <si>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</si>
  <si>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</si>
  <si>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</si>
  <si>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</si>
  <si>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</si>
  <si>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</si>
  <si>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</si>
  <si>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</si>
  <si>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</si>
  <si>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</si>
  <si>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</si>
  <si>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</si>
  <si>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</si>
  <si>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</si>
  <si>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</si>
  <si>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</si>
  <si>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</si>
  <si>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</si>
  <si>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</si>
  <si>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</si>
  <si>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</si>
  <si>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</si>
  <si>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</si>
  <si>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</si>
  <si>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</si>
  <si>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</si>
  <si>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</si>
  <si>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</si>
  <si>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</si>
  <si>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</si>
  <si>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</si>
  <si>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</si>
  <si>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</si>
  <si>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</si>
  <si>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</si>
  <si>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</si>
  <si>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</si>
  <si>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</si>
  <si>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</si>
  <si>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</si>
  <si>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</si>
  <si>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</si>
  <si>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</si>
  <si>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</si>
  <si>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</si>
  <si>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</si>
  <si>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</si>
  <si>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</si>
  <si>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</si>
  <si>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</si>
  <si>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</si>
  <si>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</si>
  <si>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</si>
  <si>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</si>
  <si>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</si>
  <si>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</si>
  <si>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</si>
  <si>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</si>
  <si>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</si>
  <si>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</si>
  <si>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</si>
  <si>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</si>
  <si>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</si>
  <si>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</si>
  <si>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</si>
  <si>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</si>
  <si>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</si>
  <si>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</si>
  <si>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</si>
  <si>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</si>
  <si>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</si>
  <si>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</si>
  <si>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</si>
  <si>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</si>
  <si>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</si>
  <si>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</si>
  <si>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</si>
  <si>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</si>
  <si>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</si>
  <si>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</si>
  <si>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</si>
  <si>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</si>
  <si>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</si>
  <si>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</si>
  <si>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</si>
  <si>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</si>
  <si>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</si>
  <si>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</si>
  <si>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</si>
  <si>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</si>
  <si>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</si>
  <si>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</si>
  <si>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</si>
  <si>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</si>
  <si>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</si>
  <si>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</si>
  <si>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</si>
  <si>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</si>
  <si>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</si>
  <si>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</si>
  <si>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</si>
  <si>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</si>
  <si>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</si>
  <si>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</si>
  <si>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</si>
  <si>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</si>
  <si>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</si>
  <si>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</si>
  <si>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</si>
  <si>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</si>
  <si>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</si>
  <si>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</si>
  <si>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</si>
  <si>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</si>
  <si>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</si>
  <si>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</si>
  <si>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</si>
  <si>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</si>
  <si>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</si>
  <si>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</si>
  <si>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</si>
  <si>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</si>
  <si>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</si>
  <si>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</si>
  <si>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</si>
  <si>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</si>
  <si>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</si>
  <si>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</si>
  <si>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</si>
  <si>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</si>
  <si>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</si>
  <si>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</si>
  <si>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</si>
  <si>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</si>
  <si>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</si>
  <si>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</si>
  <si>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</si>
  <si>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</si>
  <si>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</si>
  <si>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</si>
  <si>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</si>
  <si>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</si>
  <si>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</si>
  <si>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</si>
  <si>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</si>
  <si>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</si>
  <si>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</si>
  <si>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</si>
  <si>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</si>
  <si>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</si>
  <si>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</si>
  <si>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</si>
  <si>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</si>
  <si>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</si>
  <si>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</si>
  <si>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</si>
  <si>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</si>
  <si>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</si>
  <si>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</si>
  <si>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</si>
  <si>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</si>
  <si>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</si>
  <si>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</si>
  <si>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</si>
  <si>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</si>
  <si>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</si>
  <si>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</si>
  <si>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</si>
  <si>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</si>
  <si>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</si>
  <si>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</si>
  <si>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</si>
  <si>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</si>
  <si>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</si>
  <si>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</si>
  <si>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</si>
  <si>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</si>
  <si>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</si>
  <si>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</si>
  <si>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</si>
  <si>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</si>
  <si>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</si>
  <si>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</si>
  <si>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</si>
  <si>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</si>
  <si>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</si>
  <si>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</si>
  <si>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</si>
  <si>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</si>
  <si>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</si>
  <si>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</si>
  <si>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</si>
  <si>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</si>
  <si>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</si>
  <si>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</si>
  <si>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</si>
  <si>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</si>
  <si>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</si>
  <si>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</si>
  <si>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</si>
  <si>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</si>
  <si>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</si>
  <si>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</si>
  <si>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</si>
  <si>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</si>
  <si>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</si>
  <si>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</si>
  <si>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</si>
  <si>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</si>
  <si>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</si>
  <si>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</si>
  <si>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</si>
  <si>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</si>
  <si>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</si>
  <si>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</si>
  <si>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</si>
  <si>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</si>
  <si>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</si>
  <si>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</si>
  <si>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</si>
  <si>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</si>
  <si>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</si>
  <si>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</si>
  <si>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</si>
  <si>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</si>
  <si>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</si>
  <si>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</si>
  <si>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</si>
  <si>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</si>
  <si>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</si>
  <si>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</si>
  <si>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</si>
  <si>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</si>
  <si>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</si>
  <si>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</si>
  <si>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</si>
  <si>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</si>
  <si>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</si>
  <si>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</si>
  <si>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</si>
  <si>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</si>
  <si>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</si>
  <si>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</si>
  <si>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</si>
  <si>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</si>
  <si>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</si>
  <si>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</si>
  <si>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</si>
  <si>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</si>
  <si>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</si>
  <si>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</si>
  <si>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</si>
  <si>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</si>
  <si>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</si>
  <si>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</si>
  <si>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</si>
  <si>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</si>
  <si>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</si>
  <si>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</si>
  <si>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</si>
  <si>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</si>
  <si>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</si>
  <si>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</si>
  <si>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</si>
  <si>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</si>
  <si>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</si>
  <si>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</si>
  <si>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</si>
  <si>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</si>
  <si>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</si>
  <si>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</si>
  <si>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</si>
  <si>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</si>
  <si>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</si>
  <si>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</si>
  <si>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</si>
  <si>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</si>
  <si>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</si>
  <si>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</si>
  <si>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</si>
  <si>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</si>
  <si>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</si>
  <si>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</si>
  <si>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</si>
  <si>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</si>
  <si>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</si>
  <si>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</si>
  <si>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</si>
  <si>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</si>
  <si>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</si>
  <si>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</si>
  <si>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</si>
  <si>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</si>
  <si>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</si>
  <si>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</si>
  <si>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</si>
  <si>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</si>
  <si>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</si>
  <si>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</si>
  <si>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</si>
  <si>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</si>
  <si>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</si>
  <si>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</si>
  <si>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</si>
  <si>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</si>
  <si>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</si>
  <si>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</si>
  <si>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</si>
  <si>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</si>
  <si>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</si>
  <si>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</si>
  <si>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</si>
  <si>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</si>
  <si>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</si>
  <si>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</si>
  <si>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</si>
  <si>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</si>
  <si>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</si>
  <si>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</si>
  <si>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</si>
  <si>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</si>
  <si>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</si>
  <si>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</si>
  <si>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</si>
  <si>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</si>
  <si>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</si>
  <si>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</si>
  <si>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</si>
  <si>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</si>
  <si>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</si>
  <si>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</si>
  <si>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</si>
  <si>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</si>
  <si>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</si>
  <si>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</si>
  <si>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</si>
  <si>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</si>
  <si>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</si>
  <si>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</si>
  <si>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</si>
  <si>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</si>
  <si>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</si>
  <si>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</si>
  <si>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</si>
  <si>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</si>
  <si>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</si>
  <si>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</si>
  <si>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</si>
  <si>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</si>
  <si>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</si>
  <si>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</si>
  <si>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</si>
  <si>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</si>
  <si>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</si>
  <si>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</si>
  <si>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</si>
  <si>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</si>
  <si>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</si>
  <si>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</si>
  <si>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</si>
  <si>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</si>
  <si>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</si>
  <si>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</si>
  <si>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</si>
  <si>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</si>
  <si>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</si>
  <si>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</si>
  <si>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</si>
  <si>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</si>
  <si>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</si>
  <si>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</si>
  <si>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</si>
  <si>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</si>
  <si>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</si>
  <si>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</si>
  <si>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</si>
  <si>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</si>
  <si>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</si>
  <si>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</si>
  <si>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</si>
  <si>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</si>
  <si>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</si>
  <si>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</si>
  <si>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</si>
  <si>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</si>
  <si>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</si>
  <si>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</si>
  <si>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</si>
  <si>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</si>
  <si>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</si>
  <si>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</si>
  <si>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</si>
  <si>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</si>
  <si>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</si>
  <si>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</si>
  <si>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</si>
  <si>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</si>
  <si>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</si>
  <si>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</si>
  <si>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</si>
  <si>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</si>
  <si>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</si>
  <si>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</si>
  <si>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</si>
  <si>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</si>
  <si>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</si>
  <si>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</si>
  <si>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</si>
  <si>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</si>
  <si>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</si>
  <si>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</si>
  <si>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</si>
  <si>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</si>
  <si>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</si>
  <si>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</si>
  <si>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</si>
  <si>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</si>
  <si>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</si>
  <si>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</si>
  <si>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</si>
  <si>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</si>
  <si>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</si>
  <si>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</si>
  <si>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</si>
  <si>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</si>
  <si>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</si>
  <si>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</si>
  <si>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</si>
  <si>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</si>
  <si>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</si>
  <si>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</si>
  <si>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</si>
  <si>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</si>
  <si>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</si>
  <si>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</si>
  <si>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</si>
  <si>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</si>
  <si>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</si>
  <si>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</si>
  <si>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</si>
  <si>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</si>
  <si>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</si>
  <si>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</si>
  <si>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</si>
  <si>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</si>
  <si>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</si>
  <si>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</si>
  <si>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</si>
  <si>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</si>
  <si>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</si>
  <si>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</si>
  <si>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</si>
  <si>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</si>
  <si>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</si>
  <si>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</si>
  <si>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</si>
  <si>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</si>
  <si>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</si>
  <si>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</si>
  <si>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</si>
  <si>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</si>
  <si>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</si>
  <si>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</si>
  <si>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</si>
  <si>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</si>
  <si>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</si>
  <si>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</si>
  <si>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</si>
  <si>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</si>
  <si>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</si>
  <si>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</si>
  <si>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</si>
  <si>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</si>
  <si>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</si>
  <si>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</si>
  <si>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</si>
  <si>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</si>
  <si>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</si>
  <si>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</si>
  <si>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</si>
  <si>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</si>
  <si>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</si>
  <si>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</si>
  <si>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</si>
  <si>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</si>
  <si>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</si>
  <si>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</si>
  <si>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</si>
  <si>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</si>
  <si>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</si>
  <si>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</si>
  <si>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</si>
  <si>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</si>
  <si>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</si>
  <si>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</si>
  <si>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</si>
  <si>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</si>
  <si>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</si>
  <si>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</si>
  <si>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</si>
  <si>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</si>
  <si>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</si>
  <si>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</si>
  <si>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</si>
  <si>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</si>
  <si>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</si>
  <si>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</si>
  <si>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</si>
  <si>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</si>
  <si>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</si>
  <si>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</si>
  <si>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</si>
  <si>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</si>
  <si>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</si>
  <si>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</si>
  <si>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</si>
  <si>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</si>
  <si>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</si>
  <si>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</si>
  <si>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</si>
  <si>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</si>
  <si>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</si>
  <si>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</si>
  <si>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</si>
  <si>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</si>
  <si>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</si>
  <si>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</si>
  <si>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</si>
  <si>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</si>
  <si>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</si>
  <si>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</si>
  <si>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</si>
  <si>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</si>
  <si>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</si>
  <si>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</si>
  <si>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</si>
  <si>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</si>
  <si>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</si>
  <si>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</si>
  <si>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</si>
  <si>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</si>
  <si>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</si>
  <si>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</si>
  <si>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</si>
  <si>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</si>
  <si>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</si>
  <si>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</si>
  <si>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</si>
  <si>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</si>
  <si>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</si>
  <si>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</si>
  <si>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</si>
  <si>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</si>
  <si>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</si>
  <si>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</si>
  <si>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</si>
  <si>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</si>
  <si>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</si>
  <si>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</si>
  <si>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</si>
  <si>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</si>
  <si>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</si>
  <si>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</si>
  <si>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</si>
  <si>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</si>
  <si>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</si>
  <si>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</si>
  <si>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</si>
  <si>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</si>
  <si>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</si>
  <si>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</si>
  <si>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</si>
  <si>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</si>
  <si>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</si>
  <si>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</si>
  <si>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</si>
  <si>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</si>
  <si>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</si>
  <si>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</si>
  <si>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</si>
  <si>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</si>
  <si>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</si>
  <si>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</si>
  <si>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</si>
  <si>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</si>
  <si>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</si>
  <si>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</si>
  <si>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</si>
  <si>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</si>
  <si>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</si>
  <si>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</si>
  <si>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</si>
  <si>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</si>
  <si>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</si>
  <si>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</si>
  <si>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</si>
  <si>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</si>
  <si>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</si>
  <si>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</si>
  <si>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</si>
  <si>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</si>
  <si>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</si>
  <si>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</si>
  <si>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</si>
  <si>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</si>
  <si>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</si>
  <si>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</si>
  <si>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</si>
  <si>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</si>
  <si>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</si>
  <si>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</si>
  <si>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</si>
  <si>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</si>
  <si>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</si>
  <si>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</si>
  <si>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</si>
  <si>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</si>
  <si>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</si>
  <si>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</si>
  <si>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</si>
  <si>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</si>
  <si>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</si>
  <si>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</si>
  <si>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</si>
  <si>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</si>
  <si>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</si>
  <si>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</si>
  <si>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</si>
  <si>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</si>
  <si>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</si>
  <si>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</si>
  <si>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</si>
  <si>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</si>
  <si>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</si>
  <si>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</si>
  <si>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</si>
  <si>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</si>
  <si>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</si>
  <si>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</si>
  <si>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</si>
  <si>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</si>
  <si>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</si>
  <si>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</si>
  <si>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</si>
  <si>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</si>
  <si>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</si>
  <si>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</si>
  <si>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</si>
  <si>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</si>
  <si>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</si>
  <si>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</si>
  <si>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</si>
  <si>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</si>
  <si>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</si>
  <si>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</si>
  <si>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</si>
  <si>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</si>
  <si>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</si>
  <si>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</si>
  <si>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</si>
  <si>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</si>
  <si>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</si>
  <si>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</si>
  <si>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</si>
  <si>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</si>
  <si>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</si>
  <si>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</si>
  <si>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</si>
  <si>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</si>
  <si>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</si>
  <si>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</si>
  <si>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</si>
  <si>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</si>
  <si>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</si>
  <si>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</si>
  <si>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</si>
  <si>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</si>
  <si>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</si>
  <si>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</si>
  <si>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</si>
  <si>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</si>
  <si>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</si>
  <si>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</si>
  <si>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</si>
  <si>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</si>
  <si>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</si>
  <si>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</si>
  <si>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</si>
  <si>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</si>
  <si>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</si>
  <si>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</si>
  <si>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</si>
  <si>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</si>
  <si>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</si>
  <si>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</si>
  <si>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</si>
  <si>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</si>
  <si>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</si>
  <si>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</si>
  <si>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</si>
  <si>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</si>
  <si>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</si>
  <si>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</si>
  <si>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</si>
  <si>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</si>
  <si>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</si>
  <si>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</si>
  <si>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</si>
  <si>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</si>
  <si>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</si>
  <si>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</si>
  <si>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</si>
  <si>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</si>
  <si>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</si>
  <si>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</si>
  <si>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</si>
  <si>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</si>
  <si>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</si>
  <si>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</si>
  <si>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</si>
  <si>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</si>
  <si>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</si>
  <si>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</si>
  <si>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</si>
  <si>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</si>
  <si>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</si>
  <si>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</si>
  <si>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</si>
  <si>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</si>
  <si>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</si>
  <si>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</si>
  <si>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</si>
  <si>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</si>
  <si>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</si>
  <si>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</si>
  <si>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</si>
  <si>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</si>
  <si>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</si>
  <si>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</si>
  <si>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</si>
  <si>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</si>
  <si>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</si>
  <si>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</si>
  <si>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</si>
  <si>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</si>
  <si>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</si>
  <si>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</si>
  <si>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</si>
  <si>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</si>
  <si>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</si>
  <si>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</si>
  <si>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</si>
  <si>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</si>
  <si>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</si>
  <si>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</si>
  <si>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</si>
  <si>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</si>
  <si>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</si>
  <si>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</si>
  <si>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</si>
  <si>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</si>
  <si>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</si>
  <si>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</si>
  <si>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</si>
  <si>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</si>
  <si>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</si>
  <si>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</si>
  <si>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</si>
  <si>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</si>
  <si>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</si>
  <si>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</si>
  <si>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</si>
  <si>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</si>
  <si>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</si>
  <si>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</si>
  <si>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</si>
  <si>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</si>
  <si>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</si>
  <si>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</si>
  <si>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</si>
  <si>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</si>
  <si>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</si>
  <si>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</si>
  <si>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</si>
  <si>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</si>
  <si>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</si>
  <si>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</si>
  <si>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</si>
  <si>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</si>
  <si>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</si>
  <si>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</si>
  <si>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</si>
  <si>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</si>
  <si>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</si>
  <si>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</si>
  <si>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</si>
  <si>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</si>
  <si>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</si>
  <si>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</si>
  <si>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</si>
  <si>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</si>
  <si>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</si>
  <si>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</si>
  <si>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</si>
  <si>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</si>
  <si>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</si>
  <si>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</si>
  <si>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</si>
  <si>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</si>
  <si>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</si>
  <si>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</si>
  <si>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</si>
  <si>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</si>
  <si>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</si>
  <si>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</si>
  <si>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</si>
  <si>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</si>
  <si>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</si>
  <si>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</si>
  <si>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</si>
  <si>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</si>
  <si>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</si>
  <si>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</si>
  <si>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</si>
  <si>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</si>
  <si>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</si>
  <si>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</si>
  <si>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</si>
  <si>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</si>
  <si>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</si>
  <si>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</si>
  <si>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</si>
  <si>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</si>
  <si>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</si>
  <si>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</si>
  <si>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</si>
  <si>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</si>
  <si>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</si>
  <si>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</si>
  <si>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</si>
  <si>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</si>
  <si>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</si>
  <si>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</si>
  <si>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</si>
  <si>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</si>
  <si>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</si>
  <si>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</si>
  <si>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</si>
  <si>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</si>
  <si>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</si>
  <si>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</si>
  <si>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</si>
  <si>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</si>
  <si>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</si>
  <si>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</si>
  <si>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</si>
  <si>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</si>
  <si>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</si>
  <si>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</si>
  <si>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</si>
  <si>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</si>
  <si>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</si>
  <si>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</si>
  <si>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</si>
  <si>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</si>
  <si>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</si>
  <si>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</si>
  <si>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</si>
  <si>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</si>
  <si>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</si>
  <si>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</si>
  <si>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</si>
  <si>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</si>
  <si>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</si>
  <si>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</si>
  <si>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</si>
  <si>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</si>
  <si>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</si>
  <si>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</si>
  <si>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</si>
  <si>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</si>
  <si>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</si>
  <si>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</si>
  <si>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</si>
  <si>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</si>
  <si>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</si>
  <si>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</si>
  <si>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</si>
  <si>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</si>
  <si>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</si>
  <si>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</si>
  <si>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</si>
  <si>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</si>
  <si>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</si>
  <si>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</si>
  <si>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</si>
  <si>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</si>
  <si>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</si>
  <si>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</si>
  <si>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</si>
  <si>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</si>
  <si>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</si>
  <si>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</si>
  <si>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</si>
  <si>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</si>
  <si>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</si>
  <si>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</si>
  <si>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</si>
  <si>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</si>
  <si>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</si>
  <si>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</si>
  <si>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</si>
  <si>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</si>
  <si>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</si>
  <si>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</si>
  <si>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</si>
  <si>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</si>
  <si>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</si>
  <si>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</si>
  <si>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</si>
  <si>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</si>
  <si>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</si>
  <si>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</si>
  <si>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</si>
  <si>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</si>
  <si>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</si>
  <si>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</si>
  <si>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</si>
  <si>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</si>
  <si>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</si>
  <si>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</si>
  <si>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</si>
  <si>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</si>
  <si>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</si>
  <si>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</si>
  <si>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</si>
  <si>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</si>
  <si>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</si>
  <si>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</si>
  <si>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</si>
  <si>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</si>
  <si>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</si>
  <si>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</si>
  <si>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</si>
  <si>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</si>
  <si>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</si>
  <si>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</si>
  <si>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</si>
  <si>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</si>
  <si>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</si>
  <si>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</si>
  <si>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</si>
  <si>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</si>
  <si>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</si>
  <si>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</si>
  <si>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</si>
  <si>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</si>
  <si>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</si>
  <si>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</si>
  <si>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</si>
  <si>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</si>
  <si>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</si>
  <si>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</si>
  <si>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</si>
  <si>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</si>
  <si>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</si>
  <si>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</si>
  <si>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</si>
  <si>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</si>
  <si>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</si>
  <si>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</si>
  <si>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</si>
  <si>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</si>
  <si>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</si>
  <si>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</si>
  <si>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</si>
  <si>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</si>
  <si>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</si>
  <si>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</si>
  <si>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</si>
  <si>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</si>
  <si>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</si>
  <si>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</si>
  <si>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</si>
  <si>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</si>
  <si>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</si>
  <si>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</si>
  <si>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</si>
  <si>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</si>
  <si>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</si>
  <si>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</si>
  <si>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</si>
  <si>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</si>
  <si>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</si>
  <si>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</si>
  <si>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</si>
  <si>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</si>
  <si>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</si>
  <si>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</si>
  <si>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</si>
  <si>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</si>
  <si>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</si>
  <si>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</si>
  <si>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</si>
  <si>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</si>
  <si>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</si>
  <si>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</si>
  <si>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</si>
  <si>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</si>
  <si>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</si>
  <si>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</si>
  <si>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</si>
  <si>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</si>
  <si>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</si>
  <si>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</si>
  <si>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</si>
  <si>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</si>
  <si>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</si>
  <si>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</si>
  <si>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</si>
  <si>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</si>
  <si>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</si>
  <si>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</si>
  <si>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</si>
  <si>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</si>
  <si>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</si>
  <si>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</si>
  <si>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</si>
  <si>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</si>
  <si>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</si>
  <si>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</si>
  <si>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</si>
  <si>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</si>
  <si>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</si>
  <si>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</si>
  <si>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</si>
  <si>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</si>
  <si>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</si>
  <si>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</si>
  <si>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</si>
  <si>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</si>
  <si>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</si>
  <si>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</si>
  <si>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</si>
  <si>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</si>
  <si>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</si>
  <si>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</si>
  <si>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</si>
  <si>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</si>
  <si>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</si>
  <si>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</si>
  <si>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</si>
  <si>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</si>
  <si>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</si>
  <si>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</si>
  <si>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</si>
  <si>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</si>
  <si>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</si>
  <si>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</si>
  <si>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</si>
  <si>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</si>
  <si>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</si>
  <si>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</si>
  <si>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</si>
  <si>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</si>
  <si>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</si>
  <si>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</si>
  <si>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</si>
  <si>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</si>
  <si>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</si>
  <si>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</si>
  <si>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</si>
  <si>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</si>
  <si>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</si>
  <si>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</si>
  <si>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</si>
  <si>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</si>
  <si>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</si>
  <si>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</si>
  <si>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</si>
  <si>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</si>
  <si>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</si>
  <si>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</si>
  <si>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</si>
  <si>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</si>
  <si>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</si>
  <si>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</si>
  <si>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</si>
  <si>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</si>
  <si>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</si>
  <si>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</si>
  <si>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</si>
  <si>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</si>
  <si>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</si>
  <si>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</si>
  <si>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</si>
  <si>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</si>
  <si>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</si>
  <si>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</si>
  <si>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</si>
  <si>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</si>
  <si>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</si>
  <si>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</si>
  <si>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</si>
  <si>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</si>
  <si>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</si>
  <si>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</si>
  <si>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</si>
  <si>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</si>
  <si>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</si>
  <si>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</si>
  <si>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</si>
  <si>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</si>
  <si>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</si>
  <si>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</si>
  <si>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</si>
  <si>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</si>
  <si>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</si>
  <si>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</si>
  <si>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</si>
  <si>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</si>
  <si>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</si>
  <si>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</si>
  <si>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</si>
  <si>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</si>
  <si>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</si>
  <si>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</si>
  <si>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</si>
  <si>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</si>
  <si>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</si>
  <si>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</si>
  <si>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</si>
  <si>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</si>
  <si>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</si>
  <si>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</si>
  <si>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</si>
  <si>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</si>
  <si>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</si>
  <si>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</si>
  <si>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</si>
  <si>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</si>
  <si>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</si>
  <si>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</si>
  <si>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</si>
  <si>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</si>
  <si>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</si>
  <si>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</si>
  <si>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</si>
  <si>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</si>
  <si>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</si>
  <si>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</si>
  <si>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</si>
  <si>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</si>
  <si>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</si>
  <si>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</si>
  <si>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</si>
  <si>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</si>
  <si>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</si>
  <si>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</si>
  <si>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</si>
  <si>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</si>
  <si>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</si>
  <si>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</si>
  <si>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</si>
  <si>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</si>
  <si>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</si>
  <si>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</si>
  <si>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</si>
  <si>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</si>
  <si>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</si>
  <si>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</si>
  <si>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</si>
  <si>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</si>
  <si>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</si>
  <si>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</si>
  <si>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</si>
  <si>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</si>
  <si>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</si>
  <si>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</si>
  <si>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</si>
  <si>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</si>
  <si>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</si>
  <si>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</si>
  <si>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</si>
  <si>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</si>
  <si>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</si>
  <si>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</si>
  <si>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</si>
  <si>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</si>
  <si>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</si>
  <si>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</si>
  <si>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</si>
  <si>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</si>
  <si>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</si>
  <si>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</si>
  <si>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</si>
  <si>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</si>
  <si>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</si>
  <si>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</si>
  <si>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</si>
  <si>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</si>
  <si>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</si>
  <si>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</si>
  <si>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</si>
  <si>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</si>
  <si>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</si>
  <si>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</si>
  <si>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</si>
  <si>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</si>
  <si>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</si>
  <si>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</si>
  <si>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</si>
  <si>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</si>
  <si>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</si>
  <si>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</si>
  <si>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</si>
  <si>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</si>
  <si>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</si>
  <si>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</si>
  <si>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</si>
  <si>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</si>
  <si>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</si>
  <si>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</si>
  <si>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</si>
  <si>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</si>
  <si>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</si>
  <si>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</si>
  <si>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</si>
  <si>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</si>
  <si>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</si>
  <si>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</si>
  <si>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</si>
  <si>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</si>
  <si>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</si>
  <si>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</si>
  <si>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</si>
  <si>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</si>
  <si>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</si>
  <si>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</si>
  <si>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</si>
  <si>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</si>
  <si>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</si>
  <si>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</si>
  <si>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</si>
  <si>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</si>
  <si>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</si>
  <si>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</si>
  <si>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</si>
  <si>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</si>
  <si>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</si>
  <si>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</si>
  <si>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</si>
  <si>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</si>
  <si>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</si>
  <si>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</si>
  <si>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</si>
  <si>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</si>
  <si>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</si>
  <si>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</si>
  <si>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</si>
  <si>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</si>
  <si>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</si>
  <si>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</si>
  <si>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</si>
  <si>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</si>
  <si>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</si>
  <si>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</si>
  <si>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</si>
  <si>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</si>
  <si>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</si>
  <si>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</si>
  <si>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</si>
  <si>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</si>
  <si>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</si>
  <si>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</si>
  <si>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</si>
  <si>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</si>
  <si>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</si>
  <si>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</si>
  <si>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</si>
  <si>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</si>
  <si>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</si>
  <si>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</si>
  <si>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</si>
  <si>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</si>
  <si>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</si>
  <si>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</si>
  <si>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</si>
  <si>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</si>
  <si>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</si>
  <si>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</si>
  <si>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</si>
  <si>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</si>
  <si>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</si>
  <si>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</si>
  <si>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</si>
  <si>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</si>
  <si>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</si>
  <si>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</si>
  <si>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</si>
  <si>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</si>
  <si>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</si>
  <si>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</si>
  <si>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</si>
  <si>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</si>
  <si>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</si>
  <si>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</si>
  <si>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</si>
  <si>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</si>
  <si>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</si>
  <si>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</si>
  <si>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</si>
  <si>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</si>
  <si>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</si>
  <si>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</si>
  <si>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</si>
  <si>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</si>
  <si>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</si>
  <si>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</si>
  <si>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</si>
  <si>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</si>
  <si>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</si>
  <si>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</si>
  <si>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</si>
  <si>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</si>
  <si>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</si>
  <si>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</si>
  <si>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</si>
  <si>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</si>
  <si>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</si>
  <si>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</si>
  <si>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</si>
  <si>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</si>
  <si>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</si>
  <si>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</si>
  <si>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</si>
  <si>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</si>
  <si>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</si>
  <si>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</si>
  <si>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</si>
  <si>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</si>
  <si>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</si>
  <si>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</si>
  <si>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</si>
  <si>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</si>
  <si>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</si>
  <si>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</si>
  <si>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</si>
  <si>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</si>
  <si>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</si>
  <si>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</si>
  <si>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</si>
  <si>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</si>
  <si>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</si>
  <si>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</si>
  <si>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</si>
  <si>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</si>
  <si>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</si>
  <si>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</si>
  <si>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</si>
  <si>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</si>
  <si>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</si>
  <si>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</si>
  <si>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</si>
  <si>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</si>
  <si>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</si>
  <si>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</si>
  <si>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</si>
  <si>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</si>
  <si>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</si>
  <si>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</si>
  <si>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</si>
  <si>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</si>
  <si>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</si>
  <si>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</si>
  <si>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</si>
  <si>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</si>
  <si>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</si>
  <si>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</si>
  <si>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</si>
  <si>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</si>
  <si>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</si>
  <si>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</si>
  <si>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</si>
  <si>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</si>
  <si>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</si>
  <si>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</si>
  <si>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</si>
  <si>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</si>
  <si>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</si>
  <si>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</si>
  <si>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</si>
  <si>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</si>
  <si>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</si>
  <si>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</si>
  <si>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</si>
  <si>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</si>
  <si>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</si>
  <si>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</si>
  <si>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</si>
  <si>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</si>
  <si>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</si>
  <si>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</si>
  <si>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</si>
  <si>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</si>
  <si>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</si>
  <si>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</si>
  <si>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</si>
  <si>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</si>
  <si>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</si>
  <si>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</si>
  <si>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</si>
  <si>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</si>
  <si>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</si>
  <si>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</si>
  <si>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</si>
  <si>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</si>
  <si>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</si>
  <si>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</si>
  <si>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</si>
  <si>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</si>
  <si>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</si>
  <si>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</si>
  <si>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</si>
  <si>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</si>
  <si>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</si>
  <si>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</si>
  <si>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</si>
  <si>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</si>
  <si>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</si>
  <si>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</si>
  <si>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</si>
  <si>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</si>
  <si>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</si>
  <si>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</si>
  <si>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</si>
  <si>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</si>
  <si>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</si>
  <si>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</si>
  <si>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</si>
  <si>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</si>
  <si>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</si>
  <si>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</si>
  <si>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</si>
  <si>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</si>
  <si>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</si>
  <si>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</si>
  <si>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</si>
  <si>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</si>
  <si>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</si>
  <si>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</si>
  <si>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</si>
  <si>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</si>
  <si>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</si>
  <si>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</si>
  <si>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</si>
  <si>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</si>
  <si>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</si>
  <si>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</si>
  <si>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</si>
  <si>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</si>
  <si>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</si>
  <si>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</si>
  <si>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</si>
  <si>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</si>
  <si>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</si>
  <si>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</si>
  <si>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</si>
  <si>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</si>
  <si>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</si>
  <si>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</si>
  <si>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</si>
  <si>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</si>
  <si>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</si>
  <si>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</si>
  <si>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</si>
  <si>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</si>
  <si>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</si>
  <si>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</si>
  <si>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</si>
  <si>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</si>
  <si>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</si>
  <si>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</si>
  <si>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</si>
  <si>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</si>
  <si>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</si>
  <si>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</si>
  <si>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</si>
  <si>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</si>
  <si>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</si>
  <si>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</si>
  <si>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</si>
  <si>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</si>
  <si>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</si>
  <si>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</si>
  <si>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</si>
  <si>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</si>
  <si>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</si>
  <si>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</si>
  <si>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</si>
  <si>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</si>
  <si>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</si>
  <si>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</si>
  <si>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</si>
  <si>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</si>
  <si>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</si>
  <si>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</si>
  <si>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</si>
  <si>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</si>
  <si>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</si>
  <si>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</si>
  <si>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</si>
  <si>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</si>
  <si>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</si>
  <si>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</si>
  <si>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</si>
  <si>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</si>
  <si>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</si>
  <si>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</si>
  <si>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</si>
  <si>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</si>
  <si>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</si>
  <si>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</si>
  <si>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</si>
  <si>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</si>
  <si>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</si>
  <si>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</si>
  <si>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</si>
  <si>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</si>
  <si>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</si>
  <si>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</si>
  <si>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</si>
  <si>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</si>
  <si>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</si>
  <si>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</si>
  <si>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</si>
  <si>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</si>
  <si>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</si>
  <si>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</si>
  <si>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</si>
  <si>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</si>
  <si>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</si>
  <si>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</si>
  <si>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</si>
  <si>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</si>
  <si>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</si>
  <si>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</si>
  <si>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</si>
  <si>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</si>
  <si>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</si>
  <si>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</si>
  <si>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</si>
  <si>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</si>
  <si>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</si>
  <si>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</si>
  <si>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</si>
  <si>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</si>
  <si>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</si>
  <si>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</si>
  <si>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</si>
  <si>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</si>
  <si>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</si>
  <si>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</si>
  <si>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</si>
  <si>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</si>
  <si>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</si>
  <si>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</si>
  <si>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</si>
  <si>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</si>
  <si>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</si>
  <si>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</si>
  <si>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</si>
  <si>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</si>
  <si>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</si>
  <si>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</si>
  <si>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</si>
  <si>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</si>
  <si>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</si>
  <si>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</si>
  <si>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</si>
  <si>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</si>
  <si>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</si>
  <si>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</si>
  <si>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</si>
  <si>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</si>
  <si>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</si>
  <si>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</si>
  <si>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</si>
  <si>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</si>
  <si>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</si>
  <si>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</si>
  <si>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</si>
  <si>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</si>
  <si>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</si>
  <si>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</si>
  <si>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</si>
  <si>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</si>
  <si>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</si>
  <si>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</si>
  <si>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</si>
  <si>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</si>
  <si>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高级</t>
    <phoneticPr fontId="24" type="noConversion"/>
  </si>
  <si>
    <t>中高级</t>
    <phoneticPr fontId="24" type="noConversion"/>
  </si>
  <si>
    <t>精装修</t>
    <phoneticPr fontId="24" type="noConversion"/>
  </si>
  <si>
    <t>普通装修</t>
  </si>
  <si>
    <t>普通装修</t>
    <phoneticPr fontId="24" type="noConversion"/>
  </si>
  <si>
    <t>七通</t>
    <phoneticPr fontId="24" type="noConversion"/>
  </si>
  <si>
    <t>平层</t>
  </si>
  <si>
    <t>平层</t>
    <phoneticPr fontId="24" type="noConversion"/>
  </si>
  <si>
    <t>跃层</t>
    <phoneticPr fontId="24" type="noConversion"/>
  </si>
  <si>
    <t>简单装修</t>
    <phoneticPr fontId="24" type="noConversion"/>
  </si>
  <si>
    <t>物业公司管理</t>
  </si>
  <si>
    <t>物业公司管理</t>
    <phoneticPr fontId="24" type="noConversion"/>
  </si>
  <si>
    <t>比较法-住宅</t>
  </si>
  <si>
    <t>成本法 (元)</t>
  </si>
  <si>
    <t>塔楼</t>
    <phoneticPr fontId="24" type="noConversion"/>
  </si>
  <si>
    <t>六通</t>
    <phoneticPr fontId="24" type="noConversion"/>
  </si>
  <si>
    <t>预售</t>
    <phoneticPr fontId="24" type="noConversion"/>
  </si>
  <si>
    <t>七通</t>
  </si>
  <si>
    <t>毛坯</t>
  </si>
  <si>
    <t>毛坯</t>
    <phoneticPr fontId="24" type="noConversion"/>
  </si>
  <si>
    <t>一般</t>
  </si>
  <si>
    <t>二手房</t>
    <phoneticPr fontId="24" type="noConversion"/>
  </si>
  <si>
    <t>一手房</t>
    <phoneticPr fontId="24" type="noConversion"/>
  </si>
  <si>
    <t>多层板楼</t>
    <phoneticPr fontId="24" type="noConversion"/>
  </si>
  <si>
    <t>高层板楼</t>
    <phoneticPr fontId="24" type="noConversion"/>
  </si>
  <si>
    <t>环境质量</t>
  </si>
  <si>
    <t>钢混</t>
    <phoneticPr fontId="24" type="noConversion"/>
  </si>
  <si>
    <r>
      <rPr>
        <sz val="11"/>
        <color indexed="8"/>
        <rFont val="宋体"/>
        <family val="3"/>
        <charset val="134"/>
      </rPr>
      <t>朝向</t>
    </r>
    <phoneticPr fontId="24" type="noConversion"/>
  </si>
  <si>
    <t>已包含在土地取得成本中</t>
  </si>
  <si>
    <t>砖混</t>
    <phoneticPr fontId="24" type="noConversion"/>
  </si>
  <si>
    <t>南北西</t>
    <phoneticPr fontId="24" type="noConversion"/>
  </si>
  <si>
    <t>南北</t>
    <phoneticPr fontId="24" type="noConversion"/>
  </si>
  <si>
    <t>序号</t>
  </si>
  <si>
    <t>   </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</si>
  <si>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</si>
  <si>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</si>
  <si>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</si>
  <si>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</si>
  <si>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</si>
  <si>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</si>
  <si>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</si>
  <si>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</si>
  <si>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</si>
  <si>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</si>
  <si>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</si>
  <si>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</si>
  <si>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</si>
  <si>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</si>
  <si>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</si>
  <si>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</si>
  <si>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</si>
  <si>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</si>
  <si>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</si>
  <si>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  </t>
  </si>
  <si>
    <t>商品房</t>
  </si>
  <si>
    <t>高层板楼</t>
  </si>
  <si>
    <t>钢混</t>
  </si>
  <si>
    <t>电梯</t>
    <phoneticPr fontId="24" type="noConversion"/>
  </si>
  <si>
    <t>有</t>
    <phoneticPr fontId="24" type="noConversion"/>
  </si>
  <si>
    <t>无</t>
    <phoneticPr fontId="24" type="noConversion"/>
  </si>
  <si>
    <t>9（-2）</t>
  </si>
  <si>
    <t>南</t>
  </si>
  <si>
    <t>南</t>
    <phoneticPr fontId="24" type="noConversion"/>
  </si>
  <si>
    <t>东城区上龙西里40号楼1单元305号</t>
    <phoneticPr fontId="3" type="noConversion"/>
  </si>
  <si>
    <t>东南</t>
    <phoneticPr fontId="24" type="noConversion"/>
  </si>
  <si>
    <t>西南</t>
  </si>
  <si>
    <t>西南</t>
    <phoneticPr fontId="24" type="noConversion"/>
  </si>
  <si>
    <r>
      <t>3/11</t>
    </r>
    <r>
      <rPr>
        <sz val="11"/>
        <color indexed="8"/>
        <rFont val="宋体"/>
        <family val="3"/>
        <charset val="134"/>
      </rPr>
      <t>（低层）</t>
    </r>
    <phoneticPr fontId="24" type="noConversion"/>
  </si>
  <si>
    <t>2013-3-11758-RA</t>
  </si>
  <si>
    <t>王强</t>
  </si>
  <si>
    <t>北京市东城区</t>
  </si>
  <si>
    <t>上龙西里37号楼1101号</t>
  </si>
  <si>
    <t>蔡艳清</t>
  </si>
  <si>
    <t>房改房（成本价）</t>
  </si>
  <si>
    <t>2013-3-04994-RA</t>
  </si>
  <si>
    <t>柳治萍</t>
  </si>
  <si>
    <t>上龙西里37号楼1802号</t>
  </si>
  <si>
    <t>阴红伟</t>
  </si>
  <si>
    <t>2012-3-10348-RA</t>
  </si>
  <si>
    <t>杨红</t>
  </si>
  <si>
    <t>上龙西里41号楼2层2单元201号</t>
  </si>
  <si>
    <t>上龙嘉园</t>
  </si>
  <si>
    <t>袁征</t>
  </si>
  <si>
    <t>14（-2）</t>
  </si>
  <si>
    <t>2012-3-07827-RA</t>
  </si>
  <si>
    <t>贾双旭</t>
  </si>
  <si>
    <t>上龙西里41号楼2层3单元201号</t>
  </si>
  <si>
    <t>2012-3-05460-RA</t>
  </si>
  <si>
    <t>张钢</t>
  </si>
  <si>
    <t>上龙西里22号楼17层1703号</t>
  </si>
  <si>
    <t>刘冬</t>
  </si>
  <si>
    <t>2012-3-00999-RB</t>
  </si>
  <si>
    <t>富迪</t>
  </si>
  <si>
    <t>上龙西里33号楼1401号</t>
  </si>
  <si>
    <t>谭仲双</t>
  </si>
  <si>
    <t>2011-3-09018-RA</t>
  </si>
  <si>
    <t>刘新</t>
  </si>
  <si>
    <t>上龙西里42号楼5层1单元502号</t>
  </si>
  <si>
    <t>周晓燕</t>
  </si>
  <si>
    <t>2011-3-07154-RA</t>
  </si>
  <si>
    <t>高建华</t>
  </si>
  <si>
    <t>上龙西里34号楼1808号</t>
  </si>
  <si>
    <t>2009-3-17937-RB</t>
  </si>
  <si>
    <t>孙申</t>
  </si>
  <si>
    <t>上龙西里38号楼304号</t>
  </si>
  <si>
    <t>崔爽</t>
  </si>
  <si>
    <t>成本价出售住宅</t>
  </si>
  <si>
    <t>2009-3-14310-RB</t>
  </si>
  <si>
    <t>黄烜予、薛荣</t>
  </si>
  <si>
    <t>上龙西里42号楼1门6-2号</t>
  </si>
  <si>
    <t>2007-3-6860-RB</t>
  </si>
  <si>
    <t>彭继平</t>
  </si>
  <si>
    <t>青年湖南里（现楼牌号：上龙西里）22号楼1204号</t>
  </si>
  <si>
    <t>高小萌</t>
  </si>
  <si>
    <t>成本价</t>
  </si>
  <si>
    <t>2007-3-4321-RA</t>
  </si>
  <si>
    <t>焦爱平</t>
  </si>
  <si>
    <t>上龙西里41号楼3门10-1号</t>
  </si>
  <si>
    <t>董起鸣</t>
  </si>
  <si>
    <t>14（现场勘察：10）</t>
  </si>
  <si>
    <t>2013-3-03591-RA</t>
  </si>
  <si>
    <t>侯德玉</t>
  </si>
  <si>
    <t>廖腾超</t>
  </si>
  <si>
    <t>按经济适用住房管理</t>
  </si>
  <si>
    <t>15（-2）</t>
  </si>
  <si>
    <t>2012-3-16562-RA</t>
  </si>
  <si>
    <t>唐堂</t>
  </si>
  <si>
    <t>西营房胡同9号院2号楼0206号</t>
  </si>
  <si>
    <t>2013-3-08869-RA</t>
  </si>
  <si>
    <t>刘兴力</t>
  </si>
  <si>
    <t>安德路甲10号4号楼6层701号</t>
  </si>
  <si>
    <t>巷上嘉园</t>
  </si>
  <si>
    <t>王昊</t>
  </si>
  <si>
    <t>2013-3-08725-RA</t>
  </si>
  <si>
    <t>李俊滔</t>
  </si>
  <si>
    <t>安德路甲10号3号楼20层2301号</t>
  </si>
  <si>
    <t>24（-2）</t>
  </si>
  <si>
    <t>2013-3-04740-RA</t>
  </si>
  <si>
    <t>白玉红</t>
  </si>
  <si>
    <t>安德路甲10号5号楼304号</t>
  </si>
  <si>
    <t>王雨</t>
  </si>
  <si>
    <t>12（-2）</t>
  </si>
  <si>
    <t>2013-3-04208-RB</t>
  </si>
  <si>
    <t>燕宇然</t>
  </si>
  <si>
    <t>安德路12号西座604号</t>
  </si>
  <si>
    <t>中景濠庭</t>
  </si>
  <si>
    <t>23（-3）</t>
  </si>
  <si>
    <t>2013-3-03553-RB</t>
  </si>
  <si>
    <t>郭飞红</t>
  </si>
  <si>
    <t>安外安德路59号3门202号</t>
  </si>
  <si>
    <t>2013-3-02918-RA</t>
  </si>
  <si>
    <t>万晶</t>
  </si>
  <si>
    <t>安德路甲10号3号楼4层509号</t>
  </si>
  <si>
    <t>解国明</t>
  </si>
  <si>
    <t>2013-3-01176-RA</t>
  </si>
  <si>
    <t>付红</t>
  </si>
  <si>
    <t>安德路59号楼4层4门401号</t>
  </si>
  <si>
    <t>评估日期</t>
  </si>
  <si>
    <t>贷款机构</t>
  </si>
  <si>
    <t>记录时间</t>
    <phoneticPr fontId="3" type="noConversion"/>
  </si>
  <si>
    <t>康正代办</t>
    <phoneticPr fontId="3" type="noConversion"/>
  </si>
  <si>
    <t>更改日期</t>
    <phoneticPr fontId="3" type="noConversion"/>
  </si>
  <si>
    <t>评估通知单</t>
    <phoneticPr fontId="3" type="noConversion"/>
  </si>
  <si>
    <t>仅限于抵押物</t>
    <phoneticPr fontId="3" type="noConversion"/>
  </si>
  <si>
    <t>姓名</t>
  </si>
  <si>
    <t>身份证号</t>
  </si>
  <si>
    <t>联系电话</t>
  </si>
  <si>
    <t>所在区县</t>
  </si>
  <si>
    <t>居住区名</t>
    <phoneticPr fontId="3" type="noConversion"/>
  </si>
  <si>
    <t>组团名</t>
    <phoneticPr fontId="3" type="noConversion"/>
  </si>
  <si>
    <t>楼号</t>
    <phoneticPr fontId="3" type="noConversion"/>
  </si>
  <si>
    <t>单元</t>
    <phoneticPr fontId="3" type="noConversion"/>
  </si>
  <si>
    <t>门牌号</t>
    <phoneticPr fontId="3" type="noConversion"/>
  </si>
  <si>
    <t>开发商(产权人)</t>
  </si>
  <si>
    <t>面积M2</t>
  </si>
  <si>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</si>
  <si>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</si>
  <si>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</si>
  <si>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</si>
  <si>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</si>
  <si>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</si>
  <si>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评估总额</t>
  </si>
  <si>
    <t>评估总额(万元)</t>
  </si>
  <si>
    <t>建面评估单价(元/M2)</t>
    <phoneticPr fontId="3" type="noConversion"/>
  </si>
  <si>
    <t>风险率</t>
  </si>
  <si>
    <t>最高抵押额</t>
  </si>
  <si>
    <t>大写</t>
  </si>
  <si>
    <r>
      <t>年</t>
    </r>
    <r>
      <rPr>
        <sz val="12"/>
        <color indexed="8"/>
        <rFont val="Times New Roman"/>
        <family val="1"/>
      </rPr>
      <t/>
    </r>
    <phoneticPr fontId="3" type="noConversion"/>
  </si>
  <si>
    <t>月</t>
    <phoneticPr fontId="3" type="noConversion"/>
  </si>
  <si>
    <t>日</t>
    <phoneticPr fontId="3" type="noConversion"/>
  </si>
  <si>
    <t>收费</t>
  </si>
  <si>
    <t>资金管理中心</t>
    <phoneticPr fontId="3" type="noConversion"/>
  </si>
  <si>
    <t>申请人编号</t>
    <phoneticPr fontId="3" type="noConversion"/>
  </si>
  <si>
    <t>评估人</t>
  </si>
  <si>
    <t>工程进度</t>
  </si>
  <si>
    <t>结论</t>
  </si>
  <si>
    <t>备注</t>
    <phoneticPr fontId="3" type="noConversion"/>
  </si>
  <si>
    <t>复核人</t>
    <phoneticPr fontId="3" type="noConversion"/>
  </si>
  <si>
    <t>交付时间</t>
    <phoneticPr fontId="3" type="noConversion"/>
  </si>
  <si>
    <t>评估月份</t>
    <phoneticPr fontId="3" type="noConversion"/>
  </si>
  <si>
    <t>房屋剩余年限</t>
    <phoneticPr fontId="3" type="noConversion"/>
  </si>
  <si>
    <t>房屋所有权证</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</si>
  <si>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</si>
  <si>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</si>
  <si>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</si>
  <si>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</si>
  <si>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</si>
  <si>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更改内容</t>
    <phoneticPr fontId="3" type="noConversion"/>
  </si>
  <si>
    <t>抵押注记</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</si>
  <si>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</si>
  <si>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</si>
  <si>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</si>
  <si>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</si>
  <si>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</si>
  <si>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</si>
  <si>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</si>
  <si>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</si>
  <si>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</si>
  <si>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</si>
  <si>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</si>
  <si>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</si>
  <si>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</si>
  <si>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</si>
  <si>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</si>
  <si>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销售方式</t>
    <phoneticPr fontId="3" type="noConversion"/>
  </si>
  <si>
    <t>交易情况</t>
    <phoneticPr fontId="3" type="noConversion"/>
  </si>
  <si>
    <t>交易方式</t>
    <phoneticPr fontId="3" type="noConversion"/>
  </si>
  <si>
    <t>价格内涵</t>
    <phoneticPr fontId="3" type="noConversion"/>
  </si>
  <si>
    <t>评估套内单价</t>
    <phoneticPr fontId="3" type="noConversion"/>
  </si>
  <si>
    <t>套内单价</t>
    <phoneticPr fontId="3" type="noConversion"/>
  </si>
  <si>
    <t>明旭</t>
    <phoneticPr fontId="3" type="noConversion"/>
  </si>
  <si>
    <t>410105197607183823</t>
    <phoneticPr fontId="3" type="noConversion"/>
  </si>
  <si>
    <t>15011300566</t>
    <phoneticPr fontId="3" type="noConversion"/>
  </si>
  <si>
    <t>东城区</t>
    <phoneticPr fontId="3" type="noConversion"/>
  </si>
  <si>
    <t>上龙西里</t>
    <phoneticPr fontId="3" type="noConversion"/>
  </si>
  <si>
    <t>33号楼</t>
    <phoneticPr fontId="3" type="noConversion"/>
  </si>
  <si>
    <t>203号</t>
    <phoneticPr fontId="3" type="noConversion"/>
  </si>
  <si>
    <t>魏守信</t>
    <phoneticPr fontId="3" type="noConversion"/>
  </si>
  <si>
    <t>2</t>
    <phoneticPr fontId="3" type="noConversion"/>
  </si>
  <si>
    <t>三室一厅一卫一厨</t>
    <phoneticPr fontId="3" type="noConversion"/>
  </si>
  <si>
    <t>复式、平层√、跃层、错层</t>
    <phoneticPr fontId="3" type="noConversion"/>
  </si>
  <si>
    <t>北京住房公积金管理中心中央国家机关分中心</t>
    <phoneticPr fontId="3" type="noConversion"/>
  </si>
  <si>
    <t>王昊</t>
    <phoneticPr fontId="3" type="noConversion"/>
  </si>
  <si>
    <t>二手房</t>
    <phoneticPr fontId="3" type="noConversion"/>
  </si>
  <si>
    <t>可抵押商品住宅</t>
  </si>
  <si>
    <t>李晓岩</t>
    <phoneticPr fontId="3" type="noConversion"/>
  </si>
  <si>
    <t>四</t>
    <phoneticPr fontId="3" type="noConversion"/>
  </si>
  <si>
    <t>王明君</t>
    <phoneticPr fontId="3" type="noConversion"/>
  </si>
  <si>
    <t>新增</t>
    <phoneticPr fontId="3" type="noConversion"/>
  </si>
  <si>
    <t xml:space="preserve"> </t>
  </si>
  <si>
    <t>买卖合同</t>
    <phoneticPr fontId="3" type="noConversion"/>
  </si>
  <si>
    <t>C</t>
    <phoneticPr fontId="3" type="noConversion"/>
  </si>
  <si>
    <t>747292</t>
    <phoneticPr fontId="3" type="noConversion"/>
  </si>
  <si>
    <t>王明君</t>
  </si>
  <si>
    <t>二手房</t>
    <phoneticPr fontId="3" type="noConversion"/>
  </si>
  <si>
    <t>北京住房公积金管理中心中央国家机关分中心</t>
  </si>
  <si>
    <t>2013-22-CP-10726-U</t>
    <phoneticPr fontId="3" type="noConversion"/>
  </si>
  <si>
    <t>王丽娟</t>
    <phoneticPr fontId="3" type="noConversion"/>
  </si>
  <si>
    <t>110108197310106323</t>
    <phoneticPr fontId="3" type="noConversion"/>
  </si>
  <si>
    <t>18610810700</t>
    <phoneticPr fontId="3" type="noConversion"/>
  </si>
  <si>
    <t>东城区</t>
    <phoneticPr fontId="3" type="noConversion"/>
  </si>
  <si>
    <t>安德路47号院</t>
    <phoneticPr fontId="3" type="noConversion"/>
  </si>
  <si>
    <t>13号楼</t>
    <phoneticPr fontId="3" type="noConversion"/>
  </si>
  <si>
    <t>4层9单元</t>
    <phoneticPr fontId="3" type="noConversion"/>
  </si>
  <si>
    <t>402、403号</t>
    <phoneticPr fontId="3" type="noConversion"/>
  </si>
  <si>
    <t>王丽娟</t>
    <phoneticPr fontId="3" type="noConversion"/>
  </si>
  <si>
    <t>二室二厅一卫一厨</t>
    <phoneticPr fontId="3" type="noConversion"/>
  </si>
  <si>
    <t>北京住房公积金管理中心住房公积金贷款中心</t>
  </si>
  <si>
    <t>冯德智</t>
    <phoneticPr fontId="3" type="noConversion"/>
  </si>
  <si>
    <t>二手房</t>
  </si>
  <si>
    <t>李晓岩</t>
  </si>
  <si>
    <t>三</t>
    <phoneticPr fontId="3" type="noConversion"/>
  </si>
  <si>
    <t>孙岳</t>
    <phoneticPr fontId="3" type="noConversion"/>
  </si>
  <si>
    <t>新增</t>
  </si>
  <si>
    <t>买卖合同</t>
    <phoneticPr fontId="3" type="noConversion"/>
  </si>
  <si>
    <t>694987</t>
    <phoneticPr fontId="3" type="noConversion"/>
  </si>
  <si>
    <t>李棚</t>
    <phoneticPr fontId="3" type="noConversion"/>
  </si>
  <si>
    <t>孙岳</t>
    <phoneticPr fontId="3" type="noConversion"/>
  </si>
  <si>
    <t>正常</t>
    <phoneticPr fontId="3" type="noConversion"/>
  </si>
  <si>
    <t>中介</t>
    <phoneticPr fontId="3" type="noConversion"/>
  </si>
  <si>
    <t>不含任何税费</t>
    <phoneticPr fontId="3" type="noConversion"/>
  </si>
  <si>
    <t>孙岳</t>
  </si>
  <si>
    <t>2013-22-GP-13028-U</t>
    <phoneticPr fontId="3" type="noConversion"/>
  </si>
  <si>
    <t>苏强</t>
    <phoneticPr fontId="3" type="noConversion"/>
  </si>
  <si>
    <t>110106197011103621</t>
    <phoneticPr fontId="3" type="noConversion"/>
  </si>
  <si>
    <t>18612408981</t>
    <phoneticPr fontId="3" type="noConversion"/>
  </si>
  <si>
    <t>东城区</t>
    <phoneticPr fontId="3" type="noConversion"/>
  </si>
  <si>
    <t>安德路乙61号院</t>
    <phoneticPr fontId="3" type="noConversion"/>
  </si>
  <si>
    <t>1号楼</t>
    <phoneticPr fontId="3" type="noConversion"/>
  </si>
  <si>
    <t>5层4单元</t>
    <phoneticPr fontId="3" type="noConversion"/>
  </si>
  <si>
    <t>512号</t>
    <phoneticPr fontId="3" type="noConversion"/>
  </si>
  <si>
    <t>徐勇</t>
    <phoneticPr fontId="3" type="noConversion"/>
  </si>
  <si>
    <t>5</t>
    <phoneticPr fontId="3" type="noConversion"/>
  </si>
  <si>
    <t>二室一厅一卫一厨</t>
    <phoneticPr fontId="3" type="noConversion"/>
  </si>
  <si>
    <t>复式、平层√、跃层、错层</t>
  </si>
  <si>
    <t>北京住房公积金管理中心中央国家机关分中心</t>
    <phoneticPr fontId="3" type="noConversion"/>
  </si>
  <si>
    <t>冯德智</t>
    <phoneticPr fontId="3" type="noConversion"/>
  </si>
  <si>
    <t>二手房</t>
    <phoneticPr fontId="3" type="noConversion"/>
  </si>
  <si>
    <t>可抵押商品住宅</t>
    <phoneticPr fontId="3" type="noConversion"/>
  </si>
  <si>
    <t>李晓岩</t>
    <phoneticPr fontId="3" type="noConversion"/>
  </si>
  <si>
    <t>三</t>
    <phoneticPr fontId="3" type="noConversion"/>
  </si>
  <si>
    <t>段明菲</t>
    <phoneticPr fontId="3" type="noConversion"/>
  </si>
  <si>
    <t>C</t>
    <phoneticPr fontId="3" type="noConversion"/>
  </si>
  <si>
    <t>733792</t>
    <phoneticPr fontId="3" type="noConversion"/>
  </si>
  <si>
    <t>段明菲</t>
    <phoneticPr fontId="3" type="noConversion"/>
  </si>
  <si>
    <t>段明菲</t>
  </si>
  <si>
    <t>2013-22-HP-05374-U</t>
    <phoneticPr fontId="3" type="noConversion"/>
  </si>
  <si>
    <t>佟影</t>
  </si>
  <si>
    <t>110101198001242022</t>
    <phoneticPr fontId="3" type="noConversion"/>
  </si>
  <si>
    <t>安德路乙61号院</t>
    <phoneticPr fontId="3" type="noConversion"/>
  </si>
  <si>
    <t>2号楼</t>
    <phoneticPr fontId="3" type="noConversion"/>
  </si>
  <si>
    <t>7层</t>
    <phoneticPr fontId="3" type="noConversion"/>
  </si>
  <si>
    <t>703号</t>
    <phoneticPr fontId="3" type="noConversion"/>
  </si>
  <si>
    <t>一室一厅一卫一厨</t>
    <phoneticPr fontId="3" type="noConversion"/>
  </si>
  <si>
    <t>北京住房公积金管理中心住房公积金贷款中心</t>
    <phoneticPr fontId="3" type="noConversion"/>
  </si>
  <si>
    <t>三</t>
    <phoneticPr fontId="3" type="noConversion"/>
  </si>
  <si>
    <t>五</t>
  </si>
  <si>
    <t>杨熙</t>
    <phoneticPr fontId="3" type="noConversion"/>
  </si>
  <si>
    <t>换正式</t>
    <phoneticPr fontId="3" type="noConversion"/>
  </si>
  <si>
    <t>林双、张金莉、柯昕欣</t>
    <phoneticPr fontId="3" type="noConversion"/>
  </si>
  <si>
    <t>杨熙</t>
    <phoneticPr fontId="3" type="noConversion"/>
  </si>
  <si>
    <t>二手房</t>
    <phoneticPr fontId="3" type="noConversion"/>
  </si>
  <si>
    <t>正常</t>
    <phoneticPr fontId="3" type="noConversion"/>
  </si>
  <si>
    <t>中介</t>
    <phoneticPr fontId="3" type="noConversion"/>
  </si>
  <si>
    <t>杨熙</t>
  </si>
  <si>
    <t>2013-22-YP-01475-FU</t>
    <phoneticPr fontId="3" type="noConversion"/>
  </si>
  <si>
    <t>杨璘、谢允佳</t>
    <phoneticPr fontId="3" type="noConversion"/>
  </si>
  <si>
    <t>110101196912042591、110225196911230028</t>
    <phoneticPr fontId="3" type="noConversion"/>
  </si>
  <si>
    <t>13910633150</t>
    <phoneticPr fontId="3" type="noConversion"/>
  </si>
  <si>
    <t>东城区</t>
    <phoneticPr fontId="3" type="noConversion"/>
  </si>
  <si>
    <t>安德路甲10号</t>
    <phoneticPr fontId="3" type="noConversion"/>
  </si>
  <si>
    <t>3号楼</t>
    <phoneticPr fontId="3" type="noConversion"/>
  </si>
  <si>
    <t>18层</t>
    <phoneticPr fontId="3" type="noConversion"/>
  </si>
  <si>
    <t>2107</t>
    <phoneticPr fontId="3" type="noConversion"/>
  </si>
  <si>
    <t>18</t>
    <phoneticPr fontId="3" type="noConversion"/>
  </si>
  <si>
    <t>二室二厅二卫一厨</t>
    <phoneticPr fontId="3" type="noConversion"/>
  </si>
  <si>
    <t>复式、平层√、跃层、错层</t>
    <phoneticPr fontId="3" type="noConversion"/>
  </si>
  <si>
    <t>冯德智</t>
    <phoneticPr fontId="3" type="noConversion"/>
  </si>
  <si>
    <t>祁龙</t>
    <phoneticPr fontId="3" type="noConversion"/>
  </si>
  <si>
    <t>买卖合同</t>
    <phoneticPr fontId="3" type="noConversion"/>
  </si>
  <si>
    <t>C</t>
    <phoneticPr fontId="3" type="noConversion"/>
  </si>
  <si>
    <t>方杰</t>
  </si>
  <si>
    <t>祁龙</t>
  </si>
  <si>
    <t>2013-22-HP-10826-FU</t>
    <phoneticPr fontId="3" type="noConversion"/>
  </si>
  <si>
    <t>王海跃</t>
    <phoneticPr fontId="3" type="noConversion"/>
  </si>
  <si>
    <t>110111198212201231</t>
    <phoneticPr fontId="3" type="noConversion"/>
  </si>
  <si>
    <t>安德路47号院</t>
    <phoneticPr fontId="3" type="noConversion"/>
  </si>
  <si>
    <t/>
  </si>
  <si>
    <t>4号楼</t>
    <phoneticPr fontId="3" type="noConversion"/>
  </si>
  <si>
    <t>1层5单元</t>
    <phoneticPr fontId="3" type="noConversion"/>
  </si>
  <si>
    <t>102号</t>
    <phoneticPr fontId="3" type="noConversion"/>
  </si>
  <si>
    <t>王海跃</t>
    <phoneticPr fontId="3" type="noConversion"/>
  </si>
  <si>
    <t>二室一厅一卫一厨</t>
    <phoneticPr fontId="3" type="noConversion"/>
  </si>
  <si>
    <t>复式、平层√、跃层、错层</t>
    <phoneticPr fontId="3" type="noConversion"/>
  </si>
  <si>
    <t>冯德智</t>
  </si>
  <si>
    <t>730156</t>
    <phoneticPr fontId="3" type="noConversion"/>
  </si>
  <si>
    <t>李广才</t>
    <phoneticPr fontId="3" type="noConversion"/>
  </si>
  <si>
    <t>中介</t>
  </si>
  <si>
    <t>不含任何税费</t>
  </si>
  <si>
    <t>西营房胡同9号院4号楼12层1212号</t>
    <phoneticPr fontId="134" type="noConversion"/>
  </si>
  <si>
    <t>2012-22-CP-53098-FU</t>
  </si>
  <si>
    <t>王友</t>
  </si>
  <si>
    <t>110101198401173011</t>
    <phoneticPr fontId="3" type="noConversion"/>
  </si>
  <si>
    <t>西营房胡同9号院</t>
    <phoneticPr fontId="3" type="noConversion"/>
  </si>
  <si>
    <t>9层</t>
    <phoneticPr fontId="3" type="noConversion"/>
  </si>
  <si>
    <t>0904号</t>
    <phoneticPr fontId="3" type="noConversion"/>
  </si>
  <si>
    <t>一室一卫一厨</t>
    <phoneticPr fontId="3" type="noConversion"/>
  </si>
  <si>
    <t>北京住房公积金管理中心住房公积金贷款中心</t>
    <phoneticPr fontId="3" type="noConversion"/>
  </si>
  <si>
    <t>王昊</t>
    <phoneticPr fontId="3" type="noConversion"/>
  </si>
  <si>
    <t>一</t>
    <phoneticPr fontId="3" type="noConversion"/>
  </si>
  <si>
    <t>杨菲菲</t>
    <phoneticPr fontId="3" type="noConversion"/>
  </si>
  <si>
    <t>买卖合同</t>
    <phoneticPr fontId="3" type="noConversion"/>
  </si>
  <si>
    <t>C</t>
    <phoneticPr fontId="3" type="noConversion"/>
  </si>
  <si>
    <t>667638</t>
    <phoneticPr fontId="3" type="noConversion"/>
  </si>
  <si>
    <t>钱彦</t>
    <phoneticPr fontId="3" type="noConversion"/>
  </si>
  <si>
    <t>二手房</t>
    <phoneticPr fontId="3" type="noConversion"/>
  </si>
  <si>
    <t>中介</t>
    <phoneticPr fontId="3" type="noConversion"/>
  </si>
  <si>
    <t>不含任何税费</t>
    <phoneticPr fontId="3" type="noConversion"/>
  </si>
  <si>
    <t>杨菲菲</t>
  </si>
  <si>
    <t>2013-22-GP-02066-U</t>
    <phoneticPr fontId="3" type="noConversion"/>
  </si>
  <si>
    <t>赵英琨、臧艳</t>
    <phoneticPr fontId="3" type="noConversion"/>
  </si>
  <si>
    <t>370705198402012515、37078219820201114X</t>
    <phoneticPr fontId="3" type="noConversion"/>
  </si>
  <si>
    <t>东城区西营房胡同9号院</t>
    <phoneticPr fontId="3" type="noConversion"/>
  </si>
  <si>
    <t>3号楼</t>
    <phoneticPr fontId="3" type="noConversion"/>
  </si>
  <si>
    <t>1213号</t>
    <phoneticPr fontId="3" type="noConversion"/>
  </si>
  <si>
    <t>应新华</t>
    <phoneticPr fontId="3" type="noConversion"/>
  </si>
  <si>
    <t>一室一卫一厨</t>
    <phoneticPr fontId="3" type="noConversion"/>
  </si>
  <si>
    <t>王昊</t>
    <phoneticPr fontId="3" type="noConversion"/>
  </si>
  <si>
    <t>李晓岩</t>
    <phoneticPr fontId="3" type="noConversion"/>
  </si>
  <si>
    <t>一</t>
  </si>
  <si>
    <t>杨熙</t>
    <phoneticPr fontId="3" type="noConversion"/>
  </si>
  <si>
    <t>新增</t>
    <phoneticPr fontId="3" type="noConversion"/>
  </si>
  <si>
    <t>应新华</t>
    <phoneticPr fontId="3" type="noConversion"/>
  </si>
  <si>
    <t>2013-22-HP-05856-FU</t>
    <phoneticPr fontId="3" type="noConversion"/>
  </si>
  <si>
    <t>贺立、张雪</t>
    <phoneticPr fontId="3" type="noConversion"/>
  </si>
  <si>
    <t>11010419781205162X、11010519790222683X</t>
    <phoneticPr fontId="3" type="noConversion"/>
  </si>
  <si>
    <t>13701289607</t>
    <phoneticPr fontId="3" type="noConversion"/>
  </si>
  <si>
    <t>东城区</t>
    <phoneticPr fontId="3" type="noConversion"/>
  </si>
  <si>
    <t>2号楼</t>
    <phoneticPr fontId="3" type="noConversion"/>
  </si>
  <si>
    <r>
      <t>15层</t>
    </r>
    <r>
      <rPr>
        <sz val="12"/>
        <color indexed="8"/>
        <rFont val="Times New Roman"/>
        <family val="1"/>
      </rPr>
      <t/>
    </r>
    <phoneticPr fontId="3" type="noConversion"/>
  </si>
  <si>
    <t>1504号</t>
    <phoneticPr fontId="3" type="noConversion"/>
  </si>
  <si>
    <t>三</t>
    <phoneticPr fontId="3" type="noConversion"/>
  </si>
  <si>
    <t>张旭婷</t>
    <phoneticPr fontId="3" type="noConversion"/>
  </si>
  <si>
    <t>697204</t>
    <phoneticPr fontId="3" type="noConversion"/>
  </si>
  <si>
    <t>石利光</t>
    <phoneticPr fontId="3" type="noConversion"/>
  </si>
  <si>
    <t>惠新东街乙8号楼</t>
    <phoneticPr fontId="3" type="noConversion"/>
  </si>
  <si>
    <t>张旭婷</t>
  </si>
  <si>
    <t>张秀梅</t>
    <phoneticPr fontId="3" type="noConversion"/>
  </si>
  <si>
    <t>110102197503183028</t>
    <phoneticPr fontId="3" type="noConversion"/>
  </si>
  <si>
    <t>13611203490</t>
    <phoneticPr fontId="3" type="noConversion"/>
  </si>
  <si>
    <t>4号楼</t>
    <phoneticPr fontId="3" type="noConversion"/>
  </si>
  <si>
    <t>10层</t>
    <phoneticPr fontId="3" type="noConversion"/>
  </si>
  <si>
    <t>1006号</t>
    <phoneticPr fontId="3" type="noConversion"/>
  </si>
  <si>
    <t>张秀梅</t>
    <phoneticPr fontId="3" type="noConversion"/>
  </si>
  <si>
    <t>10</t>
    <phoneticPr fontId="3" type="noConversion"/>
  </si>
  <si>
    <t>王昊</t>
    <phoneticPr fontId="3" type="noConversion"/>
  </si>
  <si>
    <t>戴钧</t>
    <phoneticPr fontId="3" type="noConversion"/>
  </si>
  <si>
    <t>730789</t>
    <phoneticPr fontId="3" type="noConversion"/>
  </si>
  <si>
    <t>杨建斌</t>
    <phoneticPr fontId="3" type="noConversion"/>
  </si>
  <si>
    <t>戴钧</t>
    <phoneticPr fontId="3" type="noConversion"/>
  </si>
  <si>
    <t>惠新东街乙8号楼</t>
    <phoneticPr fontId="3" type="noConversion"/>
  </si>
  <si>
    <t>戴钧</t>
  </si>
  <si>
    <t>2013-22-HP-25860-FU</t>
    <phoneticPr fontId="3" type="noConversion"/>
  </si>
  <si>
    <t>路书英</t>
    <phoneticPr fontId="3" type="noConversion"/>
  </si>
  <si>
    <t>110106197205030045</t>
    <phoneticPr fontId="3" type="noConversion"/>
  </si>
  <si>
    <t>13693200628</t>
    <phoneticPr fontId="3" type="noConversion"/>
  </si>
  <si>
    <t>3号楼</t>
    <phoneticPr fontId="3" type="noConversion"/>
  </si>
  <si>
    <t>9层</t>
    <phoneticPr fontId="3" type="noConversion"/>
  </si>
  <si>
    <t>0912号</t>
    <phoneticPr fontId="3" type="noConversion"/>
  </si>
  <si>
    <t>路书英</t>
    <phoneticPr fontId="3" type="noConversion"/>
  </si>
  <si>
    <t>9</t>
    <phoneticPr fontId="3" type="noConversion"/>
  </si>
  <si>
    <t>北京住房公积金管理中心住房公积金贷款中心</t>
    <phoneticPr fontId="3" type="noConversion"/>
  </si>
  <si>
    <t>五</t>
    <phoneticPr fontId="3" type="noConversion"/>
  </si>
  <si>
    <t>张琳</t>
  </si>
  <si>
    <t>2013-22-GP-19882-U</t>
  </si>
  <si>
    <t>2013-22-GP-19882-U</t>
    <phoneticPr fontId="3" type="noConversion"/>
  </si>
  <si>
    <t>2013-22-HP-05856-FU</t>
  </si>
  <si>
    <t>2013-22-HP-15519-FU</t>
  </si>
  <si>
    <t>2013-22-HP-15519-FU</t>
    <phoneticPr fontId="3" type="noConversion"/>
  </si>
  <si>
    <t>2012-22-CP-02690-FU</t>
  </si>
  <si>
    <t>孙昊</t>
  </si>
  <si>
    <t>110103198307161236</t>
    <phoneticPr fontId="3" type="noConversion"/>
  </si>
  <si>
    <t>13810373041</t>
    <phoneticPr fontId="3" type="noConversion"/>
  </si>
  <si>
    <t>上龙西里</t>
    <phoneticPr fontId="3" type="noConversion"/>
  </si>
  <si>
    <t>33号楼</t>
    <phoneticPr fontId="3" type="noConversion"/>
  </si>
  <si>
    <t>14层</t>
    <phoneticPr fontId="3" type="noConversion"/>
  </si>
  <si>
    <t>1404号</t>
    <phoneticPr fontId="3" type="noConversion"/>
  </si>
  <si>
    <t>刘维</t>
    <phoneticPr fontId="3" type="noConversion"/>
  </si>
  <si>
    <t>14</t>
    <phoneticPr fontId="3" type="noConversion"/>
  </si>
  <si>
    <t>一室一厅一卫一厨</t>
    <phoneticPr fontId="3" type="noConversion"/>
  </si>
  <si>
    <t>复式、平层√、跃层、错层</t>
    <phoneticPr fontId="3" type="noConversion"/>
  </si>
  <si>
    <t>91302012030259</t>
    <phoneticPr fontId="3" type="noConversion"/>
  </si>
  <si>
    <t>冯德智</t>
    <phoneticPr fontId="3" type="noConversion"/>
  </si>
  <si>
    <t>二手房</t>
    <phoneticPr fontId="3" type="noConversion"/>
  </si>
  <si>
    <t>李晓岩</t>
    <phoneticPr fontId="3" type="noConversion"/>
  </si>
  <si>
    <t>三</t>
    <phoneticPr fontId="3" type="noConversion"/>
  </si>
  <si>
    <t>四</t>
    <phoneticPr fontId="3" type="noConversion"/>
  </si>
  <si>
    <t>张旭婷</t>
    <phoneticPr fontId="3" type="noConversion"/>
  </si>
  <si>
    <t>换正式</t>
    <phoneticPr fontId="3" type="noConversion"/>
  </si>
  <si>
    <t>542644</t>
    <phoneticPr fontId="3" type="noConversion"/>
  </si>
  <si>
    <t>2012-22-CP-02921-FU</t>
    <phoneticPr fontId="3" type="noConversion"/>
  </si>
  <si>
    <t>张静、朱迁踏</t>
    <phoneticPr fontId="3" type="noConversion"/>
  </si>
  <si>
    <t>11022819820824002X、450202198301270017</t>
    <phoneticPr fontId="3" type="noConversion"/>
  </si>
  <si>
    <t>13426107127</t>
    <phoneticPr fontId="3" type="noConversion"/>
  </si>
  <si>
    <t>31号楼</t>
    <phoneticPr fontId="3" type="noConversion"/>
  </si>
  <si>
    <t>6层1单元</t>
    <phoneticPr fontId="3" type="noConversion"/>
  </si>
  <si>
    <t>601号</t>
    <phoneticPr fontId="3" type="noConversion"/>
  </si>
  <si>
    <t>91302012030454</t>
    <phoneticPr fontId="3" type="noConversion"/>
  </si>
  <si>
    <t>袁征</t>
    <phoneticPr fontId="3" type="noConversion"/>
  </si>
  <si>
    <t>张旭婷</t>
    <phoneticPr fontId="3" type="noConversion"/>
  </si>
  <si>
    <t>544803</t>
    <phoneticPr fontId="3" type="noConversion"/>
  </si>
  <si>
    <t>赵国胜</t>
    <phoneticPr fontId="3" type="noConversion"/>
  </si>
  <si>
    <t>2012-22-GP-10649-U</t>
    <phoneticPr fontId="3" type="noConversion"/>
  </si>
  <si>
    <t>张一、孙卓越</t>
    <phoneticPr fontId="3" type="noConversion"/>
  </si>
  <si>
    <t>440603198611273420、440602198506090036</t>
    <phoneticPr fontId="3" type="noConversion"/>
  </si>
  <si>
    <t>13811623028</t>
    <phoneticPr fontId="3" type="noConversion"/>
  </si>
  <si>
    <t>22号楼</t>
    <phoneticPr fontId="3" type="noConversion"/>
  </si>
  <si>
    <t>13层1307号</t>
    <phoneticPr fontId="3" type="noConversion"/>
  </si>
  <si>
    <t>赵津</t>
    <phoneticPr fontId="3" type="noConversion"/>
  </si>
  <si>
    <t>559657</t>
    <phoneticPr fontId="3" type="noConversion"/>
  </si>
  <si>
    <t>赵津</t>
    <phoneticPr fontId="3" type="noConversion"/>
  </si>
  <si>
    <t>王明君</t>
    <phoneticPr fontId="3" type="noConversion"/>
  </si>
  <si>
    <t>2012-22-GP-26309-U</t>
    <phoneticPr fontId="3" type="noConversion"/>
  </si>
  <si>
    <t>耿玲玲、张雪锋</t>
    <phoneticPr fontId="3" type="noConversion"/>
  </si>
  <si>
    <t>372401198107092743、422129197702014512</t>
    <phoneticPr fontId="3" type="noConversion"/>
  </si>
  <si>
    <t>13436680879</t>
    <phoneticPr fontId="3" type="noConversion"/>
  </si>
  <si>
    <t>38号楼</t>
    <phoneticPr fontId="3" type="noConversion"/>
  </si>
  <si>
    <t>402号</t>
    <phoneticPr fontId="3" type="noConversion"/>
  </si>
  <si>
    <t>何明</t>
    <phoneticPr fontId="3" type="noConversion"/>
  </si>
  <si>
    <t>二室二厅一卫一厨</t>
    <phoneticPr fontId="3" type="noConversion"/>
  </si>
  <si>
    <t>王昊</t>
    <phoneticPr fontId="3" type="noConversion"/>
  </si>
  <si>
    <t>八</t>
    <phoneticPr fontId="3" type="noConversion"/>
  </si>
  <si>
    <t>二</t>
    <phoneticPr fontId="3" type="noConversion"/>
  </si>
  <si>
    <t>601872</t>
    <phoneticPr fontId="3" type="noConversion"/>
  </si>
  <si>
    <t>何明</t>
  </si>
  <si>
    <t>2012-22-HP-28718-FU</t>
    <phoneticPr fontId="3" type="noConversion"/>
  </si>
  <si>
    <t>何勇</t>
    <phoneticPr fontId="3" type="noConversion"/>
  </si>
  <si>
    <t>431002198004206613</t>
    <phoneticPr fontId="3" type="noConversion"/>
  </si>
  <si>
    <t>13717873161</t>
    <phoneticPr fontId="3" type="noConversion"/>
  </si>
  <si>
    <t>23号楼</t>
    <phoneticPr fontId="3" type="noConversion"/>
  </si>
  <si>
    <t>11层</t>
    <phoneticPr fontId="3" type="noConversion"/>
  </si>
  <si>
    <t>1101号</t>
    <phoneticPr fontId="3" type="noConversion"/>
  </si>
  <si>
    <t>11</t>
    <phoneticPr fontId="3" type="noConversion"/>
  </si>
  <si>
    <t>三室一厅一卫一厨</t>
    <phoneticPr fontId="3" type="noConversion"/>
  </si>
  <si>
    <t>北京住房公积金管理中心住房公积金贷款中心</t>
    <phoneticPr fontId="3" type="noConversion"/>
  </si>
  <si>
    <t>岳士军</t>
    <phoneticPr fontId="3" type="noConversion"/>
  </si>
  <si>
    <t>九</t>
  </si>
  <si>
    <t>二</t>
    <phoneticPr fontId="3" type="noConversion"/>
  </si>
  <si>
    <t>祁龙</t>
    <phoneticPr fontId="3" type="noConversion"/>
  </si>
  <si>
    <t>买卖合同</t>
    <phoneticPr fontId="3" type="noConversion"/>
  </si>
  <si>
    <t>王成学</t>
    <phoneticPr fontId="3" type="noConversion"/>
  </si>
  <si>
    <t>正常</t>
    <phoneticPr fontId="3" type="noConversion"/>
  </si>
  <si>
    <t>中介</t>
    <phoneticPr fontId="3" type="noConversion"/>
  </si>
  <si>
    <t xml:space="preserve">2012-22-HP-38004-FU  </t>
  </si>
  <si>
    <t>高艳</t>
  </si>
  <si>
    <t>140102197603254044</t>
  </si>
  <si>
    <t>东城区</t>
  </si>
  <si>
    <t>上龙西里</t>
  </si>
  <si>
    <t>22号楼</t>
  </si>
  <si>
    <t>4层</t>
  </si>
  <si>
    <t>403号</t>
  </si>
  <si>
    <t>一室一厅一卫一厨</t>
  </si>
  <si>
    <t>十</t>
    <phoneticPr fontId="3" type="noConversion"/>
  </si>
  <si>
    <t>杨熙</t>
    <phoneticPr fontId="3" type="noConversion"/>
  </si>
  <si>
    <t>买卖合同</t>
  </si>
  <si>
    <t>金小英</t>
  </si>
  <si>
    <t>2012-22-HP-42012-FU</t>
    <phoneticPr fontId="3" type="noConversion"/>
  </si>
  <si>
    <t>周俐</t>
    <phoneticPr fontId="3" type="noConversion"/>
  </si>
  <si>
    <t>360102197207230025</t>
    <phoneticPr fontId="3" type="noConversion"/>
  </si>
  <si>
    <t>东城区</t>
    <phoneticPr fontId="3" type="noConversion"/>
  </si>
  <si>
    <t>41号楼</t>
    <phoneticPr fontId="3" type="noConversion"/>
  </si>
  <si>
    <t>2层2单元</t>
    <phoneticPr fontId="3" type="noConversion"/>
  </si>
  <si>
    <t>201号</t>
    <phoneticPr fontId="3" type="noConversion"/>
  </si>
  <si>
    <t>十二</t>
  </si>
  <si>
    <t>戴钧</t>
    <phoneticPr fontId="3" type="noConversion"/>
  </si>
  <si>
    <t xml:space="preserve">C </t>
    <phoneticPr fontId="3" type="noConversion"/>
  </si>
  <si>
    <t>635130</t>
    <phoneticPr fontId="3" type="noConversion"/>
  </si>
  <si>
    <t>杨红</t>
    <phoneticPr fontId="3" type="noConversion"/>
  </si>
  <si>
    <t>塔楼</t>
  </si>
  <si>
    <r>
      <t>15/18</t>
    </r>
    <r>
      <rPr>
        <sz val="11"/>
        <color indexed="8"/>
        <rFont val="宋体"/>
        <family val="3"/>
        <charset val="134"/>
      </rPr>
      <t>（高层）</t>
    </r>
    <phoneticPr fontId="24" type="noConversion"/>
  </si>
  <si>
    <r>
      <t>10/17</t>
    </r>
    <r>
      <rPr>
        <sz val="11"/>
        <color indexed="8"/>
        <rFont val="宋体"/>
        <family val="3"/>
        <charset val="134"/>
      </rPr>
      <t>（中层）</t>
    </r>
    <phoneticPr fontId="24" type="noConversion"/>
  </si>
  <si>
    <r>
      <t>2/18</t>
    </r>
    <r>
      <rPr>
        <sz val="11"/>
        <color indexed="8"/>
        <rFont val="宋体"/>
        <family val="3"/>
        <charset val="134"/>
      </rPr>
      <t>（低层）</t>
    </r>
    <phoneticPr fontId="24" type="noConversion"/>
  </si>
  <si>
    <t>南北东</t>
  </si>
  <si>
    <t>南北东</t>
    <phoneticPr fontId="24" type="noConversion"/>
  </si>
  <si>
    <t>东</t>
    <phoneticPr fontId="24" type="noConversion"/>
  </si>
  <si>
    <t>西</t>
  </si>
  <si>
    <t>西</t>
    <phoneticPr fontId="24" type="noConversion"/>
  </si>
  <si>
    <t>居室</t>
  </si>
  <si>
    <t>厨房</t>
  </si>
  <si>
    <t>卫生间</t>
  </si>
  <si>
    <t>公共部分</t>
  </si>
  <si>
    <t>录入修改时间</t>
  </si>
  <si>
    <t>小区名称</t>
  </si>
  <si>
    <t>楼号</t>
  </si>
  <si>
    <t>标准</t>
  </si>
  <si>
    <t>屋面</t>
  </si>
  <si>
    <t>外墙面</t>
  </si>
  <si>
    <t>外门窗</t>
  </si>
  <si>
    <t>天棚</t>
  </si>
  <si>
    <t>内墙面</t>
  </si>
  <si>
    <t>楼面</t>
  </si>
  <si>
    <t>内门</t>
  </si>
  <si>
    <t>建筑装饰配件及附属设备</t>
  </si>
  <si>
    <t xml:space="preserve"> 大堂</t>
  </si>
  <si>
    <t>门廊</t>
  </si>
  <si>
    <t>楼梯间</t>
  </si>
  <si>
    <t>特色</t>
  </si>
  <si>
    <t>供水</t>
  </si>
  <si>
    <t>排水</t>
  </si>
  <si>
    <t>供电</t>
  </si>
  <si>
    <t>采暖</t>
  </si>
  <si>
    <t>燃气</t>
  </si>
  <si>
    <t>通讯</t>
  </si>
  <si>
    <t>通风</t>
  </si>
  <si>
    <t>消防</t>
  </si>
  <si>
    <t>计量</t>
  </si>
  <si>
    <t>保安</t>
  </si>
  <si>
    <t>电梯</t>
  </si>
  <si>
    <t>停车</t>
  </si>
  <si>
    <t>物业管理</t>
  </si>
  <si>
    <t>居住区类型</t>
  </si>
  <si>
    <t>商服中心等级</t>
  </si>
  <si>
    <t>道路级别</t>
  </si>
  <si>
    <t>公交</t>
  </si>
  <si>
    <t>配套</t>
  </si>
  <si>
    <t>基础供气</t>
  </si>
  <si>
    <t>绿地率</t>
  </si>
  <si>
    <t>公共绿地</t>
  </si>
  <si>
    <t>楼宇类型</t>
  </si>
  <si>
    <t>环境</t>
  </si>
  <si>
    <t>积聚程度</t>
  </si>
  <si>
    <t>基础设施</t>
  </si>
  <si>
    <t>居住密度</t>
  </si>
  <si>
    <t>园林绿化</t>
  </si>
  <si>
    <t>录入人</t>
  </si>
  <si>
    <t>修改人</t>
  </si>
  <si>
    <t>年</t>
  </si>
  <si>
    <t>月</t>
  </si>
  <si>
    <t>日</t>
  </si>
  <si>
    <t>周次</t>
  </si>
  <si>
    <t>变更类型</t>
  </si>
  <si>
    <t>建成年代</t>
  </si>
  <si>
    <t>朝向</t>
  </si>
  <si>
    <t>贷款额度</t>
  </si>
  <si>
    <t>贷款年限</t>
  </si>
  <si>
    <t>33-203</t>
  </si>
  <si>
    <t>涂料</t>
  </si>
  <si>
    <t>外窗：塑钢窗；户门：防盗门</t>
  </si>
  <si>
    <t>铝扣板吊顶</t>
  </si>
  <si>
    <t>瓷砖</t>
  </si>
  <si>
    <t>地砖、木地板</t>
  </si>
  <si>
    <t>地砖</t>
  </si>
  <si>
    <t>木门</t>
  </si>
  <si>
    <t>洗菜池、整体橱柜、抽油烟机</t>
  </si>
  <si>
    <t>面盆、座便器</t>
  </si>
  <si>
    <t>水泥地面、涂料墙面</t>
  </si>
  <si>
    <t>市政供水</t>
  </si>
  <si>
    <t>市政排水</t>
  </si>
  <si>
    <t>市政供电</t>
  </si>
  <si>
    <t>集中供暖</t>
  </si>
  <si>
    <t>管道燃气入户</t>
  </si>
  <si>
    <t>电话线、有线电视、宽带入户</t>
  </si>
  <si>
    <t>消防栓</t>
  </si>
  <si>
    <t>电表磁卡计量</t>
  </si>
  <si>
    <t>小区门卫、电子门禁</t>
  </si>
  <si>
    <t>2部</t>
  </si>
  <si>
    <t>楼前后停车</t>
  </si>
  <si>
    <t>自管</t>
  </si>
  <si>
    <t>标准居住区</t>
  </si>
  <si>
    <t>市级、区级、小区级√、街区级</t>
  </si>
  <si>
    <t>高速公路、城市快速路、城市主干道√、城市次干道、支路</t>
  </si>
  <si>
    <t>有108、407等公交线路及地铁2号线经过</t>
  </si>
  <si>
    <t>利用周围配套设施</t>
  </si>
  <si>
    <t>√</t>
  </si>
  <si>
    <t>高塔</t>
  </si>
  <si>
    <t>中</t>
  </si>
  <si>
    <t>七通一平</t>
  </si>
  <si>
    <t>东南北</t>
  </si>
  <si>
    <t>西营房胡同9号院</t>
  </si>
  <si>
    <t>2号楼1504号</t>
  </si>
  <si>
    <t>PVC吊顶</t>
  </si>
  <si>
    <t>洗菜池、整体厨柜、灶具、抽油烟机</t>
  </si>
  <si>
    <t>水泥地面，涂料墙面</t>
  </si>
  <si>
    <t>有线电视、电话线、宽带入户</t>
  </si>
  <si>
    <t>电子门禁</t>
  </si>
  <si>
    <t>3部</t>
  </si>
  <si>
    <t>专用停车场位</t>
  </si>
  <si>
    <t>专业物业公司管理</t>
  </si>
  <si>
    <t>市级、区级√、小区级、街区级</t>
  </si>
  <si>
    <t>城市主干道√、城市次干道、支路</t>
  </si>
  <si>
    <t>有27、113路等公交线路及地铁2号线经过</t>
  </si>
  <si>
    <t>较好</t>
  </si>
  <si>
    <t>四</t>
  </si>
  <si>
    <t>4-1006</t>
  </si>
  <si>
    <t>外窗：塑钢窗，户门：防盗门、木门</t>
  </si>
  <si>
    <t>木地板</t>
  </si>
  <si>
    <t>洗菜池、整体橱柜、灶具、周油烟机</t>
  </si>
  <si>
    <t>消防井</t>
  </si>
  <si>
    <t>有27、113等公交线路经过</t>
  </si>
  <si>
    <t>三</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</si>
</sst>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 numFmtId="197" formatCode="000000"/>
    <numFmt numFmtId="198" formatCode="[DBNum1][$-804]General"/>
    <numFmt numFmtId="199" formatCode="00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7"/>
      <color rgb="FF000000"/>
      <name val="Microsoft YaHei"/>
      <family val="2"/>
      <charset val="134"/>
    </font>
    <font>
      <sz val="7"/>
      <color rgb="FF333333"/>
      <name val="Microsoft YaHei"/>
      <family val="2"/>
      <charset val="134"/>
    </font>
    <font>
      <sz val="10"/>
      <color rgb="FF333333"/>
      <name val="Microsoft YaHei"/>
      <family val="2"/>
      <charset val="134"/>
    </font>
    <font>
      <sz val="7"/>
      <color rgb="FFFF0000"/>
      <name val="Microsoft YaHei"/>
      <family val="2"/>
      <charset val="134"/>
    </font>
    <font>
      <sz val="12"/>
      <color indexed="8"/>
      <name val="Times New Roman"/>
      <family val="1"/>
    </font>
    <font>
      <b/>
      <sz val="9"/>
      <color indexed="81"/>
      <name val="Times New Roman"/>
      <family val="1"/>
    </font>
    <font>
      <sz val="10"/>
      <name val="Times New Roman"/>
      <family val="1"/>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7F7F7"/>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7" tint="0.79998168889431442"/>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49" fontId="4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 fontId="70" fillId="3" borderId="20" xfId="0" applyNumberFormat="1" applyFont="1" applyFill="1" applyBorder="1" applyAlignment="1" applyProtection="1">
      <alignment vertical="center" wrapText="1"/>
      <protection locked="0"/>
    </xf>
    <xf numFmtId="0" fontId="128" fillId="0" borderId="37" xfId="0" applyNumberFormat="1" applyFont="1" applyFill="1" applyBorder="1" applyAlignment="1" applyProtection="1">
      <alignment horizontal="center" vertical="center" wrapText="1"/>
      <protection locked="0"/>
    </xf>
    <xf numFmtId="181" fontId="68" fillId="9" borderId="0" xfId="0" applyNumberFormat="1" applyFont="1" applyFill="1" applyBorder="1" applyAlignment="1" applyProtection="1">
      <alignment horizontal="center" vertical="center" wrapText="1"/>
      <protection locked="0"/>
    </xf>
    <xf numFmtId="0" fontId="51" fillId="9" borderId="0" xfId="0" applyFont="1" applyFill="1" applyBorder="1" applyAlignment="1" applyProtection="1">
      <alignment horizontal="center" vertical="center"/>
      <protection locked="0"/>
    </xf>
    <xf numFmtId="0" fontId="51" fillId="9" borderId="1" xfId="0" applyFont="1" applyFill="1" applyBorder="1" applyAlignment="1" applyProtection="1">
      <alignment horizontal="center" vertical="center" wrapText="1"/>
    </xf>
    <xf numFmtId="187" fontId="51" fillId="9" borderId="5" xfId="0" applyNumberFormat="1" applyFont="1" applyFill="1" applyBorder="1" applyAlignment="1" applyProtection="1">
      <alignment horizontal="center" vertical="center"/>
    </xf>
    <xf numFmtId="49" fontId="51" fillId="9" borderId="3" xfId="0" applyNumberFormat="1" applyFont="1" applyFill="1" applyBorder="1" applyAlignment="1" applyProtection="1">
      <alignment horizontal="center" vertical="center"/>
    </xf>
    <xf numFmtId="0" fontId="51" fillId="9" borderId="15" xfId="0" applyFont="1" applyFill="1" applyBorder="1" applyAlignment="1" applyProtection="1">
      <alignment horizontal="center" vertical="center"/>
    </xf>
    <xf numFmtId="0" fontId="51" fillId="9" borderId="1" xfId="0" applyFont="1" applyFill="1" applyBorder="1" applyAlignment="1" applyProtection="1">
      <alignment horizontal="center" vertical="center"/>
    </xf>
    <xf numFmtId="0" fontId="51" fillId="9" borderId="1" xfId="0" applyNumberFormat="1" applyFont="1" applyFill="1" applyBorder="1" applyAlignment="1" applyProtection="1">
      <alignment horizontal="center" vertical="center"/>
    </xf>
    <xf numFmtId="0" fontId="51" fillId="9" borderId="0" xfId="0" applyFont="1" applyFill="1" applyAlignment="1" applyProtection="1">
      <alignment horizontal="center" vertical="center"/>
      <protection locked="0"/>
    </xf>
    <xf numFmtId="0" fontId="128" fillId="0" borderId="4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xf>
    <xf numFmtId="0" fontId="58" fillId="6" borderId="48" xfId="0" applyNumberFormat="1" applyFont="1" applyFill="1" applyBorder="1" applyAlignment="1" applyProtection="1">
      <alignment horizontal="center" vertical="center" wrapText="1"/>
      <protection locked="0"/>
    </xf>
    <xf numFmtId="49" fontId="128" fillId="0" borderId="41" xfId="0" applyNumberFormat="1" applyFont="1" applyFill="1" applyBorder="1" applyAlignment="1" applyProtection="1">
      <alignment horizontal="center" vertical="center" wrapText="1"/>
      <protection locked="0"/>
    </xf>
    <xf numFmtId="0" fontId="270" fillId="12" borderId="176" xfId="0" applyFont="1" applyFill="1" applyBorder="1" applyAlignment="1">
      <alignment horizontal="center" vertical="center" wrapText="1"/>
    </xf>
    <xf numFmtId="0" fontId="271" fillId="12" borderId="176" xfId="0" applyFont="1" applyFill="1" applyBorder="1" applyAlignment="1">
      <alignment horizontal="center" vertical="center" wrapText="1"/>
    </xf>
    <xf numFmtId="0" fontId="270" fillId="22" borderId="176" xfId="0" applyFont="1" applyFill="1" applyBorder="1" applyAlignment="1">
      <alignment horizontal="center" vertical="center" wrapText="1"/>
    </xf>
    <xf numFmtId="0" fontId="271" fillId="22" borderId="176" xfId="0" applyFont="1" applyFill="1" applyBorder="1" applyAlignment="1">
      <alignment horizontal="center" vertical="center" wrapText="1"/>
    </xf>
    <xf numFmtId="14" fontId="270" fillId="12" borderId="176" xfId="0" applyNumberFormat="1" applyFont="1" applyFill="1" applyBorder="1" applyAlignment="1">
      <alignment horizontal="center" vertical="center" wrapText="1"/>
    </xf>
    <xf numFmtId="14" fontId="270" fillId="22" borderId="176" xfId="0" applyNumberFormat="1" applyFont="1" applyFill="1" applyBorder="1" applyAlignment="1">
      <alignment horizontal="center" vertical="center" wrapText="1"/>
    </xf>
    <xf numFmtId="0" fontId="272" fillId="12" borderId="176" xfId="0" applyFont="1" applyFill="1" applyBorder="1" applyAlignment="1">
      <alignment horizontal="center" vertical="center" wrapText="1"/>
    </xf>
    <xf numFmtId="14" fontId="272" fillId="12" borderId="176" xfId="0" applyNumberFormat="1" applyFont="1" applyFill="1" applyBorder="1" applyAlignment="1">
      <alignment horizontal="center" vertical="center" wrapText="1"/>
    </xf>
    <xf numFmtId="0" fontId="269" fillId="22" borderId="178" xfId="0" applyFont="1" applyFill="1" applyBorder="1" applyAlignment="1">
      <alignment horizontal="center" vertical="center" wrapText="1"/>
    </xf>
    <xf numFmtId="0" fontId="270" fillId="22" borderId="177" xfId="0" applyFont="1" applyFill="1" applyBorder="1" applyAlignment="1">
      <alignment horizontal="center" vertical="center" wrapText="1"/>
    </xf>
    <xf numFmtId="0" fontId="271" fillId="22" borderId="177" xfId="0" applyFont="1" applyFill="1" applyBorder="1" applyAlignment="1">
      <alignment horizontal="center" vertical="center" wrapText="1"/>
    </xf>
    <xf numFmtId="14" fontId="270" fillId="22" borderId="177" xfId="0" applyNumberFormat="1" applyFont="1" applyFill="1" applyBorder="1" applyAlignment="1">
      <alignment horizontal="center" vertical="center" wrapText="1"/>
    </xf>
    <xf numFmtId="0" fontId="270" fillId="5" borderId="176" xfId="0" applyFont="1" applyFill="1" applyBorder="1" applyAlignment="1">
      <alignment horizontal="center" vertical="center" wrapText="1"/>
    </xf>
    <xf numFmtId="0" fontId="271" fillId="5" borderId="176" xfId="0" applyFont="1" applyFill="1" applyBorder="1" applyAlignment="1">
      <alignment horizontal="center" vertical="center" wrapText="1"/>
    </xf>
    <xf numFmtId="14" fontId="270" fillId="5" borderId="176" xfId="0" applyNumberFormat="1" applyFont="1" applyFill="1" applyBorder="1" applyAlignment="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49" fontId="19" fillId="23" borderId="1" xfId="0" applyNumberFormat="1" applyFont="1" applyFill="1" applyBorder="1" applyAlignment="1" applyProtection="1">
      <alignment horizontal="left"/>
      <protection locked="0"/>
    </xf>
    <xf numFmtId="0" fontId="19" fillId="23" borderId="1" xfId="0" applyFont="1" applyFill="1" applyBorder="1" applyAlignment="1" applyProtection="1">
      <alignment horizontal="center"/>
      <protection locked="0"/>
    </xf>
    <xf numFmtId="49" fontId="19" fillId="23" borderId="1" xfId="0" applyNumberFormat="1" applyFont="1" applyFill="1" applyBorder="1" applyAlignment="1" applyProtection="1">
      <alignment horizontal="center"/>
      <protection locked="0"/>
    </xf>
    <xf numFmtId="0" fontId="19" fillId="23" borderId="1" xfId="0" applyFont="1" applyFill="1" applyBorder="1" applyAlignment="1" applyProtection="1">
      <protection locked="0"/>
    </xf>
    <xf numFmtId="0" fontId="19" fillId="23" borderId="1" xfId="0" applyFont="1" applyFill="1" applyBorder="1" applyAlignment="1" applyProtection="1">
      <alignment horizontal="right"/>
      <protection locked="0"/>
    </xf>
    <xf numFmtId="0" fontId="19" fillId="23" borderId="1" xfId="0" applyFont="1" applyFill="1" applyBorder="1" applyAlignment="1" applyProtection="1">
      <alignment horizontal="left"/>
      <protection locked="0"/>
    </xf>
    <xf numFmtId="196" fontId="19" fillId="23" borderId="1" xfId="0" applyNumberFormat="1" applyFont="1" applyFill="1" applyBorder="1" applyAlignment="1" applyProtection="1">
      <alignment horizontal="right"/>
      <protection locked="0"/>
    </xf>
    <xf numFmtId="0" fontId="184" fillId="23" borderId="1" xfId="0" applyFont="1" applyFill="1" applyBorder="1" applyAlignment="1" applyProtection="1">
      <alignment horizontal="left"/>
      <protection locked="0"/>
    </xf>
    <xf numFmtId="0" fontId="184" fillId="23" borderId="1" xfId="0" applyFont="1" applyFill="1" applyBorder="1" applyAlignment="1" applyProtection="1">
      <protection locked="0"/>
    </xf>
    <xf numFmtId="31" fontId="19" fillId="23" borderId="1" xfId="0" applyNumberFormat="1" applyFont="1" applyFill="1" applyBorder="1" applyAlignment="1" applyProtection="1">
      <protection locked="0"/>
    </xf>
    <xf numFmtId="0" fontId="176" fillId="23" borderId="1" xfId="0" applyFont="1" applyFill="1" applyBorder="1" applyAlignment="1" applyProtection="1">
      <alignment horizontal="center"/>
      <protection locked="0"/>
    </xf>
    <xf numFmtId="0" fontId="176" fillId="23" borderId="5" xfId="0" applyFont="1" applyFill="1" applyBorder="1" applyAlignment="1" applyProtection="1">
      <alignment horizontal="center"/>
      <protection locked="0"/>
    </xf>
    <xf numFmtId="0" fontId="80" fillId="23" borderId="1" xfId="0" applyFont="1" applyFill="1" applyBorder="1" applyAlignment="1" applyProtection="1">
      <alignment horizontal="center"/>
      <protection locked="0"/>
    </xf>
    <xf numFmtId="0" fontId="80" fillId="23" borderId="1" xfId="0" applyFont="1" applyFill="1" applyBorder="1" applyAlignment="1">
      <alignment horizontal="center"/>
    </xf>
    <xf numFmtId="0" fontId="19" fillId="24" borderId="1" xfId="0" applyFont="1" applyFill="1" applyBorder="1" applyAlignment="1" applyProtection="1">
      <protection locked="0"/>
    </xf>
    <xf numFmtId="49" fontId="19" fillId="24" borderId="1" xfId="0" applyNumberFormat="1" applyFont="1" applyFill="1" applyBorder="1" applyAlignment="1" applyProtection="1">
      <protection locked="0"/>
    </xf>
    <xf numFmtId="197" fontId="19" fillId="24" borderId="1" xfId="0" applyNumberFormat="1" applyFont="1" applyFill="1" applyBorder="1" applyAlignment="1" applyProtection="1">
      <protection locked="0"/>
    </xf>
    <xf numFmtId="179" fontId="19" fillId="24" borderId="1" xfId="0" applyNumberFormat="1" applyFont="1" applyFill="1" applyBorder="1" applyAlignment="1" applyProtection="1">
      <protection locked="0"/>
    </xf>
    <xf numFmtId="31" fontId="19" fillId="24" borderId="1" xfId="0" applyNumberFormat="1" applyFont="1" applyFill="1" applyBorder="1" applyAlignment="1" applyProtection="1">
      <protection locked="0"/>
    </xf>
    <xf numFmtId="183" fontId="80" fillId="23" borderId="1" xfId="0" applyNumberFormat="1" applyFont="1" applyFill="1" applyBorder="1" applyAlignment="1" applyProtection="1">
      <alignment horizontal="center"/>
      <protection locked="0"/>
    </xf>
    <xf numFmtId="183" fontId="176" fillId="23" borderId="1" xfId="0" applyNumberFormat="1" applyFont="1" applyFill="1" applyBorder="1" applyAlignment="1" applyProtection="1">
      <alignment horizontal="center"/>
      <protection locked="0"/>
    </xf>
    <xf numFmtId="0" fontId="80" fillId="25" borderId="1" xfId="0" applyFont="1" applyFill="1" applyBorder="1" applyAlignment="1" applyProtection="1">
      <alignment horizontal="center"/>
      <protection locked="0"/>
    </xf>
    <xf numFmtId="0" fontId="19" fillId="0" borderId="1" xfId="0" applyFont="1" applyFill="1" applyBorder="1" applyAlignment="1" applyProtection="1">
      <protection locked="0"/>
    </xf>
    <xf numFmtId="0" fontId="19" fillId="0" borderId="1" xfId="0" applyNumberFormat="1" applyFont="1" applyFill="1" applyBorder="1" applyAlignment="1" applyProtection="1">
      <protection locked="0"/>
    </xf>
    <xf numFmtId="49" fontId="80" fillId="23" borderId="1" xfId="0" applyNumberFormat="1" applyFont="1" applyFill="1" applyBorder="1" applyAlignment="1" applyProtection="1">
      <alignment horizontal="center"/>
      <protection locked="0"/>
    </xf>
    <xf numFmtId="0" fontId="80" fillId="23" borderId="1" xfId="0" applyFont="1" applyFill="1" applyBorder="1" applyAlignment="1" applyProtection="1">
      <alignment horizontal="right"/>
      <protection locked="0"/>
    </xf>
    <xf numFmtId="0" fontId="80" fillId="23" borderId="1" xfId="0" applyFont="1" applyFill="1" applyBorder="1" applyAlignment="1" applyProtection="1">
      <protection locked="0"/>
    </xf>
    <xf numFmtId="196" fontId="80" fillId="23" borderId="1" xfId="0" applyNumberFormat="1" applyFont="1" applyFill="1" applyBorder="1" applyAlignment="1" applyProtection="1">
      <alignment horizontal="right"/>
      <protection locked="0"/>
    </xf>
    <xf numFmtId="31" fontId="80" fillId="23" borderId="1" xfId="0" applyNumberFormat="1" applyFont="1" applyFill="1" applyBorder="1" applyAlignment="1" applyProtection="1">
      <alignment horizontal="center"/>
      <protection locked="0"/>
    </xf>
    <xf numFmtId="0" fontId="80" fillId="24" borderId="1" xfId="0" applyFont="1" applyFill="1" applyBorder="1" applyAlignment="1" applyProtection="1">
      <alignment horizontal="center"/>
      <protection locked="0"/>
    </xf>
    <xf numFmtId="46" fontId="80" fillId="24" borderId="1" xfId="0" applyNumberFormat="1" applyFont="1" applyFill="1" applyBorder="1" applyAlignment="1" applyProtection="1">
      <alignment horizontal="center"/>
      <protection locked="0"/>
    </xf>
    <xf numFmtId="49" fontId="80" fillId="24" borderId="1" xfId="0" applyNumberFormat="1" applyFont="1" applyFill="1" applyBorder="1" applyAlignment="1" applyProtection="1">
      <alignment horizontal="center"/>
      <protection locked="0"/>
    </xf>
    <xf numFmtId="197" fontId="80" fillId="24" borderId="1" xfId="0" applyNumberFormat="1" applyFont="1" applyFill="1" applyBorder="1" applyAlignment="1" applyProtection="1">
      <alignment horizontal="center"/>
      <protection locked="0"/>
    </xf>
    <xf numFmtId="179" fontId="80" fillId="24" borderId="1" xfId="0" applyNumberFormat="1" applyFont="1" applyFill="1" applyBorder="1" applyAlignment="1" applyProtection="1">
      <alignment horizontal="center"/>
      <protection locked="0"/>
    </xf>
    <xf numFmtId="31" fontId="80" fillId="24" borderId="1" xfId="0" applyNumberFormat="1" applyFont="1" applyFill="1" applyBorder="1" applyAlignment="1" applyProtection="1">
      <alignment horizontal="center"/>
      <protection locked="0"/>
    </xf>
    <xf numFmtId="0" fontId="80" fillId="0" borderId="1" xfId="0" applyFont="1" applyFill="1" applyBorder="1" applyAlignment="1" applyProtection="1">
      <alignment horizontal="center"/>
      <protection locked="0"/>
    </xf>
    <xf numFmtId="0" fontId="80" fillId="0" borderId="1" xfId="0" applyNumberFormat="1" applyFont="1" applyFill="1" applyBorder="1" applyAlignment="1" applyProtection="1">
      <alignment horizontal="center"/>
      <protection locked="0"/>
    </xf>
    <xf numFmtId="0" fontId="19" fillId="0" borderId="1" xfId="0" applyFont="1" applyFill="1" applyBorder="1" applyAlignment="1">
      <alignment vertical="center"/>
    </xf>
    <xf numFmtId="49" fontId="19" fillId="0" borderId="1" xfId="0" applyNumberFormat="1" applyFont="1" applyFill="1" applyBorder="1" applyAlignment="1">
      <alignment vertical="center"/>
    </xf>
    <xf numFmtId="49" fontId="19" fillId="0" borderId="1" xfId="0" applyNumberFormat="1" applyFont="1" applyFill="1" applyBorder="1" applyAlignment="1" applyProtection="1">
      <alignment horizontal="left" vertical="center"/>
    </xf>
    <xf numFmtId="0" fontId="19" fillId="0" borderId="1" xfId="0" applyFont="1" applyFill="1" applyBorder="1" applyAlignment="1">
      <alignment horizontal="right" vertical="center"/>
    </xf>
    <xf numFmtId="1" fontId="19" fillId="0" borderId="1" xfId="0" applyNumberFormat="1" applyFont="1" applyFill="1" applyBorder="1" applyAlignment="1">
      <alignment horizontal="right" vertical="center"/>
    </xf>
    <xf numFmtId="2" fontId="19" fillId="0" borderId="1" xfId="0" applyNumberFormat="1" applyFont="1" applyFill="1" applyBorder="1" applyAlignment="1">
      <alignment horizontal="right" vertical="center"/>
    </xf>
    <xf numFmtId="196" fontId="19" fillId="0" borderId="1" xfId="0" applyNumberFormat="1" applyFont="1" applyFill="1" applyBorder="1" applyAlignment="1">
      <alignment horizontal="right" vertical="center"/>
    </xf>
    <xf numFmtId="9" fontId="19" fillId="0" borderId="1" xfId="0" applyNumberFormat="1" applyFont="1" applyFill="1" applyBorder="1" applyAlignment="1">
      <alignment horizontal="right" vertical="center"/>
    </xf>
    <xf numFmtId="2" fontId="19" fillId="0" borderId="1" xfId="0" applyNumberFormat="1" applyFont="1" applyFill="1" applyBorder="1" applyAlignment="1" applyProtection="1">
      <alignment horizontal="right" vertical="center"/>
    </xf>
    <xf numFmtId="0" fontId="19" fillId="0" borderId="1" xfId="0" applyFont="1" applyFill="1" applyBorder="1" applyAlignment="1" applyProtection="1">
      <alignment horizontal="right" vertical="center"/>
      <protection locked="0"/>
    </xf>
    <xf numFmtId="0" fontId="19" fillId="0" borderId="1" xfId="0" applyFont="1" applyFill="1" applyBorder="1" applyAlignment="1">
      <alignment horizontal="center" vertical="center"/>
    </xf>
    <xf numFmtId="0" fontId="19" fillId="0" borderId="1" xfId="0" applyFont="1" applyFill="1" applyBorder="1" applyAlignment="1" applyProtection="1">
      <alignment vertical="center"/>
    </xf>
    <xf numFmtId="31" fontId="19" fillId="0" borderId="1" xfId="0" applyNumberFormat="1" applyFont="1" applyFill="1" applyBorder="1" applyAlignment="1" applyProtection="1">
      <alignment vertical="center"/>
    </xf>
    <xf numFmtId="198" fontId="19" fillId="0" borderId="1" xfId="0" applyNumberFormat="1" applyFont="1" applyFill="1" applyBorder="1" applyAlignment="1" applyProtection="1">
      <alignment horizontal="center" vertical="center"/>
    </xf>
    <xf numFmtId="0" fontId="19" fillId="0" borderId="1" xfId="0" applyFont="1" applyFill="1" applyBorder="1" applyAlignment="1" applyProtection="1">
      <alignment vertical="center"/>
      <protection locked="0"/>
    </xf>
    <xf numFmtId="0" fontId="19" fillId="0" borderId="1" xfId="0" applyFont="1" applyFill="1" applyBorder="1" applyAlignment="1" applyProtection="1">
      <alignment horizontal="left" vertical="center"/>
      <protection locked="0"/>
    </xf>
    <xf numFmtId="49" fontId="19" fillId="0" borderId="1" xfId="0" applyNumberFormat="1" applyFont="1" applyFill="1" applyBorder="1" applyAlignment="1" applyProtection="1">
      <alignment vertical="center"/>
      <protection locked="0"/>
    </xf>
    <xf numFmtId="197" fontId="19" fillId="0" borderId="1" xfId="0" applyNumberFormat="1" applyFont="1" applyFill="1" applyBorder="1" applyAlignment="1" applyProtection="1">
      <alignment vertical="center"/>
      <protection locked="0"/>
    </xf>
    <xf numFmtId="179" fontId="19" fillId="0" borderId="1" xfId="0" applyNumberFormat="1" applyFont="1" applyFill="1" applyBorder="1" applyAlignment="1" applyProtection="1">
      <alignment vertical="center"/>
      <protection locked="0"/>
    </xf>
    <xf numFmtId="0" fontId="19" fillId="0" borderId="1" xfId="0" applyFont="1" applyFill="1" applyBorder="1" applyAlignment="1">
      <alignment horizontal="left" vertical="center"/>
    </xf>
    <xf numFmtId="183" fontId="19" fillId="0" borderId="1" xfId="0" applyNumberFormat="1" applyFont="1" applyFill="1" applyBorder="1" applyAlignment="1" applyProtection="1">
      <alignment vertical="center"/>
      <protection locked="0"/>
    </xf>
    <xf numFmtId="0" fontId="275" fillId="0" borderId="0" xfId="0" applyFont="1" applyFill="1" applyBorder="1" applyAlignment="1"/>
    <xf numFmtId="0" fontId="19" fillId="0" borderId="0" xfId="0" applyFont="1" applyFill="1" applyBorder="1" applyAlignment="1" applyProtection="1">
      <alignment vertical="center"/>
      <protection locked="0"/>
    </xf>
    <xf numFmtId="0" fontId="19" fillId="0" borderId="0" xfId="0" applyFont="1" applyFill="1" applyBorder="1" applyAlignment="1">
      <alignment vertical="center"/>
    </xf>
    <xf numFmtId="31" fontId="19" fillId="0" borderId="1" xfId="0" applyNumberFormat="1" applyFont="1" applyFill="1" applyBorder="1" applyAlignment="1">
      <alignment vertical="center"/>
    </xf>
    <xf numFmtId="197" fontId="19" fillId="0" borderId="1" xfId="0" applyNumberFormat="1" applyFont="1" applyFill="1" applyBorder="1" applyAlignment="1">
      <alignment vertical="center"/>
    </xf>
    <xf numFmtId="179" fontId="19" fillId="0" borderId="1" xfId="0" applyNumberFormat="1" applyFont="1" applyFill="1" applyBorder="1" applyAlignment="1">
      <alignment vertical="center"/>
    </xf>
    <xf numFmtId="58" fontId="19" fillId="0" borderId="1" xfId="0" applyNumberFormat="1" applyFont="1" applyFill="1" applyBorder="1" applyAlignment="1" applyProtection="1">
      <alignment vertical="center"/>
      <protection locked="0"/>
    </xf>
    <xf numFmtId="198" fontId="19" fillId="0" borderId="1" xfId="0" applyNumberFormat="1" applyFont="1" applyFill="1" applyBorder="1" applyAlignment="1">
      <alignment horizontal="left" vertical="center"/>
    </xf>
    <xf numFmtId="183" fontId="19" fillId="0" borderId="1" xfId="0" applyNumberFormat="1" applyFont="1" applyFill="1" applyBorder="1" applyAlignment="1">
      <alignment vertical="center"/>
    </xf>
    <xf numFmtId="49" fontId="19" fillId="0" borderId="1" xfId="0" applyNumberFormat="1" applyFont="1" applyFill="1" applyBorder="1" applyAlignment="1">
      <alignment horizontal="left" vertical="center"/>
    </xf>
    <xf numFmtId="31" fontId="19" fillId="0" borderId="1" xfId="0" applyNumberFormat="1" applyFont="1" applyFill="1" applyBorder="1" applyAlignment="1">
      <alignment horizontal="left" vertical="center"/>
    </xf>
    <xf numFmtId="183" fontId="19" fillId="0" borderId="1" xfId="0" applyNumberFormat="1" applyFont="1" applyFill="1" applyBorder="1" applyAlignment="1">
      <alignment horizontal="left" vertical="center"/>
    </xf>
    <xf numFmtId="0" fontId="19" fillId="0" borderId="0" xfId="0" applyFont="1" applyFill="1" applyBorder="1" applyAlignment="1">
      <alignment horizontal="left" vertical="center"/>
    </xf>
    <xf numFmtId="0" fontId="19" fillId="0" borderId="1" xfId="0" applyFont="1" applyFill="1" applyBorder="1" applyAlignment="1">
      <alignment horizontal="left"/>
    </xf>
    <xf numFmtId="49" fontId="19" fillId="0" borderId="1" xfId="0" applyNumberFormat="1" applyFont="1" applyFill="1" applyBorder="1" applyAlignment="1">
      <alignment horizontal="left"/>
    </xf>
    <xf numFmtId="0" fontId="19" fillId="0" borderId="1" xfId="0" applyFont="1" applyFill="1" applyBorder="1" applyAlignment="1">
      <alignment horizontal="right"/>
    </xf>
    <xf numFmtId="49" fontId="19" fillId="0" borderId="1" xfId="0" applyNumberFormat="1" applyFont="1" applyFill="1" applyBorder="1" applyAlignment="1"/>
    <xf numFmtId="1" fontId="19" fillId="0" borderId="1" xfId="0" applyNumberFormat="1" applyFont="1" applyFill="1" applyBorder="1" applyAlignment="1">
      <alignment horizontal="right"/>
    </xf>
    <xf numFmtId="2" fontId="19" fillId="0" borderId="1" xfId="0" applyNumberFormat="1" applyFont="1" applyFill="1" applyBorder="1" applyAlignment="1">
      <alignment horizontal="right"/>
    </xf>
    <xf numFmtId="196" fontId="19" fillId="0" borderId="1" xfId="0" applyNumberFormat="1" applyFont="1" applyFill="1" applyBorder="1" applyAlignment="1">
      <alignment horizontal="right"/>
    </xf>
    <xf numFmtId="9" fontId="19" fillId="0" borderId="1" xfId="0" applyNumberFormat="1" applyFont="1" applyFill="1" applyBorder="1" applyAlignment="1">
      <alignment horizontal="right"/>
    </xf>
    <xf numFmtId="2" fontId="19" fillId="0" borderId="1" xfId="0" applyNumberFormat="1" applyFont="1" applyFill="1" applyBorder="1" applyAlignment="1" applyProtection="1">
      <alignment horizontal="right"/>
    </xf>
    <xf numFmtId="31" fontId="19" fillId="0" borderId="1" xfId="0" applyNumberFormat="1" applyFont="1" applyFill="1" applyBorder="1" applyAlignment="1">
      <alignment horizontal="left"/>
    </xf>
    <xf numFmtId="197" fontId="19" fillId="0" borderId="1" xfId="0" applyNumberFormat="1" applyFont="1" applyFill="1" applyBorder="1" applyAlignment="1">
      <alignment horizontal="left"/>
    </xf>
    <xf numFmtId="179" fontId="19" fillId="0" borderId="1" xfId="0" applyNumberFormat="1" applyFont="1" applyFill="1" applyBorder="1" applyAlignment="1">
      <alignment horizontal="left"/>
    </xf>
    <xf numFmtId="0" fontId="19" fillId="0" borderId="0" xfId="0" applyNumberFormat="1" applyFont="1" applyFill="1" applyBorder="1" applyAlignment="1"/>
    <xf numFmtId="0" fontId="19" fillId="0" borderId="0" xfId="0" applyFont="1" applyFill="1" applyBorder="1" applyAlignment="1">
      <alignment horizontal="left"/>
    </xf>
    <xf numFmtId="0" fontId="19" fillId="0" borderId="1" xfId="0" applyFont="1" applyFill="1" applyBorder="1" applyAlignment="1"/>
    <xf numFmtId="199" fontId="19" fillId="0" borderId="1" xfId="0" applyNumberFormat="1" applyFont="1" applyFill="1" applyBorder="1" applyAlignment="1">
      <alignment horizontal="right"/>
    </xf>
    <xf numFmtId="0" fontId="19" fillId="0" borderId="1" xfId="0" applyFont="1" applyFill="1" applyBorder="1" applyAlignment="1">
      <alignment horizontal="center"/>
    </xf>
    <xf numFmtId="31" fontId="19" fillId="0" borderId="1" xfId="0" applyNumberFormat="1" applyFont="1" applyFill="1" applyBorder="1" applyAlignment="1" applyProtection="1"/>
    <xf numFmtId="183" fontId="19" fillId="0" borderId="1" xfId="0" applyNumberFormat="1" applyFont="1" applyFill="1" applyBorder="1" applyAlignment="1"/>
    <xf numFmtId="0" fontId="19" fillId="0" borderId="0" xfId="0" applyFont="1" applyFill="1" applyBorder="1" applyAlignment="1"/>
    <xf numFmtId="0" fontId="19" fillId="26" borderId="1" xfId="0" applyFont="1" applyFill="1" applyBorder="1" applyAlignment="1">
      <alignment vertical="center"/>
    </xf>
    <xf numFmtId="49" fontId="19" fillId="26" borderId="1" xfId="0" applyNumberFormat="1" applyFont="1" applyFill="1" applyBorder="1" applyAlignment="1">
      <alignment vertical="center"/>
    </xf>
    <xf numFmtId="0" fontId="19" fillId="26" borderId="1" xfId="0" applyFont="1" applyFill="1" applyBorder="1" applyAlignment="1" applyProtection="1">
      <alignment horizontal="left" vertical="center"/>
    </xf>
    <xf numFmtId="49" fontId="19" fillId="26" borderId="1" xfId="0" applyNumberFormat="1" applyFont="1" applyFill="1" applyBorder="1" applyAlignment="1" applyProtection="1">
      <alignment horizontal="left" vertical="center"/>
    </xf>
    <xf numFmtId="0" fontId="19" fillId="26" borderId="1" xfId="0" applyFont="1" applyFill="1" applyBorder="1" applyAlignment="1">
      <alignment horizontal="right" vertical="center"/>
    </xf>
    <xf numFmtId="1" fontId="19" fillId="26" borderId="1" xfId="0" applyNumberFormat="1" applyFont="1" applyFill="1" applyBorder="1" applyAlignment="1">
      <alignment horizontal="right" vertical="center"/>
    </xf>
    <xf numFmtId="2" fontId="19" fillId="26" borderId="1" xfId="0" applyNumberFormat="1" applyFont="1" applyFill="1" applyBorder="1" applyAlignment="1">
      <alignment horizontal="right" vertical="center"/>
    </xf>
    <xf numFmtId="196" fontId="19" fillId="26" borderId="1" xfId="0" applyNumberFormat="1" applyFont="1" applyFill="1" applyBorder="1" applyAlignment="1">
      <alignment horizontal="right" vertical="center"/>
    </xf>
    <xf numFmtId="9" fontId="19" fillId="26" borderId="1" xfId="0" applyNumberFormat="1" applyFont="1" applyFill="1" applyBorder="1" applyAlignment="1">
      <alignment horizontal="right" vertical="center"/>
    </xf>
    <xf numFmtId="2" fontId="19" fillId="26" borderId="1" xfId="0" applyNumberFormat="1" applyFont="1" applyFill="1" applyBorder="1" applyAlignment="1" applyProtection="1">
      <alignment horizontal="right" vertical="center"/>
    </xf>
    <xf numFmtId="0" fontId="19" fillId="26" borderId="1" xfId="0" applyFont="1" applyFill="1" applyBorder="1" applyAlignment="1" applyProtection="1">
      <alignment horizontal="right" vertical="center"/>
      <protection locked="0"/>
    </xf>
    <xf numFmtId="49" fontId="19" fillId="26" borderId="1" xfId="0" applyNumberFormat="1" applyFont="1" applyFill="1" applyBorder="1" applyAlignment="1" applyProtection="1">
      <alignment vertical="center"/>
    </xf>
    <xf numFmtId="0" fontId="19" fillId="26" borderId="1" xfId="0" applyFont="1" applyFill="1" applyBorder="1" applyAlignment="1">
      <alignment horizontal="center" vertical="center"/>
    </xf>
    <xf numFmtId="0" fontId="19" fillId="26" borderId="1" xfId="0" applyFont="1" applyFill="1" applyBorder="1" applyAlignment="1" applyProtection="1">
      <alignment vertical="center"/>
    </xf>
    <xf numFmtId="31" fontId="19" fillId="26" borderId="1" xfId="0" applyNumberFormat="1" applyFont="1" applyFill="1" applyBorder="1" applyAlignment="1" applyProtection="1">
      <alignment vertical="center"/>
    </xf>
    <xf numFmtId="198" fontId="19" fillId="26" borderId="1" xfId="0" applyNumberFormat="1" applyFont="1" applyFill="1" applyBorder="1" applyAlignment="1" applyProtection="1">
      <alignment horizontal="center" vertical="center"/>
    </xf>
    <xf numFmtId="0" fontId="19" fillId="26" borderId="1" xfId="0" applyFont="1" applyFill="1" applyBorder="1" applyAlignment="1" applyProtection="1">
      <alignment vertical="center"/>
      <protection locked="0"/>
    </xf>
    <xf numFmtId="49" fontId="19" fillId="26" borderId="1" xfId="0" applyNumberFormat="1" applyFont="1" applyFill="1" applyBorder="1" applyAlignment="1" applyProtection="1">
      <alignment horizontal="left" vertical="center"/>
      <protection locked="0"/>
    </xf>
    <xf numFmtId="0" fontId="19" fillId="26" borderId="1" xfId="0" applyFont="1" applyFill="1" applyBorder="1" applyAlignment="1" applyProtection="1">
      <alignment horizontal="left" vertical="center"/>
      <protection locked="0"/>
    </xf>
    <xf numFmtId="49" fontId="19" fillId="26" borderId="1" xfId="0" applyNumberFormat="1" applyFont="1" applyFill="1" applyBorder="1" applyAlignment="1" applyProtection="1">
      <alignment vertical="center"/>
      <protection locked="0"/>
    </xf>
    <xf numFmtId="197" fontId="19" fillId="26" borderId="1" xfId="0" applyNumberFormat="1" applyFont="1" applyFill="1" applyBorder="1" applyAlignment="1" applyProtection="1">
      <alignment vertical="center"/>
      <protection locked="0"/>
    </xf>
    <xf numFmtId="179" fontId="19" fillId="26" borderId="1" xfId="0" applyNumberFormat="1" applyFont="1" applyFill="1" applyBorder="1" applyAlignment="1" applyProtection="1">
      <alignment vertical="center"/>
      <protection locked="0"/>
    </xf>
    <xf numFmtId="31" fontId="19" fillId="26" borderId="1" xfId="0" applyNumberFormat="1" applyFont="1" applyFill="1" applyBorder="1" applyAlignment="1" applyProtection="1">
      <alignment vertical="center"/>
      <protection locked="0"/>
    </xf>
    <xf numFmtId="0" fontId="19" fillId="26" borderId="1" xfId="0" applyFont="1" applyFill="1" applyBorder="1" applyAlignment="1">
      <alignment horizontal="left" vertical="center"/>
    </xf>
    <xf numFmtId="31" fontId="19" fillId="26" borderId="1" xfId="0" applyNumberFormat="1" applyFont="1" applyFill="1" applyBorder="1" applyAlignment="1" applyProtection="1">
      <alignment horizontal="right" vertical="center"/>
      <protection locked="0"/>
    </xf>
    <xf numFmtId="183" fontId="19" fillId="26" borderId="1" xfId="0" applyNumberFormat="1" applyFont="1" applyFill="1" applyBorder="1" applyAlignment="1" applyProtection="1">
      <alignment vertical="center"/>
      <protection locked="0"/>
    </xf>
    <xf numFmtId="0" fontId="275" fillId="26" borderId="0" xfId="0" applyFont="1" applyFill="1" applyBorder="1" applyAlignment="1"/>
    <xf numFmtId="0" fontId="19" fillId="26" borderId="0" xfId="0" applyFont="1" applyFill="1" applyBorder="1" applyAlignment="1" applyProtection="1">
      <alignment vertical="center"/>
      <protection locked="0"/>
    </xf>
    <xf numFmtId="0" fontId="19" fillId="26" borderId="0" xfId="0" applyFont="1" applyFill="1" applyBorder="1" applyAlignment="1">
      <alignment vertical="center"/>
    </xf>
    <xf numFmtId="31" fontId="19" fillId="26" borderId="1" xfId="0" applyNumberFormat="1" applyFont="1" applyFill="1" applyBorder="1" applyAlignment="1">
      <alignment vertical="center"/>
    </xf>
    <xf numFmtId="197" fontId="19" fillId="26" borderId="1" xfId="0" applyNumberFormat="1" applyFont="1" applyFill="1" applyBorder="1" applyAlignment="1">
      <alignment vertical="center"/>
    </xf>
    <xf numFmtId="179" fontId="19" fillId="26" borderId="1" xfId="0" applyNumberFormat="1" applyFont="1" applyFill="1" applyBorder="1" applyAlignment="1">
      <alignment vertical="center"/>
    </xf>
    <xf numFmtId="49" fontId="19" fillId="26" borderId="0" xfId="0" applyNumberFormat="1" applyFont="1" applyFill="1" applyBorder="1" applyAlignment="1" applyProtection="1">
      <alignment horizontal="center" vertical="center"/>
      <protection locked="0"/>
    </xf>
    <xf numFmtId="0" fontId="19" fillId="26" borderId="1" xfId="0" applyNumberFormat="1" applyFont="1" applyFill="1" applyBorder="1" applyAlignment="1">
      <alignment horizontal="right" vertical="center"/>
    </xf>
    <xf numFmtId="183" fontId="19" fillId="26" borderId="1" xfId="0" applyNumberFormat="1" applyFont="1" applyFill="1" applyBorder="1" applyAlignment="1">
      <alignment vertical="center"/>
    </xf>
    <xf numFmtId="58" fontId="19" fillId="26" borderId="1" xfId="0" applyNumberFormat="1" applyFont="1" applyFill="1" applyBorder="1" applyAlignment="1">
      <alignment vertical="center"/>
    </xf>
    <xf numFmtId="49" fontId="19" fillId="0" borderId="1" xfId="0" applyNumberFormat="1" applyFont="1" applyFill="1" applyBorder="1" applyAlignment="1" applyProtection="1">
      <alignment horizontal="left"/>
    </xf>
    <xf numFmtId="1" fontId="19" fillId="0" borderId="1" xfId="0" applyNumberFormat="1" applyFont="1" applyFill="1" applyBorder="1" applyAlignment="1">
      <alignment horizontal="center"/>
    </xf>
    <xf numFmtId="196" fontId="19" fillId="0" borderId="1" xfId="0" applyNumberFormat="1" applyFont="1" applyFill="1" applyBorder="1" applyAlignment="1"/>
    <xf numFmtId="9" fontId="19" fillId="0" borderId="1" xfId="0" applyNumberFormat="1" applyFont="1" applyFill="1" applyBorder="1" applyAlignment="1"/>
    <xf numFmtId="31" fontId="19" fillId="0" borderId="1" xfId="0" applyNumberFormat="1" applyFont="1" applyFill="1" applyBorder="1" applyAlignment="1"/>
    <xf numFmtId="198" fontId="19" fillId="0" borderId="1" xfId="0" applyNumberFormat="1" applyFont="1" applyFill="1" applyBorder="1" applyAlignment="1" applyProtection="1">
      <alignment horizontal="center"/>
    </xf>
    <xf numFmtId="197" fontId="19" fillId="0" borderId="1" xfId="0" applyNumberFormat="1" applyFont="1" applyFill="1" applyBorder="1" applyAlignment="1"/>
    <xf numFmtId="179" fontId="19" fillId="0" borderId="1" xfId="0" applyNumberFormat="1" applyFont="1" applyFill="1" applyBorder="1" applyAlignment="1"/>
    <xf numFmtId="183" fontId="19" fillId="0" borderId="1" xfId="0" applyNumberFormat="1" applyFont="1" applyFill="1" applyBorder="1" applyAlignment="1" applyProtection="1">
      <protection locked="0"/>
    </xf>
    <xf numFmtId="0" fontId="19" fillId="0" borderId="0" xfId="0" applyNumberFormat="1" applyFont="1" applyFill="1" applyBorder="1" applyAlignment="1" applyProtection="1">
      <alignment horizontal="center"/>
      <protection locked="0"/>
    </xf>
    <xf numFmtId="49" fontId="19" fillId="0" borderId="0" xfId="0" applyNumberFormat="1" applyFont="1" applyFill="1" applyBorder="1" applyAlignment="1" applyProtection="1">
      <alignment horizontal="center"/>
      <protection locked="0"/>
    </xf>
    <xf numFmtId="49" fontId="19" fillId="0" borderId="1" xfId="0" applyNumberFormat="1" applyFont="1" applyFill="1" applyBorder="1" applyAlignment="1">
      <alignment horizontal="right"/>
    </xf>
    <xf numFmtId="2" fontId="19" fillId="0" borderId="1" xfId="0" applyNumberFormat="1" applyFont="1" applyFill="1" applyBorder="1" applyAlignment="1">
      <alignment horizontal="left"/>
    </xf>
    <xf numFmtId="196" fontId="19" fillId="0" borderId="1" xfId="0" applyNumberFormat="1" applyFont="1" applyFill="1" applyBorder="1" applyAlignment="1">
      <alignment horizontal="left"/>
    </xf>
    <xf numFmtId="2" fontId="19" fillId="0" borderId="1" xfId="0" applyNumberFormat="1" applyFont="1" applyFill="1" applyBorder="1" applyAlignment="1" applyProtection="1"/>
    <xf numFmtId="198" fontId="19" fillId="0" borderId="1" xfId="0" applyNumberFormat="1" applyFont="1" applyFill="1" applyBorder="1" applyAlignment="1"/>
    <xf numFmtId="183" fontId="19" fillId="0" borderId="1" xfId="0" applyNumberFormat="1" applyFont="1" applyFill="1" applyBorder="1" applyAlignment="1">
      <alignment horizontal="left"/>
    </xf>
    <xf numFmtId="0" fontId="19" fillId="0" borderId="1" xfId="0" applyFont="1" applyFill="1" applyBorder="1" applyAlignment="1" applyProtection="1">
      <alignment horizontal="left"/>
      <protection locked="0"/>
    </xf>
    <xf numFmtId="0" fontId="19" fillId="0" borderId="0" xfId="0" applyFont="1" applyFill="1" applyBorder="1" applyAlignment="1" applyProtection="1">
      <protection locked="0"/>
    </xf>
    <xf numFmtId="196" fontId="19" fillId="0" borderId="1" xfId="0" applyNumberFormat="1" applyFont="1" applyFill="1" applyBorder="1" applyAlignment="1" applyProtection="1">
      <alignment horizontal="right"/>
    </xf>
    <xf numFmtId="31" fontId="208" fillId="0" borderId="3" xfId="0" applyNumberFormat="1" applyFont="1" applyFill="1" applyBorder="1" applyAlignment="1" applyProtection="1">
      <alignment horizontal="center" vertical="center" wrapText="1"/>
      <protection locked="0"/>
    </xf>
    <xf numFmtId="9" fontId="51" fillId="2" borderId="23" xfId="17" applyFont="1" applyFill="1" applyBorder="1" applyAlignment="1" applyProtection="1">
      <alignment horizontal="center" vertical="center" wrapText="1"/>
      <protection locked="0"/>
    </xf>
    <xf numFmtId="9" fontId="51" fillId="2" borderId="3" xfId="17" applyFont="1" applyFill="1" applyBorder="1" applyAlignment="1" applyProtection="1">
      <alignment horizontal="center" vertical="center" wrapText="1"/>
      <protection locked="0"/>
    </xf>
    <xf numFmtId="0" fontId="80" fillId="23" borderId="1" xfId="1" applyFont="1" applyFill="1" applyBorder="1" applyAlignment="1">
      <alignment horizontal="left"/>
    </xf>
    <xf numFmtId="49" fontId="80" fillId="23" borderId="1" xfId="1" applyNumberFormat="1" applyFont="1" applyFill="1" applyBorder="1" applyAlignment="1">
      <alignment horizontal="center"/>
    </xf>
    <xf numFmtId="0" fontId="80" fillId="23" borderId="1" xfId="1" applyFont="1" applyFill="1" applyBorder="1" applyAlignment="1">
      <alignment horizontal="center"/>
    </xf>
    <xf numFmtId="9" fontId="80" fillId="23" borderId="1" xfId="1" applyNumberFormat="1" applyFont="1" applyFill="1" applyBorder="1" applyAlignment="1">
      <alignment horizontal="center"/>
    </xf>
    <xf numFmtId="0" fontId="80" fillId="23" borderId="1" xfId="1" applyFont="1" applyFill="1" applyBorder="1" applyAlignment="1">
      <alignment horizontal="right"/>
    </xf>
    <xf numFmtId="0" fontId="80" fillId="23" borderId="13" xfId="1" applyFont="1" applyFill="1" applyBorder="1" applyAlignment="1">
      <alignment horizontal="left"/>
    </xf>
    <xf numFmtId="49" fontId="80" fillId="23" borderId="13" xfId="1" applyNumberFormat="1" applyFont="1" applyFill="1" applyBorder="1" applyAlignment="1">
      <alignment horizontal="center"/>
    </xf>
    <xf numFmtId="0" fontId="80" fillId="23" borderId="13" xfId="1" applyFont="1" applyFill="1" applyBorder="1" applyAlignment="1">
      <alignment horizontal="center"/>
    </xf>
    <xf numFmtId="9" fontId="80" fillId="23" borderId="13" xfId="1" applyNumberFormat="1" applyFont="1" applyFill="1" applyBorder="1" applyAlignment="1">
      <alignment horizontal="center"/>
    </xf>
    <xf numFmtId="0" fontId="80" fillId="23" borderId="13" xfId="1" applyFont="1" applyFill="1" applyBorder="1" applyAlignment="1">
      <alignment horizontal="right"/>
    </xf>
    <xf numFmtId="0" fontId="95" fillId="0" borderId="0" xfId="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4">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55</xdr:row>
      <xdr:rowOff>0</xdr:rowOff>
    </xdr:from>
    <xdr:to>
      <xdr:col>13</xdr:col>
      <xdr:colOff>590834</xdr:colOff>
      <xdr:row>60</xdr:row>
      <xdr:rowOff>165600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3510260"/>
          <a:ext cx="8515634" cy="1080000"/>
        </a:xfrm>
        <a:prstGeom prst="rect">
          <a:avLst/>
        </a:prstGeom>
      </xdr:spPr>
    </xdr:pic>
    <xdr:clientData/>
  </xdr:twoCellAnchor>
  <xdr:twoCellAnchor editAs="oneCell">
    <xdr:from>
      <xdr:col>0</xdr:col>
      <xdr:colOff>0</xdr:colOff>
      <xdr:row>61</xdr:row>
      <xdr:rowOff>0</xdr:rowOff>
    </xdr:from>
    <xdr:to>
      <xdr:col>15</xdr:col>
      <xdr:colOff>322667</xdr:colOff>
      <xdr:row>91</xdr:row>
      <xdr:rowOff>94552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4607540"/>
          <a:ext cx="9466667" cy="5580952"/>
        </a:xfrm>
        <a:prstGeom prst="rect">
          <a:avLst/>
        </a:prstGeom>
      </xdr:spPr>
    </xdr:pic>
    <xdr:clientData/>
  </xdr:twoCellAnchor>
  <xdr:twoCellAnchor editAs="oneCell">
    <xdr:from>
      <xdr:col>0</xdr:col>
      <xdr:colOff>0</xdr:colOff>
      <xdr:row>92</xdr:row>
      <xdr:rowOff>0</xdr:rowOff>
    </xdr:from>
    <xdr:to>
      <xdr:col>19</xdr:col>
      <xdr:colOff>598552</xdr:colOff>
      <xdr:row>98</xdr:row>
      <xdr:rowOff>45577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0276820"/>
          <a:ext cx="12180952" cy="1142857"/>
        </a:xfrm>
        <a:prstGeom prst="rect">
          <a:avLst/>
        </a:prstGeom>
      </xdr:spPr>
    </xdr:pic>
    <xdr:clientData/>
  </xdr:twoCellAnchor>
  <xdr:twoCellAnchor editAs="oneCell">
    <xdr:from>
      <xdr:col>0</xdr:col>
      <xdr:colOff>0</xdr:colOff>
      <xdr:row>97</xdr:row>
      <xdr:rowOff>175260</xdr:rowOff>
    </xdr:from>
    <xdr:to>
      <xdr:col>13</xdr:col>
      <xdr:colOff>589486</xdr:colOff>
      <xdr:row>128</xdr:row>
      <xdr:rowOff>125028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1366480"/>
          <a:ext cx="8514286" cy="56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19978;&#40857;&#35199;&#37324;&#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02基准地价"/>
      <sheetName val="2014基准地价"/>
      <sheetName val="2014因素修正幅度"/>
      <sheetName val="2014区片价"/>
      <sheetName val="2014修正"/>
      <sheetName val="2014容积率修正"/>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refreshError="1"/>
      <sheetData sheetId="1" refreshError="1"/>
      <sheetData sheetId="2" refreshError="1"/>
      <sheetData sheetId="3" refreshError="1"/>
      <sheetData sheetId="4" refreshError="1"/>
      <sheetData sheetId="5" refreshError="1"/>
      <sheetData sheetId="6">
        <row r="18">
          <cell r="E18">
            <v>1676939</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估价对象为北京市房地产，为所有。根据《国有土地使用证》[]，估价对象（分摊）出让国有建设用地使用权面积为0平方米，建筑面积为102.54平方米。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估价对象为北京市房地产,属开发建设的，该项目尚在开发建设中。根据《国有土地使用证》[]，估价对象（分摊）出让国有建设用地使用权面积为0平方米，规划建筑面积为102.54平方米。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2013年5月30日</v>
      </c>
    </row>
    <row r="13" spans="1:2" s="1203" customFormat="1">
      <c r="A13" s="1201" t="s">
        <v>529</v>
      </c>
      <c r="B13" s="1202" t="str">
        <f>'预评函-1'!A18</f>
        <v>本次估价的“房地产价值”是指在正常市场情况下，在价值时点2013年5月30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本次评估采用的主估价方法为比较法和成本法。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102.54</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H27" sqref="H27"/>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2292</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2013年5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8"/>
      <c r="B54" s="1554" t="s">
        <v>385</v>
      </c>
      <c r="C54" s="1551" t="s">
        <v>583</v>
      </c>
    </row>
    <row r="55" spans="1:4">
      <c r="A55" s="3528"/>
      <c r="B55" s="1554" t="s">
        <v>386</v>
      </c>
      <c r="C55" s="1551" t="s">
        <v>584</v>
      </c>
    </row>
    <row r="56" spans="1:4">
      <c r="A56" s="3528"/>
      <c r="B56" s="1554" t="s">
        <v>387</v>
      </c>
      <c r="C56" s="1551" t="s">
        <v>588</v>
      </c>
    </row>
    <row r="57" spans="1:4">
      <c r="A57" s="352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3" sqref="B3"/>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9" t="s">
        <v>2580</v>
      </c>
      <c r="J2" s="3529"/>
      <c r="K2" s="3529"/>
      <c r="L2" s="3529"/>
      <c r="M2" s="3529"/>
      <c r="N2" s="3529"/>
      <c r="O2" s="3529"/>
      <c r="P2" s="3529"/>
      <c r="Q2" s="3529"/>
      <c r="R2" s="3529"/>
    </row>
    <row r="3" spans="1:18">
      <c r="A3" s="3020" t="s">
        <v>2501</v>
      </c>
      <c r="B3" s="3021">
        <f>项目基本情况!D3</f>
        <v>41424</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13.56</v>
      </c>
      <c r="D5" s="3025">
        <f>IF(ISERROR(ROUND(POWER(1+E5,A5-C5)*(POWER(1+E5,C5)-1)/(POWER(1+E5,A5)-1),3)),0,ROUND(POWER(1+E5,A5-C5)*(POWER(1+E5,C5)-1)/(POWER(1+E5,A5)-1),4))</f>
        <v>0.52100000000000002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23.57</v>
      </c>
      <c r="D6" s="3025">
        <f>IF(ISERROR(ROUND(POWER(1+E6,A6-C6)*(POWER(1+E6,C6)-1)/(POWER(1+E6,A6)-1),3)),0,ROUND(POWER(1+E6,A6-C6)*(POWER(1+E6,C6)-1)/(POWER(1+E6,A6)-1),4))</f>
        <v>0.70199999999999996</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43.58</v>
      </c>
      <c r="D7" s="3025">
        <f>IF(ISERROR(ROUND(POWER(1+E7,A7-C7)*(POWER(1+E7,C7)-1)/(POWER(1+E7,A7)-1),3)),0,ROUND(POWER(1+E7,A7-C7)*(POWER(1+E7,C7)-1)/(POWER(1+E7,A7)-1),4))</f>
        <v>0.87519999999999998</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3">
      <c r="A17" s="3020" t="s">
        <v>2517</v>
      </c>
      <c r="B17" s="3029">
        <v>4810</v>
      </c>
      <c r="C17" s="3022"/>
      <c r="D17" s="3018"/>
      <c r="E17" s="3018"/>
      <c r="F17" s="3019"/>
    </row>
    <row r="18" spans="1:13" ht="15" thickBot="1">
      <c r="A18" s="3031" t="s">
        <v>2516</v>
      </c>
      <c r="B18" s="3032">
        <f>ROUND(B17*F11/F12,2)</f>
        <v>5541.87</v>
      </c>
      <c r="C18" s="3032">
        <f>ROUND(F11/F12,4)</f>
        <v>1.1521999999999999</v>
      </c>
      <c r="D18" s="3033"/>
      <c r="E18" s="3033"/>
      <c r="F18" s="3034"/>
    </row>
    <row r="19" spans="1:13" ht="15" thickBot="1"/>
    <row r="20" spans="1:13" s="3069" customFormat="1" ht="15" thickTop="1">
      <c r="A20" s="3066" t="s">
        <v>2519</v>
      </c>
      <c r="B20" s="3067"/>
      <c r="C20" s="3067"/>
      <c r="D20" s="3067"/>
      <c r="E20" s="3067"/>
      <c r="F20" s="3067"/>
      <c r="G20" s="3068"/>
      <c r="I20" s="3070" t="s">
        <v>2564</v>
      </c>
      <c r="J20" s="3070" t="s">
        <v>2569</v>
      </c>
      <c r="K20" s="3070"/>
      <c r="L20" s="3070"/>
      <c r="M20" s="3070"/>
    </row>
    <row r="21" spans="1:13">
      <c r="A21" s="3035"/>
      <c r="B21" s="3036" t="s">
        <v>2520</v>
      </c>
      <c r="C21" s="3036" t="s">
        <v>2521</v>
      </c>
      <c r="D21" s="3036" t="s">
        <v>2522</v>
      </c>
      <c r="E21" s="3036" t="s">
        <v>2523</v>
      </c>
      <c r="F21" s="3036" t="s">
        <v>2524</v>
      </c>
      <c r="G21" s="3037" t="s">
        <v>2525</v>
      </c>
      <c r="I21" s="3058">
        <v>5</v>
      </c>
      <c r="J21" s="3058">
        <v>54.2</v>
      </c>
    </row>
    <row r="22" spans="1:13">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M23" s="3058" t="s">
        <v>2568</v>
      </c>
    </row>
    <row r="24" spans="1:13">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M24" s="3058">
        <v>10</v>
      </c>
    </row>
    <row r="25" spans="1:13">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M25" s="3058">
        <v>8</v>
      </c>
    </row>
    <row r="26" spans="1:13">
      <c r="A26" s="3040"/>
      <c r="B26" s="3041"/>
      <c r="C26" s="3041"/>
      <c r="D26" s="3041"/>
      <c r="E26" s="3041"/>
      <c r="F26" s="3041"/>
      <c r="G26" s="3042"/>
      <c r="I26" s="3058">
        <v>30</v>
      </c>
      <c r="J26" s="3058">
        <v>90.5</v>
      </c>
      <c r="K26" s="3058">
        <f t="shared" si="2"/>
        <v>4.2000000000000028</v>
      </c>
      <c r="L26" s="3058" t="s">
        <v>2571</v>
      </c>
      <c r="M26" s="3058">
        <v>5</v>
      </c>
    </row>
    <row r="27" spans="1:13">
      <c r="A27" s="3040" t="s">
        <v>2530</v>
      </c>
      <c r="B27" s="3041"/>
      <c r="C27" s="3041"/>
      <c r="D27" s="3041"/>
      <c r="E27" s="3041"/>
      <c r="F27" s="3041"/>
      <c r="G27" s="3042"/>
      <c r="I27" s="3058">
        <v>35</v>
      </c>
      <c r="J27" s="3058">
        <v>93.8</v>
      </c>
      <c r="K27" s="3058">
        <f t="shared" si="2"/>
        <v>3.2999999999999972</v>
      </c>
      <c r="L27" s="3058" t="s">
        <v>2572</v>
      </c>
      <c r="M27" s="3058">
        <v>3</v>
      </c>
    </row>
    <row r="28" spans="1:13">
      <c r="A28" s="3040" t="s">
        <v>2531</v>
      </c>
      <c r="B28" s="3041"/>
      <c r="C28" s="3041"/>
      <c r="D28" s="3041"/>
      <c r="E28" s="3041"/>
      <c r="F28" s="3041"/>
      <c r="G28" s="3042"/>
      <c r="I28" s="3058">
        <v>40</v>
      </c>
      <c r="J28" s="3058">
        <v>96.4</v>
      </c>
      <c r="K28" s="3058">
        <f t="shared" si="2"/>
        <v>2.6000000000000085</v>
      </c>
      <c r="L28" s="3058" t="s">
        <v>2573</v>
      </c>
      <c r="M28" s="3058">
        <v>2</v>
      </c>
    </row>
    <row r="29" spans="1:13">
      <c r="A29" s="3040" t="s">
        <v>2532</v>
      </c>
      <c r="B29" s="3041"/>
      <c r="C29" s="3041"/>
      <c r="D29" s="3041"/>
      <c r="E29" s="3041"/>
      <c r="F29" s="3041"/>
      <c r="G29" s="3042"/>
      <c r="I29" s="3058">
        <v>45</v>
      </c>
      <c r="J29" s="3058">
        <v>98.4</v>
      </c>
      <c r="K29" s="3058">
        <f t="shared" si="2"/>
        <v>2</v>
      </c>
    </row>
    <row r="30" spans="1:13">
      <c r="A30" s="3040" t="s">
        <v>2533</v>
      </c>
      <c r="B30" s="3041"/>
      <c r="C30" s="3041"/>
      <c r="D30" s="3041"/>
      <c r="E30" s="3041"/>
      <c r="F30" s="3041"/>
      <c r="G30" s="3042"/>
      <c r="I30" s="3058">
        <v>50</v>
      </c>
      <c r="J30" s="3058">
        <v>100</v>
      </c>
      <c r="K30" s="3058">
        <f t="shared" si="2"/>
        <v>1.5999999999999943</v>
      </c>
    </row>
    <row r="31" spans="1:13">
      <c r="A31" s="3040" t="s">
        <v>2534</v>
      </c>
      <c r="B31" s="3041"/>
      <c r="C31" s="3041"/>
      <c r="D31" s="3041"/>
      <c r="E31" s="3041"/>
      <c r="F31" s="3041"/>
      <c r="G31" s="3042"/>
      <c r="I31" s="3058" t="s">
        <v>2565</v>
      </c>
    </row>
    <row r="32" spans="1:13">
      <c r="A32" s="3040" t="s">
        <v>2535</v>
      </c>
      <c r="B32" s="3041"/>
      <c r="C32" s="3041"/>
      <c r="D32" s="3041"/>
      <c r="E32" s="3041"/>
      <c r="F32" s="3041"/>
      <c r="G32" s="3042"/>
    </row>
    <row r="33" spans="1:13">
      <c r="A33" s="3040" t="s">
        <v>2536</v>
      </c>
      <c r="B33" s="3041"/>
      <c r="C33" s="3041"/>
      <c r="D33" s="3041"/>
      <c r="E33" s="3041"/>
      <c r="F33" s="3041"/>
      <c r="G33" s="3042"/>
      <c r="I33" s="3058" t="s">
        <v>2564</v>
      </c>
      <c r="J33" s="3058" t="s">
        <v>2574</v>
      </c>
    </row>
    <row r="34" spans="1:13">
      <c r="A34" s="3040" t="s">
        <v>2537</v>
      </c>
      <c r="B34" s="3041"/>
      <c r="C34" s="3041"/>
      <c r="D34" s="3041"/>
      <c r="E34" s="3041"/>
      <c r="F34" s="3041"/>
      <c r="G34" s="3042"/>
      <c r="I34" s="3058">
        <v>5</v>
      </c>
      <c r="J34" s="3058">
        <v>55.1</v>
      </c>
    </row>
    <row r="35" spans="1:13">
      <c r="A35" s="3040" t="s">
        <v>2538</v>
      </c>
      <c r="B35" s="3041"/>
      <c r="C35" s="3041"/>
      <c r="D35" s="3041"/>
      <c r="E35" s="3041"/>
      <c r="F35" s="3041"/>
      <c r="G35" s="3042"/>
      <c r="I35" s="3058">
        <v>10</v>
      </c>
      <c r="J35" s="3058">
        <v>67</v>
      </c>
      <c r="K35" s="3058">
        <f>J35-J34</f>
        <v>11.899999999999999</v>
      </c>
    </row>
    <row r="36" spans="1:13">
      <c r="A36" s="3040" t="s">
        <v>2539</v>
      </c>
      <c r="B36" s="3041"/>
      <c r="C36" s="3041"/>
      <c r="D36" s="3041"/>
      <c r="E36" s="3041"/>
      <c r="F36" s="3041"/>
      <c r="G36" s="3042"/>
      <c r="I36" s="3058">
        <v>15</v>
      </c>
      <c r="J36" s="3058">
        <v>76.3</v>
      </c>
      <c r="K36" s="3058">
        <f t="shared" ref="K36:K41" si="3">J36-J35</f>
        <v>9.2999999999999972</v>
      </c>
      <c r="L36" s="3058" t="s">
        <v>2567</v>
      </c>
      <c r="M36" s="3058" t="s">
        <v>2568</v>
      </c>
    </row>
    <row r="37" spans="1:13">
      <c r="A37" s="3040" t="s">
        <v>2540</v>
      </c>
      <c r="B37" s="3041"/>
      <c r="C37" s="3041"/>
      <c r="D37" s="3041"/>
      <c r="E37" s="3041"/>
      <c r="F37" s="3041"/>
      <c r="G37" s="3042"/>
      <c r="I37" s="3058">
        <v>20</v>
      </c>
      <c r="J37" s="3058">
        <v>83.6</v>
      </c>
      <c r="K37" s="3058">
        <f t="shared" si="3"/>
        <v>7.2999999999999972</v>
      </c>
      <c r="L37" s="3058" t="s">
        <v>2566</v>
      </c>
      <c r="M37" s="3058">
        <v>10</v>
      </c>
    </row>
    <row r="38" spans="1:13">
      <c r="A38" s="3040" t="s">
        <v>2541</v>
      </c>
      <c r="B38" s="3041"/>
      <c r="C38" s="3041"/>
      <c r="D38" s="3041"/>
      <c r="E38" s="3041"/>
      <c r="F38" s="3041"/>
      <c r="G38" s="3042"/>
      <c r="I38" s="3058">
        <v>25</v>
      </c>
      <c r="J38" s="3058">
        <v>89.3</v>
      </c>
      <c r="K38" s="3058">
        <f t="shared" si="3"/>
        <v>5.7000000000000028</v>
      </c>
      <c r="L38" s="3058" t="s">
        <v>2570</v>
      </c>
      <c r="M38" s="3058">
        <v>8</v>
      </c>
    </row>
    <row r="39" spans="1:13">
      <c r="A39" s="3040"/>
      <c r="B39" s="3041"/>
      <c r="C39" s="3041"/>
      <c r="D39" s="3041"/>
      <c r="E39" s="3041"/>
      <c r="F39" s="3041"/>
      <c r="G39" s="3042"/>
      <c r="I39" s="3058">
        <v>30</v>
      </c>
      <c r="J39" s="3058">
        <v>93.8</v>
      </c>
      <c r="K39" s="3058">
        <f t="shared" si="3"/>
        <v>4.5</v>
      </c>
      <c r="L39" s="3058" t="s">
        <v>2571</v>
      </c>
      <c r="M39" s="3058">
        <v>6</v>
      </c>
    </row>
    <row r="40" spans="1:13">
      <c r="A40" s="3043" t="s">
        <v>2542</v>
      </c>
      <c r="B40" s="3044"/>
      <c r="C40" s="3044"/>
      <c r="D40" s="3044"/>
      <c r="E40" s="3044"/>
      <c r="F40" s="3044"/>
      <c r="G40" s="3045"/>
      <c r="I40" s="3058">
        <v>35</v>
      </c>
      <c r="J40" s="3058">
        <v>97.2</v>
      </c>
      <c r="K40" s="3058">
        <f t="shared" si="3"/>
        <v>3.4000000000000057</v>
      </c>
      <c r="L40" s="3058" t="s">
        <v>2572</v>
      </c>
      <c r="M40" s="3058">
        <v>3</v>
      </c>
    </row>
    <row r="41" spans="1:13">
      <c r="A41" s="3046" t="s">
        <v>2543</v>
      </c>
      <c r="B41" s="3047" t="s">
        <v>2544</v>
      </c>
      <c r="C41" s="3048" t="s">
        <v>2545</v>
      </c>
      <c r="D41" s="3048" t="s">
        <v>2546</v>
      </c>
      <c r="E41" s="3049"/>
      <c r="F41" s="3050"/>
      <c r="G41" s="3051"/>
      <c r="I41" s="3058">
        <v>40</v>
      </c>
      <c r="J41" s="3058">
        <v>100</v>
      </c>
      <c r="K41" s="3058">
        <f t="shared" si="3"/>
        <v>2.7999999999999972</v>
      </c>
    </row>
    <row r="42" spans="1:13">
      <c r="A42" s="3046" t="s">
        <v>2547</v>
      </c>
      <c r="B42" s="3047" t="s">
        <v>2548</v>
      </c>
      <c r="C42" s="3048" t="s">
        <v>2549</v>
      </c>
      <c r="D42" s="3052" t="s">
        <v>2550</v>
      </c>
      <c r="E42" s="3044" t="s">
        <v>2551</v>
      </c>
      <c r="F42" s="3044"/>
      <c r="G42" s="3045"/>
    </row>
    <row r="43" spans="1:13">
      <c r="A43" s="3046" t="s">
        <v>2552</v>
      </c>
      <c r="B43" s="3047" t="s">
        <v>2553</v>
      </c>
      <c r="C43" s="3048" t="s">
        <v>2554</v>
      </c>
      <c r="D43" s="3048" t="s">
        <v>2555</v>
      </c>
      <c r="E43" s="3049" t="s">
        <v>2556</v>
      </c>
      <c r="F43" s="3050"/>
      <c r="G43" s="3051"/>
      <c r="I43" s="3058" t="s">
        <v>2564</v>
      </c>
      <c r="J43" s="3058" t="s">
        <v>2575</v>
      </c>
    </row>
    <row r="44" spans="1:13">
      <c r="A44" s="3046" t="s">
        <v>2557</v>
      </c>
      <c r="B44" s="3047" t="s">
        <v>2558</v>
      </c>
      <c r="C44" s="3048" t="s">
        <v>2559</v>
      </c>
      <c r="D44" s="3052">
        <v>0.5</v>
      </c>
      <c r="E44" s="3049" t="s">
        <v>2560</v>
      </c>
      <c r="F44" s="3050"/>
      <c r="G44" s="3051"/>
      <c r="I44" s="3058">
        <v>30</v>
      </c>
      <c r="J44" s="3058">
        <v>81.7</v>
      </c>
    </row>
    <row r="45" spans="1:13" ht="15" thickBot="1">
      <c r="A45" s="3053" t="s">
        <v>2561</v>
      </c>
      <c r="B45" s="3054" t="s">
        <v>2548</v>
      </c>
      <c r="C45" s="3055" t="s">
        <v>2548</v>
      </c>
      <c r="D45" s="3055" t="s">
        <v>2562</v>
      </c>
      <c r="E45" s="3056" t="s">
        <v>2563</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11" sqref="B11"/>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2167</v>
      </c>
      <c r="B1" s="3538" t="str">
        <f>IF(B10="北京市","北京市",C10)&amp;F10&amp;IF(结果表!G1="在建","出让国有建设用地使用权及在建建筑物",IF(结果表!G1="土地","出让国有建设用地使用权",))&amp;B9&amp;"预评估"</f>
        <v>北京市房地产市场价值预评估</v>
      </c>
      <c r="C1" s="3539"/>
      <c r="D1" s="3539"/>
      <c r="E1" s="3539"/>
      <c r="F1" s="3539"/>
      <c r="G1" s="3539"/>
      <c r="H1" s="3539"/>
      <c r="I1" s="354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41424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3385</v>
      </c>
      <c r="C8" s="2390"/>
      <c r="D8" s="3541" t="s">
        <v>2176</v>
      </c>
      <c r="E8" s="2391"/>
      <c r="F8" s="2392"/>
      <c r="G8" s="2663"/>
      <c r="H8" s="2663"/>
      <c r="I8" s="2663"/>
      <c r="J8" s="2439"/>
      <c r="K8" s="2614"/>
      <c r="L8" s="2613"/>
      <c r="M8" s="2613"/>
      <c r="N8" s="2439"/>
      <c r="O8" s="2450"/>
      <c r="P8" s="2439"/>
      <c r="Q8" s="2439"/>
      <c r="R8" s="2439"/>
    </row>
    <row r="9" spans="1:30" ht="13.8" thickBot="1">
      <c r="A9" s="2393" t="s">
        <v>2177</v>
      </c>
      <c r="B9" s="2394" t="s">
        <v>3386</v>
      </c>
      <c r="C9" s="2395"/>
      <c r="D9" s="3542"/>
      <c r="E9" s="2394"/>
      <c r="F9" s="2396"/>
      <c r="G9" s="2665"/>
      <c r="H9" s="2665"/>
      <c r="I9" s="2665"/>
      <c r="J9" s="2439"/>
      <c r="K9" s="2616"/>
      <c r="L9" s="2613"/>
      <c r="M9" s="2613"/>
      <c r="N9" s="2439"/>
      <c r="O9" s="2450"/>
      <c r="P9" s="2439"/>
      <c r="Q9" s="2439"/>
      <c r="R9" s="2439"/>
    </row>
    <row r="10" spans="1:30" ht="13.8" thickTop="1">
      <c r="A10" s="2397" t="s">
        <v>2178</v>
      </c>
      <c r="B10" s="2398" t="s">
        <v>3383</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3384</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2576</v>
      </c>
      <c r="J12" s="3062"/>
      <c r="K12" s="2613"/>
      <c r="L12" s="2613"/>
      <c r="M12" s="2439"/>
      <c r="N12" s="2450"/>
      <c r="O12" s="2439"/>
      <c r="P12" s="2439"/>
      <c r="Q12" s="2439"/>
      <c r="AD12" s="1745"/>
    </row>
    <row r="13" spans="1:30">
      <c r="A13" s="3423" t="s">
        <v>3332</v>
      </c>
      <c r="B13" s="2407" t="s">
        <v>2189</v>
      </c>
      <c r="C13" s="856">
        <v>67179</v>
      </c>
      <c r="D13" s="856"/>
      <c r="E13" s="856"/>
      <c r="F13" s="856"/>
      <c r="G13" s="856"/>
      <c r="H13" s="856"/>
      <c r="I13" s="856"/>
      <c r="J13" s="3062"/>
      <c r="K13" s="2613"/>
      <c r="L13" s="2613"/>
      <c r="M13" s="2439"/>
      <c r="N13" s="2450"/>
      <c r="O13" s="2439"/>
      <c r="P13" s="2439"/>
      <c r="Q13" s="2439"/>
      <c r="AD13" s="1745"/>
    </row>
    <row r="14" spans="1:30">
      <c r="A14" s="1081"/>
      <c r="B14" s="2407" t="s">
        <v>2190</v>
      </c>
      <c r="C14" s="2408">
        <v>70</v>
      </c>
      <c r="D14" s="2408"/>
      <c r="E14" s="2408"/>
      <c r="F14" s="2408"/>
      <c r="G14" s="2408"/>
      <c r="H14" s="2408"/>
      <c r="I14" s="2408"/>
      <c r="J14" s="3063"/>
      <c r="K14" s="2613"/>
      <c r="L14" s="2613"/>
      <c r="M14" s="2439"/>
      <c r="N14" s="2450"/>
      <c r="O14" s="2439"/>
      <c r="P14" s="2439"/>
      <c r="Q14" s="2439"/>
      <c r="AD14" s="1745"/>
    </row>
    <row r="15" spans="1:30">
      <c r="A15" s="320"/>
      <c r="B15" s="2409" t="s">
        <v>2191</v>
      </c>
      <c r="C15" s="2410">
        <f>IF(A13="出让",IF(C13="","",ROUNDDOWN(MIN((C13-$D$3)/365,C14),2)),C14)</f>
        <v>70</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48"/>
      <c r="C16" s="3549"/>
      <c r="D16" s="3550"/>
      <c r="E16" s="2413" t="s">
        <v>2193</v>
      </c>
      <c r="F16" s="3551"/>
      <c r="G16" s="3552"/>
      <c r="H16" s="3552"/>
      <c r="I16" s="3553"/>
      <c r="J16" s="2439"/>
      <c r="K16" s="2617"/>
      <c r="L16" s="2451"/>
      <c r="M16" s="2451"/>
      <c r="N16" s="2509"/>
      <c r="O16" s="2451"/>
      <c r="P16" s="2509"/>
      <c r="Q16" s="2439"/>
      <c r="R16" s="2439"/>
    </row>
    <row r="17" spans="1:28">
      <c r="A17" s="313" t="s">
        <v>2194</v>
      </c>
      <c r="B17" s="302" t="s">
        <v>2195</v>
      </c>
      <c r="C17" s="8">
        <f>'数据-汇总表'!E3</f>
        <v>102.54</v>
      </c>
      <c r="D17" s="2322" t="s">
        <v>2196</v>
      </c>
      <c r="E17" s="3554" t="s">
        <v>2197</v>
      </c>
      <c r="F17" s="3555"/>
      <c r="G17" s="3555"/>
      <c r="H17" s="3555"/>
      <c r="I17" s="3556"/>
      <c r="J17" s="2439"/>
      <c r="K17" s="2618"/>
      <c r="L17" s="2451"/>
      <c r="M17" s="2451"/>
      <c r="N17" s="2509"/>
      <c r="O17" s="2451"/>
      <c r="P17" s="2509"/>
      <c r="Q17" s="2439"/>
      <c r="R17" s="2439"/>
      <c r="S17" s="2439"/>
      <c r="T17" s="2439"/>
      <c r="U17" s="2439"/>
      <c r="V17" s="2439"/>
    </row>
    <row r="18" spans="1:28" ht="24.6" thickBot="1">
      <c r="A18" s="2414" t="s">
        <v>2198</v>
      </c>
      <c r="B18" s="1090" t="s">
        <v>2199</v>
      </c>
      <c r="C18" s="2415">
        <f>'数据-汇总表'!D3</f>
        <v>0</v>
      </c>
      <c r="D18" s="1092" t="s">
        <v>2200</v>
      </c>
      <c r="E18" s="3557" t="s">
        <v>2201</v>
      </c>
      <c r="F18" s="3558"/>
      <c r="G18" s="3558"/>
      <c r="H18" s="3558"/>
      <c r="I18" s="3559"/>
      <c r="J18" s="2439"/>
      <c r="K18" s="2618"/>
      <c r="L18" s="2451"/>
      <c r="M18" s="2451"/>
      <c r="N18" s="2509"/>
      <c r="O18" s="2451"/>
      <c r="P18" s="2509"/>
      <c r="Q18" s="2439"/>
      <c r="R18" s="2439"/>
      <c r="S18" s="2439"/>
      <c r="T18" s="2439"/>
      <c r="U18" s="2439"/>
      <c r="V18" s="2439"/>
    </row>
    <row r="19" spans="1:28" ht="37.200000000000003"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44" t="s">
        <v>2205</v>
      </c>
      <c r="C20" s="3545"/>
      <c r="D20" s="3546" t="s">
        <v>2206</v>
      </c>
      <c r="E20" s="3547"/>
      <c r="F20" s="2647" t="s">
        <v>1056</v>
      </c>
      <c r="G20" s="2664"/>
      <c r="H20" s="2664"/>
      <c r="I20" s="2664"/>
      <c r="J20" s="2439"/>
      <c r="K20" s="3543"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2208</v>
      </c>
      <c r="C21" s="2634" t="s">
        <v>1057</v>
      </c>
      <c r="D21" s="1568" t="s">
        <v>2209</v>
      </c>
      <c r="E21" s="2635" t="s">
        <v>1057</v>
      </c>
      <c r="F21" s="2648"/>
      <c r="G21" s="2664"/>
      <c r="H21" s="2664"/>
      <c r="I21" s="2664"/>
      <c r="J21" s="2439"/>
      <c r="K21" s="354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2210</v>
      </c>
      <c r="C22" s="2634" t="s">
        <v>1058</v>
      </c>
      <c r="D22" s="2663"/>
      <c r="E22" s="2663"/>
      <c r="F22" s="2663"/>
      <c r="G22" s="2664"/>
      <c r="H22" s="2664"/>
      <c r="I22" s="2664"/>
      <c r="J22" s="2439"/>
      <c r="K22" s="354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31"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1"/>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1"/>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2"/>
      <c r="B30" s="302" t="s">
        <v>2217</v>
      </c>
      <c r="C30" s="3533"/>
      <c r="D30" s="3534"/>
      <c r="E30" s="2664"/>
      <c r="F30" s="2664"/>
      <c r="G30" s="2664"/>
      <c r="H30" s="2664"/>
      <c r="I30" s="2664"/>
      <c r="J30" s="2439"/>
      <c r="K30" s="2616"/>
      <c r="L30" s="2613"/>
      <c r="M30" s="2613"/>
      <c r="N30" s="2439"/>
      <c r="O30" s="2450"/>
      <c r="P30" s="2439"/>
      <c r="Q30" s="2439"/>
      <c r="R30" s="2439"/>
      <c r="S30" s="2439"/>
      <c r="T30" s="2439"/>
      <c r="U30" s="2439"/>
      <c r="V30" s="2439"/>
    </row>
    <row r="31" spans="1:28">
      <c r="A31" s="3535"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30" t="s">
        <v>2227</v>
      </c>
      <c r="T34" s="2428" t="str">
        <f>NUMBERSTRING(7-K34,1)&amp;"通"</f>
        <v>七通</v>
      </c>
      <c r="U34" s="2439"/>
      <c r="V34" s="2439"/>
    </row>
    <row r="35" spans="1:30">
      <c r="A35" s="2429"/>
      <c r="B35" s="3537" t="s">
        <v>2228</v>
      </c>
      <c r="C35" s="3537"/>
      <c r="D35" s="3537"/>
      <c r="E35" s="353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0"/>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2579</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t="s">
        <v>296</v>
      </c>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2230</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O24" sqref="O24"/>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102.54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102.54</v>
      </c>
      <c r="H5" s="13">
        <f t="shared" ref="H5:AT5" si="0">SUM(H13:H656)</f>
        <v>102.54</v>
      </c>
      <c r="I5" s="13">
        <f t="shared" si="0"/>
        <v>102.54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102.54</v>
      </c>
      <c r="BA5" s="15">
        <f t="shared" si="1"/>
        <v>102.54</v>
      </c>
      <c r="BB5" s="15">
        <f t="shared" si="1"/>
        <v>102.54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3387</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3389</v>
      </c>
      <c r="E13" s="13">
        <f>IF($C$3="是",ROUND($A$3*G13/$B$3,2),ROUND($A$3*(G13-AT13)/$B$3,2))</f>
        <v>0</v>
      </c>
      <c r="F13" s="29"/>
      <c r="G13" s="30">
        <f>H13+AC13+AT13</f>
        <v>102.54</v>
      </c>
      <c r="H13" s="17">
        <f>SUMIF(I$12:AB$12,"总值",I13:AB13)</f>
        <v>102.54</v>
      </c>
      <c r="I13" s="1626">
        <v>102.54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102.54</v>
      </c>
      <c r="BA13" s="13">
        <f>SUM(BB13:BK13)</f>
        <v>102.54</v>
      </c>
      <c r="BB13" s="13">
        <f>IF($D13="是",I13-J13,0)</f>
        <v>102.54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69" t="s">
        <v>1131</v>
      </c>
      <c r="B2" s="3569"/>
      <c r="C2" s="3569"/>
      <c r="D2" s="796" t="s">
        <v>1107</v>
      </c>
      <c r="E2" s="1639" t="s">
        <v>1108</v>
      </c>
      <c r="F2" s="2659"/>
      <c r="G2" s="2650"/>
      <c r="H2" s="2651"/>
      <c r="I2" s="2325" t="s">
        <v>1132</v>
      </c>
      <c r="J2" s="2659"/>
      <c r="K2" s="2659"/>
      <c r="L2" s="2659"/>
      <c r="M2" s="2659"/>
      <c r="N2" s="2661"/>
      <c r="O2" s="2659"/>
      <c r="P2" s="2659"/>
    </row>
    <row r="3" spans="1:16" ht="15" thickBot="1">
      <c r="A3" s="3570" t="s">
        <v>1105</v>
      </c>
      <c r="B3" s="3570"/>
      <c r="C3" s="3570"/>
      <c r="D3" s="43">
        <f>'数据-基础表'!AY6</f>
        <v>0</v>
      </c>
      <c r="E3" s="43">
        <f>'数据-基础表'!AZ5</f>
        <v>102.54</v>
      </c>
      <c r="F3" s="2659"/>
      <c r="G3" s="1145"/>
      <c r="H3" s="1026" t="s">
        <v>1106</v>
      </c>
      <c r="I3" s="855" t="e">
        <f>ROUND('数据-基础表'!B3/'数据-基础表'!A3,2)</f>
        <v>#DIV/0!</v>
      </c>
      <c r="J3" s="2659"/>
      <c r="K3" s="2659"/>
      <c r="L3" s="2659"/>
      <c r="M3" s="2659"/>
      <c r="N3" s="2661"/>
      <c r="O3" s="2659"/>
      <c r="P3" s="2659"/>
    </row>
    <row r="4" spans="1:16" ht="14.4">
      <c r="A4" s="3571"/>
      <c r="B4" s="3572"/>
      <c r="C4" s="3573"/>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74" t="s">
        <v>1110</v>
      </c>
      <c r="C5" s="3574"/>
      <c r="D5" s="45">
        <f>ROUND($D$3*E5/$E$3,2)</f>
        <v>0</v>
      </c>
      <c r="E5" s="46">
        <f>SUMIF('数据-基础表'!$11:$11,"住宅",'数据-基础表'!$5:$5)</f>
        <v>102.54</v>
      </c>
      <c r="F5" s="2659"/>
      <c r="G5" s="1145"/>
      <c r="H5" s="1026" t="s">
        <v>1106</v>
      </c>
      <c r="I5" s="855" t="e">
        <f>ROUND(E31/D31,2)</f>
        <v>#DIV/0!</v>
      </c>
      <c r="J5" s="2659"/>
      <c r="K5" s="2659"/>
      <c r="L5" s="2659"/>
      <c r="M5" s="2659"/>
      <c r="N5" s="2659"/>
      <c r="O5" s="2659"/>
      <c r="P5" s="2659"/>
    </row>
    <row r="6" spans="1:16" ht="15" thickBot="1">
      <c r="A6" s="1644"/>
      <c r="B6" s="3574" t="s">
        <v>1111</v>
      </c>
      <c r="C6" s="3574"/>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566"/>
      <c r="B7" s="3567"/>
      <c r="C7" s="3568"/>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102.54</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102.54</v>
      </c>
      <c r="F16" s="2659"/>
      <c r="G16" s="2660"/>
      <c r="H16" s="1648" t="s">
        <v>1135</v>
      </c>
      <c r="I16" s="1649"/>
      <c r="J16" s="1139"/>
      <c r="K16" s="3563" t="s">
        <v>1135</v>
      </c>
      <c r="L16" s="3564"/>
      <c r="M16" s="3564"/>
      <c r="N16" s="3564"/>
      <c r="O16" s="3564"/>
      <c r="P16" s="3565"/>
    </row>
    <row r="17" spans="1:19" ht="14.4">
      <c r="A17" s="1650" t="s">
        <v>1136</v>
      </c>
      <c r="B17" s="1651" t="s">
        <v>1137</v>
      </c>
      <c r="C17" s="1652" t="s">
        <v>1138</v>
      </c>
      <c r="D17" s="1653" t="s">
        <v>1126</v>
      </c>
      <c r="E17" s="1654" t="s">
        <v>1127</v>
      </c>
      <c r="F17" s="1655"/>
      <c r="G17" s="1656"/>
      <c r="H17" s="1657" t="s">
        <v>1139</v>
      </c>
      <c r="I17" s="1658" t="s">
        <v>1124</v>
      </c>
      <c r="J17" s="1139"/>
      <c r="K17" s="3560" t="s">
        <v>1140</v>
      </c>
      <c r="L17" s="3561"/>
      <c r="M17" s="3562"/>
      <c r="N17" s="3560" t="s">
        <v>1141</v>
      </c>
      <c r="O17" s="3561"/>
      <c r="P17" s="3562"/>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3390</v>
      </c>
      <c r="D19" s="45">
        <f>ROUND($D$3*E19/$E$3,2)</f>
        <v>0</v>
      </c>
      <c r="E19" s="53">
        <f t="shared" ref="E19:E26" si="1">SUM(F19:G19)</f>
        <v>102.54</v>
      </c>
      <c r="F19" s="2795">
        <f>'数据-基础表'!I13</f>
        <v>102.54</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102.54</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102.54</v>
      </c>
      <c r="F27" s="1140">
        <f>IF(SUM(F19:F26)=E8,SUM(F19:F26),"地上面积有误")</f>
        <v>102.54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102.54</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102.54</v>
      </c>
      <c r="F31" s="677">
        <f>F27+F30</f>
        <v>102.54</v>
      </c>
      <c r="G31" s="678">
        <f>G27+G30</f>
        <v>0</v>
      </c>
      <c r="H31" s="2659"/>
      <c r="I31" s="2659"/>
      <c r="J31" s="2659"/>
      <c r="K31" s="2659"/>
      <c r="L31" s="2659"/>
      <c r="M31" s="2659"/>
      <c r="N31" s="2659"/>
      <c r="O31" s="2659"/>
      <c r="P31" s="2659"/>
    </row>
    <row r="32" spans="1:19" ht="14.4">
      <c r="A32" s="1643"/>
      <c r="B32" s="1643" t="s">
        <v>1159</v>
      </c>
      <c r="C32" s="1643"/>
      <c r="D32" s="1643"/>
      <c r="E32" s="1053">
        <f>SUMIF(C19:C26,"*住宅*",E19:E26)</f>
        <v>102.54</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E6" activePane="bottomRight" state="frozen"/>
      <selection activeCell="C50" sqref="C50"/>
      <selection pane="topRight" activeCell="C50" sqref="C50"/>
      <selection pane="bottomLeft" activeCell="C50" sqref="C50"/>
      <selection pane="bottomRight" activeCell="L6" sqref="L6"/>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41424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3387</v>
      </c>
      <c r="D6" s="858">
        <f>SUMIF(项目基本情况!C$12:I$12,C6,项目基本情况!C$14:I$14)</f>
        <v>70</v>
      </c>
      <c r="E6" s="857">
        <f>IF(B6="","",SUMIF(项目基本情况!C$12:I$12,C6,项目基本情况!C$13:I$13))</f>
        <v>67179</v>
      </c>
      <c r="F6" s="64">
        <f>SUMIF(项目基本情况!C$12:I$12,C6,项目基本情况!C$15:I$15)</f>
        <v>70</v>
      </c>
      <c r="G6" s="65">
        <f>IF(ISERROR(ROUND(POWER(1+H6,D6-F6)*(POWER(1+H6,F6)-1)/(POWER(1+H6,D6)-1),3)),0,ROUND(POWER(1+H6,D6-F6)*(POWER(1+H6,F6)-1)/(POWER(1+H6,D6)-1),3))</f>
        <v>0</v>
      </c>
      <c r="H6" s="732"/>
      <c r="I6" s="732">
        <v>0.05</v>
      </c>
      <c r="J6" s="66"/>
      <c r="K6" s="1030">
        <f>SUMIF('数据-汇总表'!C$19:C$33,A6,'数据-汇总表'!E$19:E$33)</f>
        <v>102.54</v>
      </c>
      <c r="L6" s="733">
        <v>3500</v>
      </c>
      <c r="M6" s="67">
        <f t="shared" ref="M6:M14" si="0">ROUND(K6*L6/10000,0)</f>
        <v>36</v>
      </c>
      <c r="N6" s="3455">
        <v>0.95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v>0.01</v>
      </c>
      <c r="AL6" s="79">
        <v>2E-3</v>
      </c>
      <c r="AM6" s="80">
        <v>0.03</v>
      </c>
      <c r="AN6" s="1715" t="s">
        <v>3411</v>
      </c>
      <c r="AO6" s="52">
        <f ca="1">SUMIF(INDIRECT("'"&amp;AN6&amp;"'"&amp;"!A:A"),"总价",INDIRECT("'"&amp;AN6&amp;"'"&amp;"!B:B"))</f>
        <v>322.66359999999997</v>
      </c>
      <c r="AP6" s="1716">
        <f>IF(C6="住宅",K6*L6,0)</f>
        <v>358890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102.54</v>
      </c>
      <c r="L16" s="93">
        <f>ROUND(M16*10000/SUM(K6:K14),0)</f>
        <v>3511</v>
      </c>
      <c r="M16" s="93">
        <f>SUM(M6:M14)</f>
        <v>36</v>
      </c>
      <c r="N16" s="94">
        <f>ROUND(SUMPRODUCT(M6:M14,N6:N14)/M16,3)</f>
        <v>0.95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2300</v>
      </c>
      <c r="D20" s="2676"/>
      <c r="E20" s="2673"/>
      <c r="F20" s="2673"/>
      <c r="G20" s="2673"/>
      <c r="H20" s="2673"/>
      <c r="I20" s="2673"/>
      <c r="J20" s="2673"/>
      <c r="K20" s="2672"/>
      <c r="L20" s="2672"/>
      <c r="M20" s="2671"/>
      <c r="N20" s="2671">
        <f>1-(2013-2012)/60</f>
        <v>0.98333333333333328</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0.1</v>
      </c>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3" t="s">
        <v>2294</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2295</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3382</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0.03</v>
      </c>
      <c r="C37" s="2803" t="s">
        <v>2296</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0.03</v>
      </c>
      <c r="C38" s="2803" t="s">
        <v>2296</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0.03</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3392</v>
      </c>
      <c r="B40" s="1078">
        <f ca="1">IF(A40="利息：取LPR",存贷款利率!G1,存贷款利率!G1+C40)</f>
        <v>6.1500000000000006E-2</v>
      </c>
      <c r="C40" s="2814">
        <v>0</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2305</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2306</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5" activePane="bottomRight" state="frozen"/>
      <selection activeCell="C50" sqref="C50"/>
      <selection pane="topRight" activeCell="C50" sqref="C50"/>
      <selection pane="bottomLeft" activeCell="C50" sqref="C50"/>
      <selection pane="bottomRight" activeCell="K35" sqref="K35:K38"/>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75" t="s">
        <v>2285</v>
      </c>
      <c r="B1" s="3576"/>
      <c r="C1" s="3576"/>
      <c r="D1" s="3576"/>
      <c r="E1" s="3576"/>
      <c r="F1" s="3576"/>
      <c r="G1" s="357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7.200000000000003">
      <c r="A4" s="2442"/>
      <c r="B4" s="323" t="s">
        <v>2253</v>
      </c>
      <c r="C4" s="2468" t="s">
        <v>2254</v>
      </c>
      <c r="D4" s="2465"/>
      <c r="E4" s="2469"/>
      <c r="F4" s="1373" t="s">
        <v>2255</v>
      </c>
      <c r="G4" s="2470" t="s">
        <v>2256</v>
      </c>
      <c r="H4" s="799"/>
      <c r="I4" s="799"/>
      <c r="J4" s="799"/>
      <c r="K4" s="799"/>
      <c r="L4" s="799"/>
      <c r="M4" s="799"/>
      <c r="N4" s="799"/>
      <c r="O4" s="799"/>
      <c r="P4" s="799"/>
      <c r="Q4" s="799"/>
      <c r="R4" s="799"/>
    </row>
    <row r="5" spans="1:29" ht="37.200000000000003">
      <c r="A5" s="2442"/>
      <c r="B5" s="323" t="s">
        <v>2257</v>
      </c>
      <c r="C5" s="2468" t="s">
        <v>2258</v>
      </c>
      <c r="D5" s="2465"/>
      <c r="E5" s="2469"/>
      <c r="F5" s="323" t="s">
        <v>2259</v>
      </c>
      <c r="G5" s="2470" t="s">
        <v>2260</v>
      </c>
      <c r="H5" s="799"/>
      <c r="I5" s="799"/>
      <c r="J5" s="799"/>
      <c r="K5" s="799"/>
      <c r="L5" s="799"/>
      <c r="M5" s="799"/>
      <c r="N5" s="799"/>
      <c r="O5" s="799"/>
      <c r="P5" s="799"/>
      <c r="Q5" s="799"/>
      <c r="R5" s="799"/>
    </row>
    <row r="6" spans="1:29" ht="48">
      <c r="A6" s="2442"/>
      <c r="B6" s="323" t="s">
        <v>2261</v>
      </c>
      <c r="C6" s="2470" t="s">
        <v>2256</v>
      </c>
      <c r="D6" s="2465"/>
      <c r="E6" s="2469"/>
      <c r="F6" s="323" t="s">
        <v>2262</v>
      </c>
      <c r="G6" s="2470" t="s">
        <v>2263</v>
      </c>
      <c r="H6" s="799"/>
      <c r="I6" s="799"/>
      <c r="J6" s="799"/>
      <c r="K6" s="799"/>
      <c r="L6" s="799"/>
      <c r="M6" s="799"/>
      <c r="N6" s="799"/>
      <c r="O6" s="799"/>
      <c r="P6" s="799"/>
      <c r="Q6" s="799"/>
      <c r="R6" s="799"/>
    </row>
    <row r="7" spans="1:29" ht="36.6"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ht="24">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4.4"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2286</v>
      </c>
      <c r="B13" s="2484"/>
      <c r="C13" s="2484"/>
      <c r="D13" s="2482"/>
      <c r="E13" s="2484"/>
      <c r="F13" s="2484"/>
      <c r="G13" s="2484"/>
    </row>
    <row r="14" spans="1:29" ht="14.4" thickBot="1">
      <c r="A14" s="2494"/>
      <c r="B14" s="2494"/>
      <c r="C14" s="2495" t="s">
        <v>2269</v>
      </c>
      <c r="D14" s="2465"/>
      <c r="E14" s="2496"/>
      <c r="F14" s="2496"/>
      <c r="G14" s="2460" t="s">
        <v>2270</v>
      </c>
    </row>
    <row r="15" spans="1:29" ht="52.8">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9.6">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9.6">
      <c r="A17" s="2446"/>
      <c r="B17" s="2500" t="s">
        <v>2257</v>
      </c>
      <c r="C17" s="2501" t="str">
        <f>C5</f>
        <v>估价对象位于XX商圈，周边办公楼项目较多，入驻率高，办公集聚程度较好</v>
      </c>
      <c r="D17" s="2471"/>
      <c r="E17" s="2447"/>
      <c r="F17" s="2502" t="s">
        <v>2274</v>
      </c>
      <c r="G17" s="2504"/>
    </row>
    <row r="18" spans="1:18" ht="52.8">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6.4">
      <c r="A19" s="2446"/>
      <c r="B19" s="2502" t="s">
        <v>2275</v>
      </c>
      <c r="C19" s="2504"/>
      <c r="D19" s="2465"/>
      <c r="E19" s="2447"/>
      <c r="F19" s="323" t="s">
        <v>2259</v>
      </c>
      <c r="G19" s="2503" t="str">
        <f>G5</f>
        <v>估价对象所在区域公共配套设施齐备情况</v>
      </c>
    </row>
    <row r="20" spans="1:18" ht="26.4">
      <c r="A20" s="2446"/>
      <c r="B20" s="2502" t="s">
        <v>2276</v>
      </c>
      <c r="C20" s="2501" t="str">
        <f>C9</f>
        <v>区域自然环境：；人文环境；综合评价环境状况一般</v>
      </c>
      <c r="D20" s="2471"/>
      <c r="E20" s="2447"/>
      <c r="F20" s="323" t="s">
        <v>2262</v>
      </c>
      <c r="G20" s="2503" t="str">
        <f>G6</f>
        <v>估价对象所在区域基础设施水平</v>
      </c>
    </row>
    <row r="21" spans="1:18" ht="26.4">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4.4"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4.4"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102.54</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41424</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482</v>
      </c>
      <c r="C5" s="2512" t="e">
        <f ca="1">IF(B5=D14,结果表!H102,ROUND(B5*10000/$B$1,0))</f>
        <v>#N/A</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3356</v>
      </c>
      <c r="D10" s="2512" t="s">
        <v>3357</v>
      </c>
      <c r="E10" s="3441"/>
      <c r="F10" s="3445" t="s">
        <v>3358</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'数据-汇总表'!F19</f>
        <v>102.54</v>
      </c>
      <c r="C14" s="2518"/>
      <c r="D14" s="2518">
        <f ca="1">结果表!G19</f>
        <v>482</v>
      </c>
      <c r="E14" s="2518">
        <f ca="1">ROUND(D14*10000/B14,0)</f>
        <v>47006</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C8" sqref="C8:C9"/>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1" t="str">
        <f>项目基本情况!S2</f>
        <v>北京市房地产</v>
      </c>
      <c r="B2" s="3612"/>
      <c r="C2" s="3612"/>
      <c r="D2" s="3612"/>
      <c r="E2" s="3612"/>
      <c r="F2" s="3612"/>
      <c r="G2" s="3612"/>
      <c r="H2" s="3612"/>
      <c r="I2" s="3613"/>
    </row>
    <row r="3" spans="1:12" ht="13.2">
      <c r="A3" s="3615" t="s">
        <v>1264</v>
      </c>
      <c r="B3" s="3616"/>
      <c r="C3" s="3616"/>
      <c r="D3" s="3616"/>
      <c r="E3" s="3616"/>
      <c r="F3" s="3616"/>
      <c r="G3" s="3616"/>
      <c r="H3" s="3616"/>
      <c r="I3" s="3616"/>
    </row>
    <row r="4" spans="1:12" ht="14.4">
      <c r="A4" s="1754" t="s">
        <v>1265</v>
      </c>
      <c r="B4" s="1755" t="s">
        <v>1266</v>
      </c>
      <c r="C4" s="1756" t="s">
        <v>3410</v>
      </c>
      <c r="D4" s="1756" t="s">
        <v>3411</v>
      </c>
      <c r="E4" s="3617" t="s">
        <v>1267</v>
      </c>
      <c r="F4" s="3618"/>
      <c r="G4" s="3618"/>
      <c r="H4" s="3618"/>
      <c r="I4" s="361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591" t="s">
        <v>1268</v>
      </c>
      <c r="B5" s="3578">
        <v>25</v>
      </c>
      <c r="C5" s="3594">
        <v>8</v>
      </c>
      <c r="D5" s="3614">
        <f>10-C5</f>
        <v>2</v>
      </c>
      <c r="E5" s="131" t="s">
        <v>1269</v>
      </c>
      <c r="F5" s="1757"/>
      <c r="G5" s="1757"/>
      <c r="H5" s="1757"/>
      <c r="I5" s="1373"/>
    </row>
    <row r="6" spans="1:12" ht="13.2">
      <c r="A6" s="3591"/>
      <c r="B6" s="3578"/>
      <c r="C6" s="3595"/>
      <c r="D6" s="3614"/>
      <c r="E6" s="131" t="s">
        <v>1270</v>
      </c>
      <c r="F6" s="1757"/>
      <c r="G6" s="1757"/>
      <c r="H6" s="1757"/>
      <c r="I6" s="1373"/>
    </row>
    <row r="7" spans="1:12" ht="13.2">
      <c r="A7" s="3591"/>
      <c r="B7" s="3578"/>
      <c r="C7" s="3596"/>
      <c r="D7" s="3614"/>
      <c r="E7" s="131" t="s">
        <v>1271</v>
      </c>
      <c r="F7" s="1757"/>
      <c r="G7" s="1757"/>
      <c r="H7" s="1757"/>
      <c r="I7" s="1373"/>
    </row>
    <row r="8" spans="1:12" ht="13.2">
      <c r="A8" s="3591" t="s">
        <v>1272</v>
      </c>
      <c r="B8" s="3578">
        <v>15</v>
      </c>
      <c r="C8" s="3594"/>
      <c r="D8" s="3614"/>
      <c r="E8" s="131" t="s">
        <v>1273</v>
      </c>
      <c r="F8" s="1757"/>
      <c r="G8" s="1757"/>
      <c r="H8" s="1757"/>
      <c r="I8" s="1373"/>
    </row>
    <row r="9" spans="1:12" ht="13.2">
      <c r="A9" s="3591"/>
      <c r="B9" s="3578"/>
      <c r="C9" s="3596"/>
      <c r="D9" s="3614"/>
      <c r="E9" s="131" t="s">
        <v>1274</v>
      </c>
      <c r="F9" s="1757"/>
      <c r="G9" s="1757"/>
      <c r="H9" s="1757"/>
      <c r="I9" s="1373"/>
    </row>
    <row r="10" spans="1:12" ht="13.2">
      <c r="A10" s="3591" t="s">
        <v>1275</v>
      </c>
      <c r="B10" s="3578">
        <v>15</v>
      </c>
      <c r="C10" s="3594"/>
      <c r="D10" s="3614"/>
      <c r="E10" s="131" t="s">
        <v>1276</v>
      </c>
      <c r="F10" s="1757"/>
      <c r="G10" s="1757"/>
      <c r="H10" s="1757"/>
      <c r="I10" s="1373"/>
    </row>
    <row r="11" spans="1:12" ht="13.2">
      <c r="A11" s="3591"/>
      <c r="B11" s="3578"/>
      <c r="C11" s="3596"/>
      <c r="D11" s="3614"/>
      <c r="E11" s="131" t="s">
        <v>1277</v>
      </c>
      <c r="F11" s="1757"/>
      <c r="G11" s="1757"/>
      <c r="H11" s="1757"/>
      <c r="I11" s="1373"/>
    </row>
    <row r="12" spans="1:12" ht="13.2">
      <c r="A12" s="3591" t="s">
        <v>1278</v>
      </c>
      <c r="B12" s="3578">
        <v>15</v>
      </c>
      <c r="C12" s="3594"/>
      <c r="D12" s="3614"/>
      <c r="E12" s="131" t="s">
        <v>1279</v>
      </c>
      <c r="F12" s="1757"/>
      <c r="G12" s="1757"/>
      <c r="H12" s="1757"/>
      <c r="I12" s="1373"/>
    </row>
    <row r="13" spans="1:12" ht="13.2">
      <c r="A13" s="3591"/>
      <c r="B13" s="3578"/>
      <c r="C13" s="3596"/>
      <c r="D13" s="3614"/>
      <c r="E13" s="131" t="s">
        <v>1280</v>
      </c>
      <c r="F13" s="1757"/>
      <c r="G13" s="1757"/>
      <c r="H13" s="1757"/>
      <c r="I13" s="1373"/>
    </row>
    <row r="14" spans="1:12" ht="13.2">
      <c r="A14" s="3591" t="s">
        <v>1281</v>
      </c>
      <c r="B14" s="3578">
        <v>30</v>
      </c>
      <c r="C14" s="3594"/>
      <c r="D14" s="3614"/>
      <c r="E14" s="131" t="s">
        <v>1282</v>
      </c>
      <c r="F14" s="1757"/>
      <c r="G14" s="1757"/>
      <c r="H14" s="1757"/>
      <c r="I14" s="1373"/>
    </row>
    <row r="15" spans="1:12" ht="13.2">
      <c r="A15" s="3591"/>
      <c r="B15" s="3578"/>
      <c r="C15" s="3595"/>
      <c r="D15" s="3614"/>
      <c r="E15" s="131" t="s">
        <v>1283</v>
      </c>
      <c r="F15" s="1757"/>
      <c r="G15" s="1757"/>
      <c r="H15" s="1757"/>
      <c r="I15" s="1373"/>
    </row>
    <row r="16" spans="1:12" ht="13.2">
      <c r="A16" s="3591"/>
      <c r="B16" s="3578"/>
      <c r="C16" s="3596"/>
      <c r="D16" s="3614"/>
      <c r="E16" s="131" t="s">
        <v>1284</v>
      </c>
      <c r="F16" s="1757"/>
      <c r="G16" s="1757"/>
      <c r="H16" s="1757"/>
      <c r="I16" s="1373"/>
    </row>
    <row r="17" spans="1:36" ht="14.4">
      <c r="A17" s="1758" t="s">
        <v>1285</v>
      </c>
      <c r="B17" s="56"/>
      <c r="C17" s="132">
        <f>SUM(C5:C16)</f>
        <v>8</v>
      </c>
      <c r="D17" s="132">
        <f>SUM(D5:D16)</f>
        <v>2</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601" t="s">
        <v>2130</v>
      </c>
      <c r="F18" s="3602"/>
      <c r="G18" s="3602"/>
      <c r="H18" s="3602"/>
      <c r="I18" s="3602"/>
      <c r="K18" s="302" t="s">
        <v>1289</v>
      </c>
      <c r="L18" s="302">
        <f>IF(C1="",'数据-汇总表'!E3,SUMIF(项目类型,C1,'数据-汇总表'!E17:E26)+SUMIF(项目类型,C1,'数据-汇总表'!I17:I26))</f>
        <v>102.54</v>
      </c>
      <c r="M18" s="302">
        <f>IF(C1="",'数据-汇总表'!E3,SUMIF(项目类型,C1,'数据-汇总表'!E17:E26))</f>
        <v>102.54</v>
      </c>
    </row>
    <row r="19" spans="1:36" ht="14.4">
      <c r="A19" s="1761" t="s">
        <v>1290</v>
      </c>
      <c r="B19" s="1762" t="s">
        <v>1291</v>
      </c>
      <c r="C19" s="134">
        <f ca="1">SUMIF(INDIRECT("'"&amp;C4&amp;"'"&amp;"!A:A"),结果表!B19,INDIRECT("'"&amp;C4&amp;"'"&amp;"!B:B"))</f>
        <v>522.00040000000001</v>
      </c>
      <c r="D19" s="135">
        <f ca="1">SUMIF(INDIRECT("'"&amp;D4&amp;"'"&amp;"!A:A"),结果表!B19,INDIRECT("'"&amp;D4&amp;"'"&amp;"!B:B"))</f>
        <v>322.66359999999997</v>
      </c>
      <c r="E19" s="1761" t="s">
        <v>1292</v>
      </c>
      <c r="F19" s="1762" t="s">
        <v>1291</v>
      </c>
      <c r="G19" s="136">
        <f ca="1">ROUND(C19*$C$18+D19*$D$18,0)</f>
        <v>482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50907</v>
      </c>
      <c r="D20" s="138">
        <f ca="1">SUMIF(INDIRECT("'"&amp;D4&amp;"'"&amp;"!A:A"),结果表!B20,INDIRECT("'"&amp;D4&amp;"'"&amp;"!B:B"))</f>
        <v>31467</v>
      </c>
      <c r="E20" s="1764"/>
      <c r="F20" s="1026" t="s">
        <v>1295</v>
      </c>
      <c r="G20" s="139">
        <f ca="1">ROUND(C20*$C$18+D20*$D$18,0)</f>
        <v>47019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0.6177852103553052</v>
      </c>
      <c r="E22" s="129"/>
      <c r="F22" s="129"/>
      <c r="G22" s="129"/>
      <c r="H22" s="129"/>
      <c r="I22" s="129"/>
    </row>
    <row r="23" spans="1:36" ht="13.8" thickBot="1">
      <c r="A23" s="1747"/>
      <c r="B23" s="1747"/>
      <c r="C23" s="1747"/>
      <c r="D23" s="1747"/>
      <c r="E23" s="129"/>
      <c r="F23" s="129"/>
      <c r="G23" s="129"/>
      <c r="H23" s="129"/>
      <c r="I23" s="129"/>
    </row>
    <row r="24" spans="1:36" ht="14.4">
      <c r="A24" s="3585" t="s">
        <v>1299</v>
      </c>
      <c r="B24" s="1762" t="s">
        <v>1291</v>
      </c>
      <c r="C24" s="136">
        <f>IF(B30=0,0,D30)</f>
        <v>0</v>
      </c>
      <c r="D24" s="1769"/>
      <c r="E24" s="129"/>
      <c r="F24" s="129"/>
      <c r="G24" s="129"/>
      <c r="H24" s="129"/>
      <c r="I24" s="129"/>
    </row>
    <row r="25" spans="1:36" ht="14.4">
      <c r="A25" s="358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47019</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05" t="s">
        <v>1312</v>
      </c>
      <c r="B36" s="1787" t="s">
        <v>1313</v>
      </c>
      <c r="C36" s="145"/>
      <c r="D36" s="1788"/>
      <c r="E36" s="1789"/>
      <c r="F36" s="1790"/>
      <c r="G36" s="129"/>
      <c r="H36" s="129"/>
      <c r="I36" s="129"/>
    </row>
    <row r="37" spans="1:15" ht="15" thickBot="1">
      <c r="A37" s="3606"/>
      <c r="B37" s="1674" t="s">
        <v>1314</v>
      </c>
      <c r="C37" s="147"/>
      <c r="D37" s="1139"/>
      <c r="E37" s="1139"/>
      <c r="F37" s="1790"/>
      <c r="G37" s="129"/>
      <c r="H37" s="129"/>
      <c r="I37" s="129"/>
    </row>
    <row r="38" spans="1:15" ht="15" thickBot="1">
      <c r="A38" s="3607"/>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82" t="s">
        <v>1326</v>
      </c>
      <c r="B45" s="3583"/>
      <c r="C45" s="3584"/>
      <c r="D45" s="155" t="e">
        <f ca="1">ROUND(H101*F45,0)</f>
        <v>#REF!</v>
      </c>
      <c r="E45" s="156" t="s">
        <v>1327</v>
      </c>
      <c r="F45" s="157">
        <v>1</v>
      </c>
      <c r="G45" s="158" t="s">
        <v>1328</v>
      </c>
      <c r="H45" s="129"/>
      <c r="I45" s="129"/>
      <c r="J45" s="3660" t="s">
        <v>1329</v>
      </c>
      <c r="K45" s="3660"/>
      <c r="L45" s="3660"/>
      <c r="M45" s="3660"/>
      <c r="N45" s="3660"/>
      <c r="O45" s="3660"/>
    </row>
    <row r="46" spans="1:15" ht="14.25" customHeight="1">
      <c r="A46" s="3579" t="s">
        <v>1330</v>
      </c>
      <c r="B46" s="3580"/>
      <c r="C46" s="3580"/>
      <c r="D46" s="3580"/>
      <c r="E46" s="3580"/>
      <c r="F46" s="3580"/>
      <c r="G46" s="3581"/>
      <c r="H46" s="1806"/>
      <c r="I46" s="159"/>
      <c r="J46" s="2523">
        <v>1</v>
      </c>
      <c r="K46" s="3641" t="s">
        <v>1331</v>
      </c>
      <c r="L46" s="3641"/>
      <c r="M46" s="3661"/>
      <c r="N46" s="3661"/>
      <c r="O46" s="3661"/>
    </row>
    <row r="47" spans="1:15" ht="12" customHeight="1">
      <c r="A47" s="160" t="s">
        <v>1332</v>
      </c>
      <c r="B47" s="161"/>
      <c r="C47" s="162"/>
      <c r="D47" s="1087" t="s">
        <v>1333</v>
      </c>
      <c r="E47" s="302" t="s">
        <v>1334</v>
      </c>
      <c r="F47" s="163" t="s">
        <v>1335</v>
      </c>
      <c r="G47" s="2546" t="s">
        <v>1336</v>
      </c>
      <c r="H47" s="2547"/>
      <c r="I47" s="159"/>
      <c r="J47" s="2523">
        <v>2</v>
      </c>
      <c r="K47" s="3641" t="s">
        <v>1337</v>
      </c>
      <c r="L47" s="3641"/>
      <c r="M47" s="3662">
        <f>'数据-取费表'!B2</f>
        <v>41424</v>
      </c>
      <c r="N47" s="3662"/>
      <c r="O47" s="3662"/>
    </row>
    <row r="48" spans="1:15" ht="26.4">
      <c r="A48" s="3610" t="s">
        <v>1338</v>
      </c>
      <c r="B48" s="3593"/>
      <c r="C48" s="3593"/>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41" t="s">
        <v>1340</v>
      </c>
      <c r="L48" s="3641"/>
      <c r="M48" s="3663" t="e">
        <f ca="1">H101</f>
        <v>#REF!</v>
      </c>
      <c r="N48" s="3663"/>
      <c r="O48" s="3663"/>
    </row>
    <row r="49" spans="1:35" ht="25.5" customHeight="1">
      <c r="A49" s="2333" t="s">
        <v>1341</v>
      </c>
      <c r="B49" s="3577" t="s">
        <v>1342</v>
      </c>
      <c r="C49" s="3577"/>
      <c r="D49" s="1590">
        <v>0</v>
      </c>
      <c r="E49" s="324" t="s">
        <v>1343</v>
      </c>
      <c r="F49" s="2424" t="s">
        <v>28</v>
      </c>
      <c r="G49" s="3647"/>
      <c r="H49" s="2310" t="s">
        <v>2133</v>
      </c>
      <c r="I49" s="2311"/>
      <c r="J49" s="2523">
        <v>4</v>
      </c>
      <c r="K49" s="3641" t="str">
        <f>IF(项目基本情况!E8="房地产抵押价值","房地产抵押价值","抵押担保权已注销时的房地产抵押价值")</f>
        <v>抵押担保权已注销时的房地产抵押价值</v>
      </c>
      <c r="L49" s="3641"/>
      <c r="M49" s="3663" t="str">
        <f>IF(项目基本情况!E8="房地产抵押价值",H107,H109)</f>
        <v>——</v>
      </c>
      <c r="N49" s="3663"/>
      <c r="O49" s="3663"/>
    </row>
    <row r="50" spans="1:35" ht="25.5" customHeight="1">
      <c r="A50" s="2551"/>
      <c r="B50" s="3577" t="s">
        <v>1344</v>
      </c>
      <c r="C50" s="3577"/>
      <c r="D50" s="2552"/>
      <c r="E50" s="332"/>
      <c r="F50" s="2424"/>
      <c r="G50" s="3648"/>
      <c r="H50" s="2312" t="s">
        <v>2134</v>
      </c>
      <c r="I50" s="2311"/>
      <c r="J50" s="3660" t="s">
        <v>1345</v>
      </c>
      <c r="K50" s="3660"/>
      <c r="L50" s="3660"/>
      <c r="M50" s="3660"/>
      <c r="N50" s="3660"/>
      <c r="O50" s="3660"/>
    </row>
    <row r="51" spans="1:35" ht="20.399999999999999" customHeight="1">
      <c r="A51" s="2553"/>
      <c r="B51" s="3577" t="s">
        <v>1346</v>
      </c>
      <c r="C51" s="3577"/>
      <c r="D51" s="1087"/>
      <c r="E51" s="327"/>
      <c r="F51" s="2424"/>
      <c r="G51" s="3649"/>
      <c r="H51" s="2312" t="s">
        <v>2135</v>
      </c>
      <c r="I51" s="2311"/>
      <c r="J51" s="2524" t="s">
        <v>1347</v>
      </c>
      <c r="K51" s="3641" t="s">
        <v>1348</v>
      </c>
      <c r="L51" s="3641"/>
      <c r="M51" s="2524" t="s">
        <v>1349</v>
      </c>
      <c r="N51" s="2524" t="s">
        <v>1350</v>
      </c>
      <c r="O51" s="2524" t="s">
        <v>1351</v>
      </c>
    </row>
    <row r="52" spans="1:35" ht="24" customHeight="1">
      <c r="A52" s="2335" t="s">
        <v>1352</v>
      </c>
      <c r="B52" s="3577" t="s">
        <v>1353</v>
      </c>
      <c r="C52" s="3577"/>
      <c r="D52" s="1087" t="e">
        <f ca="1">ROUND(D45*'数据-取费表'!B41/(1+'数据-取费表'!C42),0)</f>
        <v>#REF!</v>
      </c>
      <c r="E52" s="2334" t="s">
        <v>1354</v>
      </c>
      <c r="F52" s="2554">
        <f>'数据-取费表'!B41</f>
        <v>5.6000000000000001E-2</v>
      </c>
      <c r="G52" s="2555"/>
      <c r="H52" s="2544"/>
      <c r="I52" s="1807"/>
      <c r="J52" s="2523">
        <v>1</v>
      </c>
      <c r="K52" s="3642" t="s">
        <v>1355</v>
      </c>
      <c r="L52" s="3642"/>
      <c r="M52" s="2525" t="b">
        <f>D48</f>
        <v>0</v>
      </c>
      <c r="N52" s="2523" t="str">
        <f>E48</f>
        <v>销售额×税（费）率</v>
      </c>
      <c r="O52" s="2526">
        <f>F48</f>
        <v>5.6000000000000001E-2</v>
      </c>
    </row>
    <row r="53" spans="1:35" ht="12" customHeight="1">
      <c r="A53" s="2335" t="s">
        <v>1356</v>
      </c>
      <c r="B53" s="3603" t="s">
        <v>2290</v>
      </c>
      <c r="C53" s="3604"/>
      <c r="D53" s="1087" t="e">
        <f ca="1">ROUND(D45*'数据-取费表'!B41/(1+'数据-取费表'!C42),0)</f>
        <v>#REF!</v>
      </c>
      <c r="E53" s="2334" t="s">
        <v>1354</v>
      </c>
      <c r="F53" s="2554">
        <f>'数据-取费表'!B41</f>
        <v>5.6000000000000001E-2</v>
      </c>
      <c r="G53" s="2555"/>
      <c r="H53" s="2544"/>
      <c r="I53" s="1807"/>
      <c r="J53" s="2523">
        <v>2</v>
      </c>
      <c r="K53" s="3642" t="s">
        <v>1357</v>
      </c>
      <c r="L53" s="3642"/>
      <c r="M53" s="2525" t="e">
        <f t="shared" ref="M53:O54" ca="1" si="0">D55</f>
        <v>#REF!</v>
      </c>
      <c r="N53" s="2523" t="str">
        <f t="shared" si="0"/>
        <v>销售额×税（费）率</v>
      </c>
      <c r="O53" s="2526" t="str">
        <f t="shared" si="0"/>
        <v>免征</v>
      </c>
    </row>
    <row r="54" spans="1:35" ht="12" customHeight="1">
      <c r="A54" s="2335" t="s">
        <v>1358</v>
      </c>
      <c r="B54" s="3603" t="s">
        <v>2291</v>
      </c>
      <c r="C54" s="3604"/>
      <c r="D54" s="1087" t="e">
        <f ca="1">C68</f>
        <v>#REF!</v>
      </c>
      <c r="E54" s="327" t="s">
        <v>1359</v>
      </c>
      <c r="F54" s="2554">
        <f>'数据-取费表'!B41</f>
        <v>5.6000000000000001E-2</v>
      </c>
      <c r="G54" s="2555"/>
      <c r="H54" s="2556"/>
      <c r="I54" s="1807"/>
      <c r="J54" s="2523">
        <v>3</v>
      </c>
      <c r="K54" s="3642" t="s">
        <v>1360</v>
      </c>
      <c r="L54" s="3642"/>
      <c r="M54" s="2525" t="e">
        <f t="shared" ca="1" si="0"/>
        <v>#REF!</v>
      </c>
      <c r="N54" s="2523" t="str">
        <f t="shared" si="0"/>
        <v>增值额×税（费）率</v>
      </c>
      <c r="O54" s="2527" t="str">
        <f t="shared" si="0"/>
        <v>免征</v>
      </c>
    </row>
    <row r="55" spans="1:35" ht="24" customHeight="1">
      <c r="A55" s="3592" t="s">
        <v>1361</v>
      </c>
      <c r="B55" s="3593"/>
      <c r="C55" s="3593"/>
      <c r="D55" s="2324" t="e">
        <f ca="1">IF(H55="个人住宅",0,ROUND(D45*I55,0))</f>
        <v>#REF!</v>
      </c>
      <c r="E55" s="2334" t="s">
        <v>1362</v>
      </c>
      <c r="F55" s="2554" t="str">
        <f>IF(H55="正常",I55,"免征")</f>
        <v>免征</v>
      </c>
      <c r="G55" s="2555"/>
      <c r="H55" s="2550"/>
      <c r="I55" s="165">
        <f>'数据-取费表'!B49</f>
        <v>5.0000000000000001E-4</v>
      </c>
      <c r="J55" s="2523">
        <f>IF(H59="非个人房产","",4)</f>
        <v>4</v>
      </c>
      <c r="K55" s="3642" t="str">
        <f>IF(H59="非个人房产","——","个人所得税")</f>
        <v>个人所得税</v>
      </c>
      <c r="L55" s="3642"/>
      <c r="M55" s="2528" t="e">
        <f ca="1">D59</f>
        <v>#REF!</v>
      </c>
      <c r="N55" s="2040" t="str">
        <f>E59</f>
        <v>差额计税</v>
      </c>
      <c r="O55" s="2529">
        <f>F59</f>
        <v>0.01</v>
      </c>
    </row>
    <row r="56" spans="1:35" ht="25.2">
      <c r="A56" s="3592" t="s">
        <v>1363</v>
      </c>
      <c r="B56" s="3593"/>
      <c r="C56" s="3593"/>
      <c r="D56" s="2324" t="e">
        <f ca="1">IF(H56="个人住宅",D57,D58)</f>
        <v>#REF!</v>
      </c>
      <c r="E56" s="2334" t="s">
        <v>1364</v>
      </c>
      <c r="F56" s="2554" t="str">
        <f>IF(H56="正常",F58,"免征")</f>
        <v>免征</v>
      </c>
      <c r="G56" s="2557" t="s">
        <v>1365</v>
      </c>
      <c r="H56" s="2558"/>
      <c r="I56" s="1808"/>
      <c r="J56" s="2523" t="str">
        <f>IF(项目基本情况!K6="上海银行",IF(J55="",4,J55+1),"")</f>
        <v/>
      </c>
      <c r="K56" s="3665" t="str">
        <f>IF(项目基本情况!K6="上海银行","其他处置费用","")</f>
        <v/>
      </c>
      <c r="L56" s="3666"/>
      <c r="M56" s="2525" t="str">
        <f>IF(项目基本情况!K6="上海银行",M69,"")</f>
        <v/>
      </c>
      <c r="N56" s="3665" t="str">
        <f>IF(项目基本情况!K6="上海银行","包含处置中涉及的律师、诉讼、拍卖、评估等费用","")</f>
        <v/>
      </c>
      <c r="O56" s="3668"/>
    </row>
    <row r="57" spans="1:35" ht="13.2">
      <c r="A57" s="2335" t="s">
        <v>1341</v>
      </c>
      <c r="B57" s="3603" t="s">
        <v>1366</v>
      </c>
      <c r="C57" s="3604"/>
      <c r="D57" s="1590">
        <v>0</v>
      </c>
      <c r="E57" s="324" t="s">
        <v>1343</v>
      </c>
      <c r="F57" s="302"/>
      <c r="G57" s="2555"/>
      <c r="H57" s="2559"/>
      <c r="I57" s="1808"/>
      <c r="J57" s="3642">
        <f>IF(AND(J55="",J56=""),4,IF(项目基本情况!K6="上海银行",结果表!J56+1,结果表!J55+1))</f>
        <v>5</v>
      </c>
      <c r="K57" s="3642" t="s">
        <v>1367</v>
      </c>
      <c r="L57" s="2530" t="s">
        <v>1368</v>
      </c>
      <c r="M57" s="2531"/>
      <c r="N57" s="2532">
        <f ca="1">SUMIF(M52:M56,"&lt;9e307")</f>
        <v>0</v>
      </c>
      <c r="O57" s="2533"/>
      <c r="P57" s="2690" t="e">
        <f ca="1">N57/M49</f>
        <v>#VALUE!</v>
      </c>
    </row>
    <row r="58" spans="1:35" ht="25.2">
      <c r="A58" s="2335" t="s">
        <v>1352</v>
      </c>
      <c r="B58" s="3603" t="s">
        <v>1369</v>
      </c>
      <c r="C58" s="3577"/>
      <c r="D58" s="2324" t="e">
        <f ca="1">IF(H58="转让取得",C81,C97)</f>
        <v>#REF!</v>
      </c>
      <c r="E58" s="2334" t="s">
        <v>1364</v>
      </c>
      <c r="F58" s="302" t="s">
        <v>28</v>
      </c>
      <c r="G58" s="2555"/>
      <c r="H58" s="2558"/>
      <c r="I58" s="1808"/>
      <c r="J58" s="3642"/>
      <c r="K58" s="3642"/>
      <c r="L58" s="2530" t="s">
        <v>1370</v>
      </c>
      <c r="M58" s="2534"/>
      <c r="N58" s="2535" t="str">
        <f ca="1">NUMBERSTRING(INT(N57*10000),2)&amp;"元整"</f>
        <v>零元整</v>
      </c>
      <c r="O58" s="2536"/>
    </row>
    <row r="59" spans="1:35" ht="24.6" thickBot="1">
      <c r="A59" s="3645" t="s">
        <v>1371</v>
      </c>
      <c r="B59" s="3646"/>
      <c r="C59" s="3646"/>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43">
        <f>J57+1</f>
        <v>6</v>
      </c>
      <c r="K59" s="3642" t="s">
        <v>1372</v>
      </c>
      <c r="L59" s="2523" t="s">
        <v>1368</v>
      </c>
      <c r="M59" s="2537"/>
      <c r="N59" s="2538" t="e">
        <f ca="1">M49-N57</f>
        <v>#VALUE!</v>
      </c>
      <c r="O59" s="2539"/>
    </row>
    <row r="60" spans="1:35" ht="12" customHeight="1">
      <c r="A60" s="1809"/>
      <c r="B60" s="1747"/>
      <c r="C60" s="1747"/>
      <c r="D60" s="1747"/>
      <c r="E60" s="1578"/>
      <c r="F60" s="1808"/>
      <c r="G60" s="1808"/>
      <c r="H60" s="1810"/>
      <c r="I60" s="129"/>
      <c r="J60" s="3644"/>
      <c r="K60" s="3642"/>
      <c r="L60" s="2530" t="s">
        <v>1370</v>
      </c>
      <c r="M60" s="2534"/>
      <c r="N60" s="2535" t="e">
        <f ca="1">NUMBERSTRING(INT(N59*10000),2)&amp;"元整"</f>
        <v>#VALUE!</v>
      </c>
      <c r="O60" s="2536"/>
    </row>
    <row r="61" spans="1:35" ht="13.8" thickBot="1">
      <c r="A61" s="3590" t="s">
        <v>1373</v>
      </c>
      <c r="B61" s="3590"/>
      <c r="C61" s="3590"/>
      <c r="D61" s="3590"/>
      <c r="E61" s="3590"/>
      <c r="F61" s="1808"/>
      <c r="G61" s="1808"/>
      <c r="H61" s="1810"/>
      <c r="I61" s="129"/>
      <c r="J61" s="2523">
        <f>J59+1</f>
        <v>7</v>
      </c>
      <c r="K61" s="3642" t="s">
        <v>1374</v>
      </c>
      <c r="L61" s="3642"/>
      <c r="M61" s="2540"/>
      <c r="N61" s="2541" t="e">
        <f ca="1">ROUND(N59*10000/'数据-汇总表'!E3,0)</f>
        <v>#VALUE!</v>
      </c>
      <c r="O61" s="2542"/>
    </row>
    <row r="62" spans="1:35" ht="13.2">
      <c r="A62" s="3608" t="s">
        <v>1375</v>
      </c>
      <c r="B62" s="3609"/>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667"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67"/>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67"/>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67"/>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67"/>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67"/>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67"/>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29" t="s">
        <v>1394</v>
      </c>
      <c r="B70" s="3630"/>
      <c r="C70" s="3630"/>
      <c r="D70" s="3630"/>
      <c r="E70" s="3630"/>
      <c r="F70" s="3630"/>
      <c r="G70" s="3630"/>
      <c r="H70" s="363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08" t="s">
        <v>1375</v>
      </c>
      <c r="B71" s="360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3" t="s">
        <v>1402</v>
      </c>
      <c r="F76" s="3577"/>
      <c r="G76" s="3577"/>
      <c r="H76" s="362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87" t="s">
        <v>1406</v>
      </c>
      <c r="F78" s="3588"/>
      <c r="G78" s="3588"/>
      <c r="H78" s="359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29" t="s">
        <v>1410</v>
      </c>
      <c r="B83" s="3630"/>
      <c r="C83" s="3630"/>
      <c r="D83" s="3630"/>
      <c r="E83" s="3630"/>
      <c r="F83" s="3630"/>
      <c r="G83" s="3630"/>
      <c r="H83" s="363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08" t="s">
        <v>1375</v>
      </c>
      <c r="B84" s="360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669" t="s">
        <v>2128</v>
      </c>
      <c r="H90" s="3670"/>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7" t="s">
        <v>1419</v>
      </c>
      <c r="F91" s="3588"/>
      <c r="G91" s="358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7" t="s">
        <v>1422</v>
      </c>
      <c r="F92" s="3588"/>
      <c r="G92" s="3588"/>
      <c r="H92" s="3597"/>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87" t="s">
        <v>1406</v>
      </c>
      <c r="F93" s="3588"/>
      <c r="G93" s="3588"/>
      <c r="H93" s="359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8" t="s">
        <v>1426</v>
      </c>
      <c r="F94" s="3599"/>
      <c r="G94" s="3599"/>
      <c r="H94" s="360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71" t="s">
        <v>1428</v>
      </c>
      <c r="B100" s="3572"/>
      <c r="C100" s="3572"/>
      <c r="D100" s="3589"/>
      <c r="E100" s="3572" t="s">
        <v>1429</v>
      </c>
      <c r="F100" s="3572"/>
      <c r="G100" s="3572"/>
      <c r="H100" s="3589"/>
      <c r="I100" s="129"/>
    </row>
    <row r="101" spans="1:35" ht="18.75" customHeight="1">
      <c r="A101" s="3650" t="s">
        <v>1430</v>
      </c>
      <c r="B101" s="3651"/>
      <c r="C101" s="2585" t="str">
        <f>C4</f>
        <v>比较法-住宅</v>
      </c>
      <c r="D101" s="2586" t="str">
        <f>D4</f>
        <v>成本法 (元)</v>
      </c>
      <c r="E101" s="3664" t="s">
        <v>1431</v>
      </c>
      <c r="F101" s="3621"/>
      <c r="G101" s="1827" t="s">
        <v>1432</v>
      </c>
      <c r="H101" s="2595" t="e">
        <f ca="1">H118</f>
        <v>#REF!</v>
      </c>
      <c r="I101" s="129"/>
    </row>
    <row r="102" spans="1:35" ht="18.75" customHeight="1">
      <c r="A102" s="3623" t="s">
        <v>1433</v>
      </c>
      <c r="B102" s="2584" t="s">
        <v>1432</v>
      </c>
      <c r="C102" s="2585">
        <f ca="1">IF(D32="楼面单价",ROUND(C19,0),C19)</f>
        <v>522.00040000000001</v>
      </c>
      <c r="D102" s="2586">
        <f ca="1">IF(D32="楼面单价",ROUND(D19,0),D19)</f>
        <v>322.66359999999997</v>
      </c>
      <c r="E102" s="3664"/>
      <c r="F102" s="3621"/>
      <c r="G102" s="1827" t="s">
        <v>1434</v>
      </c>
      <c r="H102" s="2555" t="e">
        <f ca="1">I118</f>
        <v>#REF!</v>
      </c>
      <c r="I102" s="129"/>
    </row>
    <row r="103" spans="1:35" ht="42.75" customHeight="1">
      <c r="A103" s="3623"/>
      <c r="B103" s="2584" t="s">
        <v>1434</v>
      </c>
      <c r="C103" s="2587">
        <f ca="1">C20</f>
        <v>50907</v>
      </c>
      <c r="D103" s="2588">
        <f ca="1">D20</f>
        <v>31467</v>
      </c>
      <c r="E103" s="3658" t="s">
        <v>1435</v>
      </c>
      <c r="F103" s="3659"/>
      <c r="G103" s="1828" t="s">
        <v>1436</v>
      </c>
      <c r="H103" s="2595">
        <f>IF(D36="正常操作",H104+H105+H106,H105+H106)</f>
        <v>0</v>
      </c>
      <c r="I103" s="129"/>
    </row>
    <row r="104" spans="1:35" ht="18.75" customHeight="1">
      <c r="A104" s="3623"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24"/>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20" t="str">
        <f>IF(项目基本情况!E8="已注销","——","3.房地产抵押价值")</f>
        <v>3.房地产抵押价值</v>
      </c>
      <c r="F107" s="3621"/>
      <c r="G107" s="1827" t="s">
        <v>1432</v>
      </c>
      <c r="H107" s="2595" t="e">
        <f ca="1">IF(E107="——","——",H101-H103)</f>
        <v>#REF!</v>
      </c>
      <c r="I107" s="129"/>
    </row>
    <row r="108" spans="1:35" ht="18.75" customHeight="1">
      <c r="A108" s="129"/>
      <c r="B108" s="129"/>
      <c r="C108" s="129"/>
      <c r="D108" s="129"/>
      <c r="E108" s="3620"/>
      <c r="F108" s="3621"/>
      <c r="G108" s="1827" t="s">
        <v>1434</v>
      </c>
      <c r="H108" s="2555">
        <f ca="1">IF(H107=H101,H102,ROUND(H107*10000/'数据-汇总表'!E3,0))</f>
        <v>0</v>
      </c>
      <c r="I108" s="129"/>
    </row>
    <row r="109" spans="1:35" ht="18.75" customHeight="1">
      <c r="A109" s="129"/>
      <c r="B109" s="129"/>
      <c r="C109" s="129"/>
      <c r="D109" s="129"/>
      <c r="E109" s="3620" t="str">
        <f>IF(项目基本情况!E8="已注销及未注销","4.抵押担保权已注销时的房地产抵押价值",IF(项目基本情况!E8="已注销","3.抵押担保权已注销时的房地产抵押价值","——"))</f>
        <v>——</v>
      </c>
      <c r="F109" s="3621"/>
      <c r="G109" s="1827" t="s">
        <v>1432</v>
      </c>
      <c r="H109" s="2598" t="str">
        <f>IF(E109="——","——",H101-H105-H106)</f>
        <v>——</v>
      </c>
      <c r="I109" s="129"/>
    </row>
    <row r="110" spans="1:35" ht="18.75" customHeight="1">
      <c r="A110" s="129"/>
      <c r="B110" s="129"/>
      <c r="C110" s="129"/>
      <c r="D110" s="129"/>
      <c r="E110" s="3620"/>
      <c r="F110" s="3621"/>
      <c r="G110" s="1827" t="s">
        <v>1434</v>
      </c>
      <c r="H110" s="2555" t="str">
        <f>IF(H109="——","——",ROUND(H109*10000/'数据-汇总表'!E3,0))</f>
        <v>——</v>
      </c>
      <c r="I110" s="129"/>
    </row>
    <row r="111" spans="1:35" ht="18.75" customHeight="1">
      <c r="A111" s="129"/>
      <c r="B111" s="129"/>
      <c r="C111" s="129"/>
      <c r="D111" s="129"/>
      <c r="E111" s="3652" t="str">
        <f>IF(项目基本情况!E9="抵押净值",IF(OR(项目基本情况!E8="已注销",项目基本情况!E8="房地产抵押价值"),"4.抵押净值","5.抵押净值"),"——")</f>
        <v>——</v>
      </c>
      <c r="F111" s="3622"/>
      <c r="G111" s="1827" t="s">
        <v>1432</v>
      </c>
      <c r="H111" s="2595" t="str">
        <f>IF(E111="——","——",N59)</f>
        <v>——</v>
      </c>
      <c r="I111" s="129"/>
    </row>
    <row r="112" spans="1:35" ht="18.75" customHeight="1" thickBot="1">
      <c r="A112" s="129"/>
      <c r="B112" s="129"/>
      <c r="C112" s="129"/>
      <c r="D112" s="129"/>
      <c r="E112" s="3653"/>
      <c r="F112" s="3654"/>
      <c r="G112" s="1830" t="s">
        <v>1434</v>
      </c>
      <c r="H112" s="2599" t="str">
        <f>IF(E111="——","——",N61)</f>
        <v>——</v>
      </c>
      <c r="I112" s="129"/>
    </row>
    <row r="113" spans="1:27" ht="18.75" customHeight="1">
      <c r="A113" s="129"/>
      <c r="B113" s="129"/>
      <c r="C113" s="129"/>
      <c r="D113" s="129"/>
      <c r="E113" s="3625" t="s">
        <v>1440</v>
      </c>
      <c r="F113" s="3625"/>
      <c r="G113" s="3625"/>
      <c r="H113" s="3625"/>
      <c r="I113" s="129"/>
    </row>
    <row r="114" spans="1:27" ht="3.75" customHeight="1">
      <c r="A114" s="1747"/>
      <c r="B114" s="1747"/>
      <c r="C114" s="1747"/>
      <c r="D114" s="1747"/>
      <c r="E114" s="1809"/>
      <c r="F114" s="1809"/>
      <c r="G114" s="1809"/>
      <c r="H114" s="1809"/>
      <c r="I114" s="1747"/>
    </row>
    <row r="115" spans="1:27" ht="18.75" customHeight="1">
      <c r="A115" s="3635" t="s">
        <v>1442</v>
      </c>
      <c r="B115" s="3636"/>
      <c r="C115" s="3636"/>
      <c r="D115" s="3636"/>
      <c r="E115" s="3636"/>
      <c r="F115" s="3636"/>
      <c r="G115" s="3636"/>
      <c r="H115" s="3636"/>
      <c r="I115" s="3637"/>
    </row>
    <row r="116" spans="1:27" ht="27" customHeight="1">
      <c r="A116" s="3591" t="s">
        <v>1443</v>
      </c>
      <c r="B116" s="3626" t="s">
        <v>1444</v>
      </c>
      <c r="C116" s="3626" t="s">
        <v>1445</v>
      </c>
      <c r="D116" s="3639" t="s">
        <v>1446</v>
      </c>
      <c r="E116" s="3640"/>
      <c r="F116" s="3634" t="s">
        <v>1447</v>
      </c>
      <c r="G116" s="3634"/>
      <c r="H116" s="3591" t="s">
        <v>1448</v>
      </c>
      <c r="I116" s="3591"/>
    </row>
    <row r="117" spans="1:27" ht="18.75" customHeight="1">
      <c r="A117" s="3591"/>
      <c r="B117" s="3627"/>
      <c r="C117" s="3627"/>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102.54</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91" t="s">
        <v>1452</v>
      </c>
      <c r="B119" s="3591"/>
      <c r="C119" s="3591"/>
      <c r="D119" s="3631" t="e">
        <f ca="1">NUMBERSTRING(INT(D118*10000),2)&amp;"元整"</f>
        <v>#REF!</v>
      </c>
      <c r="E119" s="3633"/>
      <c r="F119" s="3631" t="e">
        <f ca="1">NUMBERSTRING(INT(F118*10000),2)&amp;"元整"</f>
        <v>#REF!</v>
      </c>
      <c r="G119" s="3633"/>
      <c r="H119" s="3631" t="e">
        <f ca="1">NUMBERSTRING(INT(H118*10000),2)&amp;"元整"</f>
        <v>#REF!</v>
      </c>
      <c r="I119" s="3633"/>
    </row>
    <row r="120" spans="1:27" ht="18.75" customHeight="1">
      <c r="A120" s="3655" t="str">
        <f>IF(项目基本情况!B9="房地产市场价值","",MID(E103,3,LEN(E103)-2))</f>
        <v/>
      </c>
      <c r="B120" s="3656"/>
      <c r="C120" s="3657"/>
      <c r="D120" s="3655">
        <f>H103</f>
        <v>0</v>
      </c>
      <c r="E120" s="3656"/>
      <c r="F120" s="3656"/>
      <c r="G120" s="3656"/>
      <c r="H120" s="3656"/>
      <c r="I120" s="3657"/>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31" t="s">
        <v>1452</v>
      </c>
      <c r="B121" s="3632"/>
      <c r="C121" s="3633"/>
      <c r="D121" s="3631" t="str">
        <f>IF(D120=0,"零元整",NUMBERSTRING(INT(D120*10000),2)&amp;"元整")</f>
        <v>零元整</v>
      </c>
      <c r="E121" s="3632"/>
      <c r="F121" s="3632"/>
      <c r="G121" s="3632"/>
      <c r="H121" s="3632"/>
      <c r="I121" s="3633"/>
      <c r="AA121" s="725"/>
    </row>
    <row r="122" spans="1:27" ht="18.75" customHeight="1">
      <c r="A122" s="3622" t="str">
        <f>IF(项目基本情况!B9="房地产市场价值","",MID(E107,3,LEN(E107)-2))</f>
        <v/>
      </c>
      <c r="B122" s="3622"/>
      <c r="C122" s="3622"/>
      <c r="D122" s="3655" t="e">
        <f ca="1">H107</f>
        <v>#REF!</v>
      </c>
      <c r="E122" s="3656"/>
      <c r="F122" s="3656"/>
      <c r="G122" s="3656"/>
      <c r="H122" s="3656"/>
      <c r="I122" s="3657"/>
      <c r="AA122" s="725"/>
    </row>
    <row r="123" spans="1:27" ht="18.75" customHeight="1">
      <c r="A123" s="3591" t="s">
        <v>1452</v>
      </c>
      <c r="B123" s="3591"/>
      <c r="C123" s="3591"/>
      <c r="D123" s="3631" t="e">
        <f ca="1">NUMBERSTRING(INT(D122*10000),2)&amp;"元整"</f>
        <v>#REF!</v>
      </c>
      <c r="E123" s="3632"/>
      <c r="F123" s="3632"/>
      <c r="G123" s="3632"/>
      <c r="H123" s="3632"/>
      <c r="I123" s="3633"/>
      <c r="AA123" s="725"/>
    </row>
    <row r="124" spans="1:27" ht="18.75" customHeight="1">
      <c r="A124" s="3622" t="str">
        <f>IF(项目基本情况!B9="房地产市场价值","",MID(E109,3,LEN(E109)-2))</f>
        <v/>
      </c>
      <c r="B124" s="3622"/>
      <c r="C124" s="3622"/>
      <c r="D124" s="3655" t="str">
        <f>H109</f>
        <v>——</v>
      </c>
      <c r="E124" s="3656"/>
      <c r="F124" s="3656"/>
      <c r="G124" s="3656"/>
      <c r="H124" s="3656"/>
      <c r="I124" s="3657"/>
      <c r="AA124" s="725"/>
    </row>
    <row r="125" spans="1:27" ht="18.75" customHeight="1">
      <c r="A125" s="3591" t="s">
        <v>1452</v>
      </c>
      <c r="B125" s="3591"/>
      <c r="C125" s="3591"/>
      <c r="D125" s="3631" t="e">
        <f>NUMBERSTRING(INT(D124*10000),2)&amp;"元整"</f>
        <v>#VALUE!</v>
      </c>
      <c r="E125" s="3632"/>
      <c r="F125" s="3632"/>
      <c r="G125" s="3632"/>
      <c r="H125" s="3632"/>
      <c r="I125" s="3633"/>
      <c r="AA125" s="725"/>
    </row>
    <row r="126" spans="1:27" ht="18.75" customHeight="1">
      <c r="A126" s="3622" t="str">
        <f>IF(项目基本情况!B9="房地产市场价值","",MID(E111,3,LEN(E111)-2))</f>
        <v/>
      </c>
      <c r="B126" s="3622"/>
      <c r="C126" s="3622"/>
      <c r="D126" s="3655" t="str">
        <f>H111</f>
        <v>——</v>
      </c>
      <c r="E126" s="3656"/>
      <c r="F126" s="3656"/>
      <c r="G126" s="3656"/>
      <c r="H126" s="3656"/>
      <c r="I126" s="3657"/>
      <c r="AA126" s="725"/>
    </row>
    <row r="127" spans="1:27" ht="18.75" customHeight="1">
      <c r="A127" s="3591" t="s">
        <v>1452</v>
      </c>
      <c r="B127" s="3591"/>
      <c r="C127" s="3591"/>
      <c r="D127" s="3631" t="e">
        <f>NUMBERSTRING(INT(D126*10000),2)&amp;"元整"</f>
        <v>#VALUE!</v>
      </c>
      <c r="E127" s="3632"/>
      <c r="F127" s="3632"/>
      <c r="G127" s="3632"/>
      <c r="H127" s="3632"/>
      <c r="I127" s="3633"/>
      <c r="AA127" s="725"/>
    </row>
    <row r="128" spans="1:27" ht="21.75" customHeight="1">
      <c r="A128" s="3638" t="s">
        <v>1453</v>
      </c>
      <c r="B128" s="3638"/>
      <c r="C128" s="3638"/>
      <c r="D128" s="3638"/>
      <c r="E128" s="3638"/>
      <c r="F128" s="3638"/>
      <c r="G128" s="3638"/>
      <c r="H128" s="3638"/>
      <c r="I128" s="363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66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6437</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2</v>
      </c>
      <c r="D9" s="845">
        <f ca="1">IF(B1="",'数据-汇总表'!E5,IF(INDIRECT("'数据-取费表'!c"&amp;$G$1)="住宅",INDIRECT("'数据-取费表'!k"&amp;$G$1),0))</f>
        <v>102.54</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102.54</v>
      </c>
      <c r="E19" s="211">
        <f>'数据-取费表'!B31</f>
        <v>200</v>
      </c>
      <c r="F19" s="231"/>
      <c r="G19" s="1856"/>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0</v>
      </c>
      <c r="D22" s="235">
        <f ca="1">C26</f>
        <v>1.8E-3</v>
      </c>
      <c r="E22" s="236" t="s">
        <v>1498</v>
      </c>
      <c r="F22" s="237">
        <f ca="1">'数据-取费表'!B40</f>
        <v>6.1500000000000006E-2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1.8E-3</v>
      </c>
      <c r="D26" s="238"/>
      <c r="E26" s="241"/>
      <c r="F26" s="239"/>
      <c r="G26" s="243"/>
    </row>
    <row r="27" spans="1:7" s="214" customFormat="1" ht="26.4">
      <c r="A27" s="255" t="s">
        <v>1512</v>
      </c>
      <c r="B27" s="244" t="s">
        <v>1513</v>
      </c>
      <c r="C27" s="245">
        <f ca="1">C28</f>
        <v>0</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6.0000000000000001E-3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2</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47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36</v>
      </c>
      <c r="D34" s="217"/>
      <c r="E34" s="220"/>
      <c r="F34" s="257">
        <f ca="1">IF('数据-取费表'!B24=0,1,IF(B1="",'数据-取费表'!N16,INDIRECT("'数据-取费表'!n"&amp;$G$1)))</f>
        <v>1</v>
      </c>
      <c r="G34" s="219" t="s">
        <v>1526</v>
      </c>
    </row>
    <row r="35" spans="1:7" ht="13.5" customHeight="1">
      <c r="A35" s="780" t="s">
        <v>351</v>
      </c>
      <c r="B35" s="215" t="s">
        <v>1527</v>
      </c>
      <c r="C35" s="220">
        <f ca="1">ROUND(C34*F35,0)</f>
        <v>4</v>
      </c>
      <c r="D35" s="220"/>
      <c r="E35" s="220"/>
      <c r="F35" s="259">
        <f>'数据-取费表'!B33</f>
        <v>0.1</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4</v>
      </c>
      <c r="D36" s="220"/>
      <c r="E36" s="220"/>
      <c r="F36" s="259">
        <f>'数据-取费表'!B34</f>
        <v>0.1</v>
      </c>
      <c r="G36" s="260" t="s">
        <v>1530</v>
      </c>
    </row>
    <row r="37" spans="1:7" s="258" customFormat="1" ht="13.5" customHeight="1">
      <c r="A37" s="780" t="s">
        <v>353</v>
      </c>
      <c r="B37" s="215" t="s">
        <v>1531</v>
      </c>
      <c r="C37" s="249">
        <f ca="1">ROUND(E37*D37*F34/10000,0)</f>
        <v>2</v>
      </c>
      <c r="D37" s="217">
        <f ca="1">D19</f>
        <v>102.54</v>
      </c>
      <c r="E37" s="249">
        <f>'数据-取费表'!B35</f>
        <v>200</v>
      </c>
      <c r="F37" s="259"/>
      <c r="G37" s="261" t="s">
        <v>1532</v>
      </c>
    </row>
    <row r="38" spans="1:7" ht="13.5" customHeight="1">
      <c r="A38" s="780"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3</v>
      </c>
      <c r="D41" s="235">
        <f ca="1">C44</f>
        <v>1.8E-3</v>
      </c>
      <c r="E41" s="236" t="s">
        <v>1539</v>
      </c>
      <c r="F41" s="237">
        <f ca="1">F22</f>
        <v>6.1500000000000006E-2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71" t="s">
        <v>1544</v>
      </c>
    </row>
    <row r="43" spans="1:7" ht="13.5" customHeight="1">
      <c r="A43" s="780" t="s">
        <v>347</v>
      </c>
      <c r="B43" s="215" t="s">
        <v>1545</v>
      </c>
      <c r="C43" s="238">
        <f ca="1">ROUND(IF('数据-取费表'!B22&lt;=1,C39*F22*'数据-取费表'!B21/2,C39*(POWER((1+F22),'数据-取费表'!B21/2)-1)),0)</f>
        <v>0</v>
      </c>
      <c r="D43" s="238"/>
      <c r="E43" s="238"/>
      <c r="F43" s="239"/>
      <c r="G43" s="3672"/>
    </row>
    <row r="44" spans="1:7" ht="13.5" customHeight="1">
      <c r="A44" s="780" t="s">
        <v>348</v>
      </c>
      <c r="B44" s="215" t="s">
        <v>1546</v>
      </c>
      <c r="C44" s="238">
        <f ca="1">ROUND(IF('数据-取费表'!B22&lt;=1,C40*F22*'数据-取费表'!B21/2,C40*(POWER((1+F22),'数据-取费表'!B21/2)-1)),4)</f>
        <v>1.8E-3</v>
      </c>
      <c r="D44" s="238"/>
      <c r="E44" s="238"/>
      <c r="F44" s="239"/>
      <c r="G44" s="3673"/>
    </row>
    <row r="45" spans="1:7" s="214" customFormat="1" ht="13.5" customHeight="1">
      <c r="A45" s="255" t="s">
        <v>1547</v>
      </c>
      <c r="B45" s="244" t="s">
        <v>1513</v>
      </c>
      <c r="C45" s="245">
        <f ca="1">C46</f>
        <v>10</v>
      </c>
      <c r="D45" s="235">
        <f ca="1">C47</f>
        <v>6.0000000000000001E-3</v>
      </c>
      <c r="E45" s="236" t="s">
        <v>1539</v>
      </c>
      <c r="F45" s="246">
        <f ca="1">F27</f>
        <v>0.2</v>
      </c>
      <c r="G45" s="247" t="s">
        <v>1548</v>
      </c>
    </row>
    <row r="46" spans="1:7" s="214" customFormat="1" ht="13.5" customHeight="1">
      <c r="A46" s="780" t="s">
        <v>346</v>
      </c>
      <c r="B46" s="248" t="s">
        <v>1549</v>
      </c>
      <c r="C46" s="249">
        <f ca="1">ROUND((C33+C39)*F27,0)</f>
        <v>10</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1327">
        <f>ROUND(F30/(1+'数据-取费表'!C42),4)</f>
        <v>5.6000000000000001E-2</v>
      </c>
      <c r="D48" s="236" t="s">
        <v>1539</v>
      </c>
      <c r="E48" s="232"/>
      <c r="F48" s="237">
        <f>F30</f>
        <v>5.6000000000000001E-2</v>
      </c>
      <c r="G48" s="234" t="s">
        <v>1552</v>
      </c>
    </row>
    <row r="49" spans="1:7" ht="16.5" customHeight="1">
      <c r="A49" s="255" t="s">
        <v>1518</v>
      </c>
      <c r="B49" s="210" t="s">
        <v>1553</v>
      </c>
      <c r="C49" s="232">
        <f ca="1">ROUND((C33+C39+C41+C45)/(1-C40-D41-D45-C48),0)</f>
        <v>67</v>
      </c>
      <c r="D49" s="232"/>
      <c r="E49" s="232"/>
      <c r="F49" s="264"/>
      <c r="G49" s="234" t="s">
        <v>1554</v>
      </c>
    </row>
    <row r="50" spans="1:7" s="258" customFormat="1" ht="24">
      <c r="A50" s="255" t="s">
        <v>1555</v>
      </c>
      <c r="B50" s="210" t="s">
        <v>1556</v>
      </c>
      <c r="C50" s="232"/>
      <c r="D50" s="232"/>
      <c r="E50" s="232"/>
      <c r="F50" s="264">
        <f>IF('数据-取费表'!B24=0,'数据-取费表'!N16,1)</f>
        <v>0.95</v>
      </c>
      <c r="G50" s="247" t="s">
        <v>1557</v>
      </c>
    </row>
    <row r="51" spans="1:7" ht="16.5" customHeight="1">
      <c r="A51" s="255" t="s">
        <v>1558</v>
      </c>
      <c r="B51" s="210" t="s">
        <v>1559</v>
      </c>
      <c r="C51" s="232">
        <f ca="1">ROUND(C49*F50,0)</f>
        <v>64</v>
      </c>
      <c r="D51" s="232"/>
      <c r="E51" s="232"/>
      <c r="F51" s="264"/>
      <c r="G51" s="234" t="s">
        <v>1560</v>
      </c>
    </row>
    <row r="52" spans="1:7" s="208" customFormat="1" ht="16.8" thickBot="1">
      <c r="A52" s="265" t="s">
        <v>1561</v>
      </c>
      <c r="B52" s="266"/>
      <c r="C52" s="267">
        <f ca="1">C31+C51</f>
        <v>66</v>
      </c>
      <c r="D52" s="266"/>
      <c r="E52" s="266"/>
      <c r="F52" s="266"/>
      <c r="G52" s="268"/>
    </row>
    <row r="55" spans="1:7" ht="15">
      <c r="B55" s="270" t="s">
        <v>1562</v>
      </c>
      <c r="C55" s="271"/>
    </row>
    <row r="56" spans="1:7">
      <c r="B56" s="273" t="s">
        <v>802</v>
      </c>
      <c r="C56" s="275">
        <f ca="1">1-C57</f>
        <v>3.0000000000000027E-2</v>
      </c>
    </row>
    <row r="57" spans="1:7">
      <c r="B57" s="273" t="s">
        <v>803</v>
      </c>
      <c r="C57" s="274">
        <f ca="1">ROUND(C51/C52,3)</f>
        <v>0.97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88" t="str">
        <f>项目基本情况!B1</f>
        <v>北京市房地产市场价值预评估</v>
      </c>
      <c r="C37" s="3488"/>
      <c r="D37" s="3488"/>
      <c r="E37" s="3488"/>
      <c r="F37" s="3488"/>
      <c r="G37" s="3488"/>
      <c r="H37" s="3488"/>
      <c r="I37" s="348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E24" sqref="E24"/>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3387</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322.66359999999997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31467</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C6+C7+C8</f>
        <v>1728086</v>
      </c>
      <c r="D5" s="211" t="s">
        <v>1469</v>
      </c>
      <c r="E5" s="212" t="s">
        <v>1470</v>
      </c>
      <c r="F5" s="212" t="s">
        <v>1471</v>
      </c>
      <c r="G5" s="213"/>
    </row>
    <row r="6" spans="1:8" s="214" customFormat="1" ht="13.5" customHeight="1">
      <c r="A6" s="778" t="s">
        <v>1472</v>
      </c>
      <c r="B6" s="215" t="s">
        <v>1473</v>
      </c>
      <c r="C6" s="216">
        <f>'[2]2002基准地价'!$E$18</f>
        <v>1676939</v>
      </c>
      <c r="D6" s="217"/>
      <c r="E6" s="218"/>
      <c r="F6" s="218"/>
      <c r="G6" s="219"/>
    </row>
    <row r="7" spans="1:8" s="214" customFormat="1" ht="13.5" customHeight="1">
      <c r="A7" s="778" t="s">
        <v>1474</v>
      </c>
      <c r="B7" s="215" t="s">
        <v>1475</v>
      </c>
      <c r="C7" s="220">
        <f>ROUND(C6*F7,0)</f>
        <v>51147</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16406</v>
      </c>
      <c r="D9" s="845">
        <f ca="1">IF(B1="",'数据-汇总表'!E5,IF(INDIRECT("'数据-取费表'!c"&amp;$G$1)="住宅",INDIRECT("'数据-取费表'!k"&amp;$G$1),0))</f>
        <v>102.54</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102.54</v>
      </c>
      <c r="E19" s="211">
        <f>'数据-取费表'!B31</f>
        <v>200</v>
      </c>
      <c r="F19" s="231"/>
      <c r="G19" s="1856" t="s">
        <v>3426</v>
      </c>
    </row>
    <row r="20" spans="1:7" s="214" customFormat="1" ht="13.5" customHeight="1">
      <c r="A20" s="255" t="s">
        <v>1574</v>
      </c>
      <c r="B20" s="210" t="s">
        <v>1575</v>
      </c>
      <c r="C20" s="232">
        <f>ROUND((C5+C19)*F20,0)</f>
        <v>51843</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222279</v>
      </c>
      <c r="D22" s="235">
        <f ca="1">C26</f>
        <v>1.8E-3</v>
      </c>
      <c r="E22" s="236" t="s">
        <v>1579</v>
      </c>
      <c r="F22" s="237">
        <f ca="1">'数据-取费表'!B40</f>
        <v>6.1500000000000006E-2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219091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3188</v>
      </c>
      <c r="D25" s="238"/>
      <c r="E25" s="241"/>
      <c r="F25" s="239"/>
      <c r="G25" s="242" t="s">
        <v>1588</v>
      </c>
    </row>
    <row r="26" spans="1:7" s="214" customFormat="1">
      <c r="A26" s="780" t="s">
        <v>350</v>
      </c>
      <c r="B26" s="215" t="s">
        <v>1511</v>
      </c>
      <c r="C26" s="238">
        <f ca="1">ROUND(IF('数据-取费表'!B22&lt;=1,F21*F22*'数据-取费表'!B22/2,F21*(POWER((1+F22),'数据-取费表'!B22/2)-1)),4)</f>
        <v>1.8E-3</v>
      </c>
      <c r="D26" s="238"/>
      <c r="E26" s="241"/>
      <c r="F26" s="239"/>
      <c r="G26" s="243"/>
    </row>
    <row r="27" spans="1:7" s="214" customFormat="1" ht="26.4">
      <c r="A27" s="255" t="s">
        <v>1512</v>
      </c>
      <c r="B27" s="244" t="s">
        <v>1513</v>
      </c>
      <c r="C27" s="245">
        <f ca="1">C28</f>
        <v>355986</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355986</v>
      </c>
      <c r="D28" s="235"/>
      <c r="E28" s="236"/>
      <c r="F28" s="246"/>
      <c r="G28" s="247"/>
    </row>
    <row r="29" spans="1:7" s="214" customFormat="1" ht="13.5" customHeight="1">
      <c r="A29" s="780" t="s">
        <v>347</v>
      </c>
      <c r="B29" s="248" t="s">
        <v>1517</v>
      </c>
      <c r="C29" s="238">
        <f ca="1">ROUND(C21*F27,4)</f>
        <v>6.0000000000000001E-3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2602289</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458354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358890</v>
      </c>
      <c r="D34" s="217"/>
      <c r="E34" s="220"/>
      <c r="F34" s="257"/>
      <c r="G34" s="219"/>
    </row>
    <row r="35" spans="1:7" ht="13.5" customHeight="1">
      <c r="A35" s="780" t="s">
        <v>351</v>
      </c>
      <c r="B35" s="215" t="s">
        <v>1527</v>
      </c>
      <c r="C35" s="220">
        <f ca="1">ROUND(C34*F35,0)</f>
        <v>35889</v>
      </c>
      <c r="D35" s="220"/>
      <c r="E35" s="220"/>
      <c r="F35" s="259">
        <f>'数据-取费表'!B33</f>
        <v>0.1</v>
      </c>
      <c r="G35" s="219" t="s">
        <v>1528</v>
      </c>
    </row>
    <row r="36" spans="1:7" ht="24">
      <c r="A36" s="780" t="s">
        <v>352</v>
      </c>
      <c r="B36" s="215" t="s">
        <v>1529</v>
      </c>
      <c r="C36" s="220">
        <f ca="1">ROUND(IF(B1="",SUM('数据-取费表'!AP6:AP13)*F36,IF(INDIRECT("'数据-取费表'!c"&amp;$G$1)="住宅",INDIRECT("'数据-取费表'!k"&amp;$G$1)*INDIRECT("'数据-取费表'!l"&amp;$G$1)*F36,0)),0)</f>
        <v>35889</v>
      </c>
      <c r="D36" s="220"/>
      <c r="E36" s="220"/>
      <c r="F36" s="259">
        <f>'数据-取费表'!B34</f>
        <v>0.1</v>
      </c>
      <c r="G36" s="260" t="s">
        <v>1530</v>
      </c>
    </row>
    <row r="37" spans="1:7" s="258" customFormat="1" ht="13.5" customHeight="1">
      <c r="A37" s="780" t="s">
        <v>353</v>
      </c>
      <c r="B37" s="215" t="s">
        <v>1531</v>
      </c>
      <c r="C37" s="249">
        <f ca="1">ROUND(E37*D37,0)</f>
        <v>20508</v>
      </c>
      <c r="D37" s="217">
        <f ca="1">D19</f>
        <v>102.54</v>
      </c>
      <c r="E37" s="249">
        <f>'数据-取费表'!B35</f>
        <v>200</v>
      </c>
      <c r="F37" s="259"/>
      <c r="G37" s="261"/>
    </row>
    <row r="38" spans="1:7" ht="13.5" customHeight="1">
      <c r="A38" s="780" t="s">
        <v>354</v>
      </c>
      <c r="B38" s="215" t="s">
        <v>1533</v>
      </c>
      <c r="C38" s="220">
        <f ca="1">ROUND(C34*F38,0)</f>
        <v>7178</v>
      </c>
      <c r="D38" s="220"/>
      <c r="E38" s="220"/>
      <c r="F38" s="259">
        <f>'数据-取费表'!B36</f>
        <v>0.02</v>
      </c>
      <c r="G38" s="219" t="s">
        <v>1528</v>
      </c>
    </row>
    <row r="39" spans="1:7" s="214" customFormat="1" ht="13.5" customHeight="1">
      <c r="A39" s="255" t="s">
        <v>1534</v>
      </c>
      <c r="B39" s="210" t="s">
        <v>1535</v>
      </c>
      <c r="C39" s="232">
        <f ca="1">ROUND(C33*F20,0)</f>
        <v>13751</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29035</v>
      </c>
      <c r="D41" s="235">
        <f ca="1">C44</f>
        <v>1.8E-3</v>
      </c>
      <c r="E41" s="236" t="s">
        <v>1539</v>
      </c>
      <c r="F41" s="237">
        <f ca="1">F22</f>
        <v>6.1500000000000006E-2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28189</v>
      </c>
      <c r="D42" s="238"/>
      <c r="E42" s="238"/>
      <c r="F42" s="239"/>
      <c r="G42" s="3671" t="s">
        <v>1591</v>
      </c>
    </row>
    <row r="43" spans="1:7" ht="13.5" customHeight="1">
      <c r="A43" s="780" t="s">
        <v>347</v>
      </c>
      <c r="B43" s="215" t="s">
        <v>1545</v>
      </c>
      <c r="C43" s="238">
        <f ca="1">ROUND(IF('数据-取费表'!B22&lt;=1,C39*F22*'数据-取费表'!B20/2,C39*(POWER((1+F22),'数据-取费表'!B20/2)-1)),0)</f>
        <v>846</v>
      </c>
      <c r="D43" s="238"/>
      <c r="E43" s="238"/>
      <c r="F43" s="239"/>
      <c r="G43" s="3672"/>
    </row>
    <row r="44" spans="1:7" ht="13.5" customHeight="1">
      <c r="A44" s="780" t="s">
        <v>348</v>
      </c>
      <c r="B44" s="215" t="s">
        <v>1546</v>
      </c>
      <c r="C44" s="238">
        <f ca="1">ROUND(IF('数据-取费表'!B22&lt;=1,C40*F22*'数据-取费表'!B20/2,C40*(POWER((1+F22),'数据-取费表'!B20/2)-1)),4)</f>
        <v>1.8E-3</v>
      </c>
      <c r="D44" s="238"/>
      <c r="E44" s="238"/>
      <c r="F44" s="239"/>
      <c r="G44" s="3673"/>
    </row>
    <row r="45" spans="1:7" s="214" customFormat="1" ht="13.5" customHeight="1">
      <c r="A45" s="255" t="s">
        <v>1547</v>
      </c>
      <c r="B45" s="244" t="s">
        <v>1513</v>
      </c>
      <c r="C45" s="245">
        <f ca="1">C46</f>
        <v>94421</v>
      </c>
      <c r="D45" s="235">
        <f ca="1">C47</f>
        <v>6.0000000000000001E-3</v>
      </c>
      <c r="E45" s="236" t="s">
        <v>1539</v>
      </c>
      <c r="F45" s="246">
        <f ca="1">F27</f>
        <v>0.2</v>
      </c>
      <c r="G45" s="247" t="s">
        <v>1548</v>
      </c>
    </row>
    <row r="46" spans="1:7" s="214" customFormat="1" ht="13.5" customHeight="1">
      <c r="A46" s="780" t="s">
        <v>346</v>
      </c>
      <c r="B46" s="248" t="s">
        <v>1549</v>
      </c>
      <c r="C46" s="249">
        <f ca="1">ROUND((C33+C39)*F27,0)</f>
        <v>94421</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262">
        <f>ROUND(F30/(1+'数据-取费表'!C42),4)</f>
        <v>5.6000000000000001E-2</v>
      </c>
      <c r="D48" s="236" t="s">
        <v>1539</v>
      </c>
      <c r="E48" s="232"/>
      <c r="F48" s="237">
        <f>F30</f>
        <v>5.6000000000000001E-2</v>
      </c>
      <c r="G48" s="234" t="s">
        <v>1552</v>
      </c>
    </row>
    <row r="49" spans="1:7" ht="16.5" customHeight="1">
      <c r="A49" s="255" t="s">
        <v>1518</v>
      </c>
      <c r="B49" s="210" t="s">
        <v>1592</v>
      </c>
      <c r="C49" s="232">
        <f ca="1">ROUND((C33+C39+C41+C45)/(1-C40-D41-D45-C48),0)</f>
        <v>657207</v>
      </c>
      <c r="D49" s="232"/>
      <c r="E49" s="232"/>
      <c r="F49" s="264"/>
      <c r="G49" s="234" t="s">
        <v>1554</v>
      </c>
    </row>
    <row r="50" spans="1:7" s="258" customFormat="1">
      <c r="A50" s="255" t="s">
        <v>1555</v>
      </c>
      <c r="B50" s="210" t="s">
        <v>1556</v>
      </c>
      <c r="C50" s="232"/>
      <c r="D50" s="232"/>
      <c r="E50" s="232"/>
      <c r="F50" s="264">
        <f>IF('数据-取费表'!B24=0,'数据-取费表'!N16,1)</f>
        <v>0.95</v>
      </c>
      <c r="G50" s="247"/>
    </row>
    <row r="51" spans="1:7" ht="16.5" customHeight="1">
      <c r="A51" s="255" t="s">
        <v>1558</v>
      </c>
      <c r="B51" s="210" t="s">
        <v>1593</v>
      </c>
      <c r="C51" s="232">
        <f ca="1">ROUND(C49*F50,0)</f>
        <v>624347</v>
      </c>
      <c r="D51" s="232"/>
      <c r="E51" s="232"/>
      <c r="F51" s="264"/>
      <c r="G51" s="234" t="s">
        <v>1560</v>
      </c>
    </row>
    <row r="52" spans="1:7" s="208" customFormat="1" ht="16.8" thickBot="1">
      <c r="A52" s="265" t="s">
        <v>1561</v>
      </c>
      <c r="B52" s="266"/>
      <c r="C52" s="267">
        <f ca="1">C31+C51</f>
        <v>3226636</v>
      </c>
      <c r="D52" s="266"/>
      <c r="E52" s="266"/>
      <c r="F52" s="266"/>
      <c r="G52" s="268"/>
    </row>
    <row r="55" spans="1:7" ht="15">
      <c r="B55" s="270" t="s">
        <v>1562</v>
      </c>
      <c r="C55" s="271"/>
    </row>
    <row r="56" spans="1:7">
      <c r="B56" s="273" t="s">
        <v>802</v>
      </c>
      <c r="C56" s="275">
        <f ca="1">1-C57</f>
        <v>0.80699999999999994</v>
      </c>
    </row>
    <row r="57" spans="1:7">
      <c r="B57" s="273" t="s">
        <v>803</v>
      </c>
      <c r="C57" s="274">
        <f ca="1">ROUND(C51/C52,3)</f>
        <v>0.193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5" sqref="C5"/>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-2</v>
      </c>
      <c r="C2" s="276" t="s">
        <v>1595</v>
      </c>
      <c r="D2" s="276"/>
      <c r="E2" s="2806"/>
      <c r="F2" s="2806"/>
      <c r="G2" s="2806"/>
      <c r="H2" s="2806"/>
      <c r="I2" s="2806"/>
      <c r="J2" s="2806"/>
      <c r="K2" s="2806"/>
    </row>
    <row r="3" spans="1:33" ht="18" customHeight="1" thickBot="1">
      <c r="A3" s="203" t="s">
        <v>1464</v>
      </c>
      <c r="B3" s="204">
        <f ca="1">ROUND(B2*10000/IF(C1="",'数据-汇总表'!E3,INDIRECT("'数据-取费表'!K"&amp;$K$1)),0)</f>
        <v>-195</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t="s">
        <v>3387</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102.54</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0.1</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102.54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102.54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v>
      </c>
      <c r="D18" s="846"/>
      <c r="E18" s="21"/>
      <c r="F18" s="804"/>
      <c r="G18" s="1862"/>
      <c r="H18" s="1187"/>
      <c r="I18" s="1863" t="s">
        <v>1625</v>
      </c>
      <c r="J18" s="807"/>
      <c r="K18" s="808"/>
    </row>
    <row r="19" spans="1:33" s="803" customFormat="1" ht="13.5" customHeight="1">
      <c r="A19" s="800" t="s">
        <v>360</v>
      </c>
      <c r="B19" s="801" t="s">
        <v>1626</v>
      </c>
      <c r="C19" s="21">
        <f ca="1">ROUND(D19*E19/10000,0)</f>
        <v>2</v>
      </c>
      <c r="D19" s="846">
        <f ca="1">IF(C1="",'数据-汇总表'!E5,IF(INDIRECT("'数据-取费表'!c"&amp;$K$1)="住宅",INDIRECT("'数据-取费表'!k"&amp;$K$1),0))</f>
        <v>102.54</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6.1500000000000006E-2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76" t="s">
        <v>694</v>
      </c>
      <c r="C6" s="1074">
        <f ca="1">ROUND(F6*F8*F7*(1-F9)/10000,0)</f>
        <v>0</v>
      </c>
      <c r="D6" s="155" t="s">
        <v>2108</v>
      </c>
      <c r="E6" s="302" t="s">
        <v>696</v>
      </c>
      <c r="F6" s="303">
        <f ca="1">INDIRECT("'数据-取费表'!u"&amp;$G$1)</f>
        <v>0</v>
      </c>
      <c r="G6" s="1384"/>
      <c r="H6" s="1069" t="s">
        <v>398</v>
      </c>
      <c r="I6" s="3676" t="s">
        <v>694</v>
      </c>
      <c r="J6" s="301">
        <f ca="1">ROUND(M6*M8*M7*(1-M9)/10000,0)</f>
        <v>0</v>
      </c>
      <c r="K6" s="155" t="s">
        <v>2107</v>
      </c>
      <c r="L6" s="302" t="s">
        <v>696</v>
      </c>
      <c r="M6" s="303">
        <f ca="1">INDIRECT("'数据-取费表'!z"&amp;$G$1)</f>
        <v>0</v>
      </c>
    </row>
    <row r="7" spans="1:37" ht="18" customHeight="1">
      <c r="A7" s="1073"/>
      <c r="B7" s="3677"/>
      <c r="C7" s="1075"/>
      <c r="D7" s="307"/>
      <c r="E7" s="1076" t="s">
        <v>697</v>
      </c>
      <c r="F7" s="303">
        <f ca="1">IF(INDIRECT("'数据-取费表'!ah"&amp;$G$1)="",INDIRECT("'数据-取费表'!k"&amp;$G$1),INDIRECT("'数据-取费表'!ah"&amp;$G$1))</f>
        <v>0</v>
      </c>
      <c r="G7" s="1384"/>
      <c r="H7" s="304"/>
      <c r="I7" s="3677"/>
      <c r="J7" s="306"/>
      <c r="K7" s="307"/>
      <c r="L7" s="302" t="s">
        <v>697</v>
      </c>
      <c r="M7" s="303">
        <f ca="1">F7</f>
        <v>0</v>
      </c>
    </row>
    <row r="8" spans="1:37" ht="18" customHeight="1">
      <c r="A8" s="304"/>
      <c r="B8" s="3677"/>
      <c r="C8" s="306"/>
      <c r="D8" s="307"/>
      <c r="E8" s="302" t="s">
        <v>698</v>
      </c>
      <c r="F8" s="303">
        <f ca="1">INDIRECT("'数据-取费表'!ai"&amp;$G$1)</f>
        <v>0</v>
      </c>
      <c r="G8" s="1384"/>
      <c r="H8" s="304"/>
      <c r="I8" s="3677"/>
      <c r="J8" s="306"/>
      <c r="K8" s="307"/>
      <c r="L8" s="302" t="s">
        <v>698</v>
      </c>
      <c r="M8" s="303">
        <f ca="1">INDIRECT("'数据-取费表'!ai"&amp;$G$1)</f>
        <v>0</v>
      </c>
    </row>
    <row r="9" spans="1:37" ht="18" customHeight="1">
      <c r="A9" s="304"/>
      <c r="B9" s="3678"/>
      <c r="C9" s="306"/>
      <c r="D9" s="307"/>
      <c r="E9" s="302" t="s">
        <v>699</v>
      </c>
      <c r="F9" s="312">
        <f ca="1">INDIRECT("'数据-取费表'!w"&amp;$G$1)</f>
        <v>0</v>
      </c>
      <c r="G9" s="1384"/>
      <c r="H9" s="304"/>
      <c r="I9" s="367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0.03</v>
      </c>
      <c r="G11" s="1384"/>
      <c r="H11" s="1077"/>
      <c r="I11" s="1367" t="s">
        <v>679</v>
      </c>
      <c r="J11" s="959"/>
      <c r="K11" s="684"/>
      <c r="L11" s="313" t="s">
        <v>702</v>
      </c>
      <c r="M11" s="862">
        <f ca="1">'数据-取费表'!B39</f>
        <v>0.03</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1.8E-3</v>
      </c>
      <c r="D24" s="329" t="str">
        <f>IF(F23&lt;=1,"销售费用×利率×(建设周期÷2)","销售费用×((1+利率)^(建设周期÷2)-1)")</f>
        <v>销售费用×((1+利率)^(建设周期÷2)-1)</v>
      </c>
      <c r="E24" s="302" t="s">
        <v>747</v>
      </c>
      <c r="F24" s="331">
        <f ca="1">'数据-取费表'!B40</f>
        <v>6.1500000000000006E-2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74" t="s">
        <v>837</v>
      </c>
      <c r="L53" s="3675"/>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8" priority="56">
      <formula>$L$48&gt;$J$51</formula>
    </cfRule>
  </conditionalFormatting>
  <conditionalFormatting sqref="I55 I60">
    <cfRule type="expression" dxfId="167" priority="57">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76" t="s">
        <v>694</v>
      </c>
      <c r="C6" s="1074">
        <f ca="1">ROUND(F6*F8*F7*(1-F9),0)</f>
        <v>0</v>
      </c>
      <c r="D6" s="155" t="s">
        <v>2105</v>
      </c>
      <c r="E6" s="302" t="s">
        <v>696</v>
      </c>
      <c r="F6" s="303">
        <f ca="1">INDIRECT("'数据-取费表'!u"&amp;$G$1)</f>
        <v>0</v>
      </c>
      <c r="G6" s="1384"/>
      <c r="H6" s="1069" t="s">
        <v>398</v>
      </c>
      <c r="I6" s="3676" t="s">
        <v>694</v>
      </c>
      <c r="J6" s="301">
        <f ca="1">ROUND(M6*M8*M7*(1-M9),0)</f>
        <v>0</v>
      </c>
      <c r="K6" s="1376" t="s">
        <v>2106</v>
      </c>
      <c r="L6" s="302" t="s">
        <v>696</v>
      </c>
      <c r="M6" s="303">
        <f ca="1">INDIRECT("'数据-取费表'!z"&amp;$G$1)</f>
        <v>0</v>
      </c>
    </row>
    <row r="7" spans="1:37" ht="18" customHeight="1">
      <c r="A7" s="1073"/>
      <c r="B7" s="3677"/>
      <c r="C7" s="1075"/>
      <c r="D7" s="307"/>
      <c r="E7" s="1076" t="s">
        <v>697</v>
      </c>
      <c r="F7" s="303">
        <f ca="1">IF(INDIRECT("'数据-取费表'!ah"&amp;$G$1)="",INDIRECT("'数据-取费表'!k"&amp;$G$1),INDIRECT("'数据-取费表'!ah"&amp;$G$1))</f>
        <v>0</v>
      </c>
      <c r="G7" s="1384"/>
      <c r="H7" s="304"/>
      <c r="I7" s="3677"/>
      <c r="J7" s="306"/>
      <c r="K7" s="307"/>
      <c r="L7" s="302" t="s">
        <v>697</v>
      </c>
      <c r="M7" s="303">
        <f ca="1">F7</f>
        <v>0</v>
      </c>
    </row>
    <row r="8" spans="1:37" ht="18" customHeight="1">
      <c r="A8" s="304"/>
      <c r="B8" s="3677"/>
      <c r="C8" s="306"/>
      <c r="D8" s="307"/>
      <c r="E8" s="302" t="s">
        <v>698</v>
      </c>
      <c r="F8" s="303">
        <f ca="1">INDIRECT("'数据-取费表'!ai"&amp;$G$1)</f>
        <v>0</v>
      </c>
      <c r="G8" s="1384"/>
      <c r="H8" s="304"/>
      <c r="I8" s="3677"/>
      <c r="J8" s="306"/>
      <c r="K8" s="307"/>
      <c r="L8" s="302" t="s">
        <v>698</v>
      </c>
      <c r="M8" s="303">
        <f ca="1">INDIRECT("'数据-取费表'!ai"&amp;$G$1)</f>
        <v>0</v>
      </c>
    </row>
    <row r="9" spans="1:37" ht="18" customHeight="1">
      <c r="A9" s="304"/>
      <c r="B9" s="3678"/>
      <c r="C9" s="306"/>
      <c r="D9" s="307"/>
      <c r="E9" s="302" t="s">
        <v>699</v>
      </c>
      <c r="F9" s="312">
        <f ca="1">INDIRECT("'数据-取费表'!w"&amp;$G$1)</f>
        <v>0</v>
      </c>
      <c r="G9" s="1384"/>
      <c r="H9" s="304"/>
      <c r="I9" s="367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0.03</v>
      </c>
      <c r="G11" s="1384"/>
      <c r="H11" s="1077"/>
      <c r="I11" s="1367" t="s">
        <v>891</v>
      </c>
      <c r="J11" s="959"/>
      <c r="K11" s="684"/>
      <c r="L11" s="313" t="s">
        <v>702</v>
      </c>
      <c r="M11" s="862">
        <f ca="1">'数据-取费表'!B39</f>
        <v>0.03</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1.8E-3</v>
      </c>
      <c r="D24" s="329" t="str">
        <f>IF(F23&lt;=1,"销售费用×利率×(建设周期÷2)","销售费用×((1+利率)^(建设周期÷2)-1)")</f>
        <v>销售费用×((1+利率)^(建设周期÷2)-1)</v>
      </c>
      <c r="E24" s="302" t="s">
        <v>747</v>
      </c>
      <c r="F24" s="331">
        <f ca="1">'数据-取费表'!B40</f>
        <v>6.1500000000000006E-2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#DIV/0!</v>
      </c>
      <c r="D45" s="3432" t="s">
        <v>3353</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74" t="s">
        <v>837</v>
      </c>
      <c r="L53" s="3675"/>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3" priority="4">
      <formula>$L$48&gt;$J$51</formula>
    </cfRule>
  </conditionalFormatting>
  <conditionalFormatting sqref="I55 I60">
    <cfRule type="expression" dxfId="162" priority="5">
      <formula>$J$51&gt;$L$48</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3359</v>
      </c>
      <c r="E2" s="3444"/>
      <c r="F2" s="2846"/>
      <c r="G2" s="2847"/>
      <c r="H2" s="2848"/>
      <c r="I2" s="2849"/>
      <c r="J2" s="3685" t="s">
        <v>2317</v>
      </c>
      <c r="K2" s="3686"/>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687" t="s">
        <v>2327</v>
      </c>
      <c r="K3" s="3688"/>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687" t="s">
        <v>2329</v>
      </c>
      <c r="K4" s="3688"/>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693" t="s">
        <v>2333</v>
      </c>
      <c r="B6" s="3694"/>
      <c r="C6" s="3695"/>
      <c r="D6" s="2870"/>
      <c r="E6" s="2871"/>
      <c r="F6" s="2872"/>
      <c r="G6" s="2873"/>
      <c r="H6" s="2848"/>
      <c r="I6" s="2849"/>
      <c r="J6" s="3679">
        <v>1</v>
      </c>
      <c r="K6" s="3680"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679"/>
      <c r="K7" s="3681"/>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696" t="s">
        <v>2347</v>
      </c>
      <c r="C8" s="3697"/>
      <c r="D8" s="2889" t="s">
        <v>2348</v>
      </c>
      <c r="E8" s="2890" t="s">
        <v>2349</v>
      </c>
      <c r="F8" s="2891" t="s">
        <v>2350</v>
      </c>
      <c r="G8" s="2892"/>
      <c r="H8" s="2848"/>
      <c r="I8" s="2849"/>
      <c r="J8" s="3679"/>
      <c r="K8" s="3681"/>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696" t="s">
        <v>2353</v>
      </c>
      <c r="C9" s="3697"/>
      <c r="D9" s="2889">
        <f>ROUND(D6*E9,0)</f>
        <v>0</v>
      </c>
      <c r="E9" s="2893"/>
      <c r="F9" s="2894" t="s">
        <v>2354</v>
      </c>
      <c r="G9" s="2873"/>
      <c r="H9" s="2848"/>
      <c r="I9" s="2849"/>
      <c r="J9" s="3679"/>
      <c r="K9" s="3681"/>
      <c r="L9" s="2883" t="s">
        <v>2355</v>
      </c>
      <c r="M9" s="2884"/>
      <c r="N9" s="2860"/>
      <c r="O9" s="2885"/>
      <c r="P9" s="2885"/>
      <c r="Q9" s="2886">
        <v>365</v>
      </c>
      <c r="R9" s="2887">
        <f t="shared" si="0"/>
        <v>0</v>
      </c>
      <c r="S9" s="2841"/>
      <c r="T9" s="2841"/>
      <c r="U9" s="2841"/>
      <c r="V9" s="2849"/>
    </row>
    <row r="10" spans="1:22" s="2853" customFormat="1" ht="13.2" customHeight="1">
      <c r="A10" s="2888">
        <v>2</v>
      </c>
      <c r="B10" s="3696" t="s">
        <v>2356</v>
      </c>
      <c r="C10" s="3697"/>
      <c r="D10" s="2889">
        <f>ROUND(D6*E10,0)</f>
        <v>0</v>
      </c>
      <c r="E10" s="2893"/>
      <c r="F10" s="2894" t="s">
        <v>2357</v>
      </c>
      <c r="G10" s="2873"/>
      <c r="H10" s="2848"/>
      <c r="I10" s="2849"/>
      <c r="J10" s="3679"/>
      <c r="K10" s="3681"/>
      <c r="L10" s="2883" t="s">
        <v>2358</v>
      </c>
      <c r="M10" s="2884"/>
      <c r="N10" s="2860"/>
      <c r="O10" s="2885"/>
      <c r="P10" s="2885"/>
      <c r="Q10" s="2886">
        <v>365</v>
      </c>
      <c r="R10" s="2887">
        <f t="shared" si="0"/>
        <v>0</v>
      </c>
      <c r="S10" s="2841"/>
      <c r="T10" s="2841"/>
      <c r="U10" s="2841"/>
      <c r="V10" s="2849"/>
    </row>
    <row r="11" spans="1:22" s="2853" customFormat="1" ht="13.2" customHeight="1">
      <c r="A11" s="2888">
        <v>3</v>
      </c>
      <c r="B11" s="3696" t="s">
        <v>2359</v>
      </c>
      <c r="C11" s="3697"/>
      <c r="D11" s="2889">
        <f>D12+D14+D15+D16</f>
        <v>0</v>
      </c>
      <c r="E11" s="2895" t="e">
        <f>D11/D6</f>
        <v>#DIV/0!</v>
      </c>
      <c r="F11" s="2891"/>
      <c r="G11" s="2892"/>
      <c r="H11" s="2848"/>
      <c r="I11" s="2849"/>
      <c r="J11" s="3679"/>
      <c r="K11" s="3681"/>
      <c r="L11" s="2883" t="s">
        <v>2360</v>
      </c>
      <c r="M11" s="2884"/>
      <c r="N11" s="2860"/>
      <c r="O11" s="2885"/>
      <c r="P11" s="2885"/>
      <c r="Q11" s="2886">
        <v>365</v>
      </c>
      <c r="R11" s="2887">
        <f t="shared" si="0"/>
        <v>0</v>
      </c>
      <c r="S11" s="2841"/>
      <c r="T11" s="2841"/>
      <c r="U11" s="2841"/>
      <c r="V11" s="2849"/>
    </row>
    <row r="12" spans="1:22" s="2853" customFormat="1" ht="13.2" customHeight="1">
      <c r="A12" s="2896" t="s">
        <v>2361</v>
      </c>
      <c r="B12" s="3689" t="s">
        <v>2362</v>
      </c>
      <c r="C12" s="3690"/>
      <c r="D12" s="2897">
        <f>ROUND(D13*1.2%*(1-30%),0)</f>
        <v>0</v>
      </c>
      <c r="E12" s="2898">
        <v>1.2E-2</v>
      </c>
      <c r="F12" s="2891" t="s">
        <v>2363</v>
      </c>
      <c r="G12" s="2892"/>
      <c r="H12" s="2848"/>
      <c r="I12" s="2849"/>
      <c r="J12" s="3679"/>
      <c r="K12" s="3681"/>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679"/>
      <c r="K13" s="3681"/>
      <c r="L13" s="2883" t="s">
        <v>2366</v>
      </c>
      <c r="M13" s="2884"/>
      <c r="N13" s="2860"/>
      <c r="O13" s="2885"/>
      <c r="P13" s="2885"/>
      <c r="Q13" s="2886">
        <v>365</v>
      </c>
      <c r="R13" s="2887">
        <f t="shared" si="0"/>
        <v>0</v>
      </c>
      <c r="S13" s="2841"/>
      <c r="T13" s="2841"/>
      <c r="U13" s="2841"/>
      <c r="V13" s="2849"/>
    </row>
    <row r="14" spans="1:22" s="2853" customFormat="1" ht="13.2" customHeight="1">
      <c r="A14" s="2896" t="s">
        <v>2367</v>
      </c>
      <c r="B14" s="3689" t="s">
        <v>2368</v>
      </c>
      <c r="C14" s="3690"/>
      <c r="D14" s="2897">
        <f>ROUND(E14*B5/10000,0)</f>
        <v>0</v>
      </c>
      <c r="E14" s="2886"/>
      <c r="F14" s="2891" t="s">
        <v>2369</v>
      </c>
      <c r="G14" s="2892"/>
      <c r="H14" s="2848"/>
      <c r="I14" s="2849"/>
      <c r="J14" s="3679"/>
      <c r="K14" s="3682"/>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689" t="s">
        <v>2372</v>
      </c>
      <c r="C15" s="3690"/>
      <c r="D15" s="2897">
        <f>ROUND(D6*E15,0)</f>
        <v>0</v>
      </c>
      <c r="E15" s="2898">
        <v>5.5E-2</v>
      </c>
      <c r="F15" s="2891" t="s">
        <v>2373</v>
      </c>
      <c r="G15" s="2873"/>
      <c r="H15" s="2848"/>
      <c r="I15" s="2849"/>
      <c r="J15" s="3679">
        <v>2</v>
      </c>
      <c r="K15" s="3680"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689" t="s">
        <v>2381</v>
      </c>
      <c r="C16" s="3690"/>
      <c r="D16" s="2908">
        <f>D6*E16</f>
        <v>0</v>
      </c>
      <c r="E16" s="2909"/>
      <c r="F16" s="2894" t="s">
        <v>2382</v>
      </c>
      <c r="G16" s="2873"/>
      <c r="H16" s="2848"/>
      <c r="I16" s="2849"/>
      <c r="J16" s="3679"/>
      <c r="K16" s="3681"/>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691" t="s">
        <v>2384</v>
      </c>
      <c r="C17" s="3692"/>
      <c r="D17" s="2911">
        <f>ROUND(D6*E17,0)</f>
        <v>0</v>
      </c>
      <c r="E17" s="2912"/>
      <c r="F17" s="2913" t="s">
        <v>2385</v>
      </c>
      <c r="G17" s="2873"/>
      <c r="H17" s="2848"/>
      <c r="I17" s="2849"/>
      <c r="J17" s="3679"/>
      <c r="K17" s="3681"/>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679"/>
      <c r="K18" s="3681"/>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679"/>
      <c r="K19" s="3682"/>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79">
        <v>3</v>
      </c>
      <c r="K20" s="3680"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679"/>
      <c r="K21" s="3681"/>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679"/>
      <c r="K22" s="3681"/>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679"/>
      <c r="K23" s="3681"/>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679"/>
      <c r="K24" s="3682"/>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683">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684"/>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685" t="s">
        <v>2317</v>
      </c>
      <c r="K32" s="3686"/>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687" t="s">
        <v>2327</v>
      </c>
      <c r="K33" s="3688"/>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687" t="s">
        <v>2329</v>
      </c>
      <c r="K34" s="3688"/>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679">
        <v>1</v>
      </c>
      <c r="K36" s="3680"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679"/>
      <c r="K37" s="3681"/>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79"/>
      <c r="K38" s="3681"/>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679"/>
      <c r="K39" s="3681"/>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679"/>
      <c r="K40" s="3682"/>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683">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684"/>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322.66359999999997</v>
      </c>
      <c r="C2" s="1872" t="s">
        <v>1651</v>
      </c>
      <c r="D2" s="1873" t="s">
        <v>1652</v>
      </c>
      <c r="E2" s="2607">
        <f>SUM(E6:E13)</f>
        <v>102.54</v>
      </c>
      <c r="F2" s="2707"/>
      <c r="G2" s="1489"/>
      <c r="H2" s="1489"/>
      <c r="I2" s="1489"/>
      <c r="J2" s="1489"/>
      <c r="K2" s="1489"/>
      <c r="L2" s="1489"/>
      <c r="M2" s="1489"/>
      <c r="N2" s="1489"/>
      <c r="O2" s="1489"/>
      <c r="P2" s="1489"/>
      <c r="Q2" s="1489"/>
      <c r="R2" s="1489"/>
      <c r="S2" s="1489"/>
    </row>
    <row r="3" spans="1:22" ht="15.6">
      <c r="A3" s="1870" t="s">
        <v>686</v>
      </c>
      <c r="B3" s="2601">
        <f ca="1">ROUND(B2*10000/E2,0)</f>
        <v>31467</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98" t="s">
        <v>1654</v>
      </c>
      <c r="C5" s="3699"/>
      <c r="D5" s="2708"/>
      <c r="E5" s="1874" t="s">
        <v>1655</v>
      </c>
      <c r="F5" s="1875" t="s">
        <v>1656</v>
      </c>
      <c r="G5" s="1489"/>
      <c r="H5" s="1489"/>
      <c r="I5" s="1489"/>
      <c r="J5" s="1489"/>
      <c r="K5" s="1489"/>
      <c r="L5" s="1489"/>
      <c r="M5" s="1489"/>
      <c r="N5" s="1489"/>
      <c r="O5" s="1489"/>
      <c r="P5" s="1489"/>
      <c r="Q5" s="1489"/>
      <c r="R5" s="1489"/>
      <c r="S5" s="1489"/>
    </row>
    <row r="6" spans="1:22" ht="14.4">
      <c r="A6" s="2604" t="str">
        <f>'数据-取费表'!AN6</f>
        <v>成本法 (元)</v>
      </c>
      <c r="B6" s="2602">
        <f ca="1">IF(F6="是",'数据-取费表'!AO6,0)</f>
        <v>322.66359999999997</v>
      </c>
      <c r="C6" s="1872" t="s">
        <v>1651</v>
      </c>
      <c r="D6" s="2709"/>
      <c r="E6" s="2606">
        <f>IF(OR(A6=0,F6="否"),0,'数据-取费表'!K6+'数据-取费表'!S6)</f>
        <v>102.54</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B11" zoomScale="90" zoomScaleNormal="60" zoomScaleSheetLayoutView="90" workbookViewId="0">
      <selection activeCell="K38" sqref="K38"/>
    </sheetView>
  </sheetViews>
  <sheetFormatPr defaultColWidth="9" defaultRowHeight="13.8"/>
  <cols>
    <col min="1" max="1" width="10.44140625" style="357" customWidth="1"/>
    <col min="2" max="2" width="15.77734375" style="357" customWidth="1"/>
    <col min="3" max="3" width="18.88671875" style="357" customWidth="1"/>
    <col min="4" max="4" width="12.21875" style="357" customWidth="1"/>
    <col min="5" max="5" width="17.109375" style="357" customWidth="1"/>
    <col min="6" max="6" width="12.21875" style="357" customWidth="1"/>
    <col min="7" max="7" width="17.6640625" style="357" customWidth="1"/>
    <col min="8" max="8" width="12.21875" style="357" customWidth="1"/>
    <col min="9" max="9" width="16.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3387</v>
      </c>
      <c r="E1" s="3426" t="s">
        <v>3393</v>
      </c>
      <c r="F1" s="1879" t="s">
        <v>3394</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522.00040000000001</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50907</v>
      </c>
      <c r="C3" s="354" t="s">
        <v>1665</v>
      </c>
      <c r="D3" s="353">
        <f>IF(D1="",'数据-汇总表'!E3,SUMIF('数据-汇总表'!$C19:$C33,D1,'数据-汇总表'!$E19:$E33))</f>
        <v>102.54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18" t="s">
        <v>1667</v>
      </c>
      <c r="D4" s="3719"/>
      <c r="E4" s="3720" t="s">
        <v>1668</v>
      </c>
      <c r="F4" s="3721"/>
      <c r="G4" s="3718" t="s">
        <v>1669</v>
      </c>
      <c r="H4" s="3719"/>
      <c r="I4" s="3718" t="s">
        <v>1670</v>
      </c>
      <c r="J4" s="3719"/>
      <c r="K4" s="1889" t="s">
        <v>1671</v>
      </c>
      <c r="L4" s="2715"/>
      <c r="M4" s="2716"/>
      <c r="N4" s="2716"/>
      <c r="O4" s="2716"/>
      <c r="P4" s="3722" t="s">
        <v>1672</v>
      </c>
      <c r="Q4" s="3723"/>
      <c r="R4" s="3728" t="s">
        <v>1668</v>
      </c>
      <c r="S4" s="3729"/>
      <c r="T4" s="3728" t="s">
        <v>1669</v>
      </c>
      <c r="U4" s="3729"/>
      <c r="V4" s="3734" t="s">
        <v>1670</v>
      </c>
      <c r="W4" s="3734"/>
      <c r="X4" s="1355"/>
      <c r="Y4" s="3728" t="s">
        <v>1672</v>
      </c>
      <c r="Z4" s="3729"/>
      <c r="AA4" s="3715" t="s">
        <v>1668</v>
      </c>
      <c r="AB4" s="3715" t="s">
        <v>1669</v>
      </c>
      <c r="AC4" s="3715" t="s">
        <v>1670</v>
      </c>
    </row>
    <row r="5" spans="1:29" ht="39.75" customHeight="1">
      <c r="A5" s="358"/>
      <c r="B5" s="359"/>
      <c r="C5" s="3742" t="s">
        <v>3461</v>
      </c>
      <c r="D5" s="3743"/>
      <c r="E5" s="3980" t="str">
        <f>Sheet1!F26</f>
        <v>上龙西里</v>
      </c>
      <c r="F5" s="3746"/>
      <c r="G5" s="3737" t="str">
        <f>Sheet1!F34</f>
        <v>西营房胡同9号院</v>
      </c>
      <c r="H5" s="3738"/>
      <c r="I5" s="3737" t="str">
        <f>Sheet1!F35</f>
        <v>西营房胡同9号院</v>
      </c>
      <c r="J5" s="3738"/>
      <c r="K5" s="1890"/>
      <c r="L5" s="2715"/>
      <c r="M5" s="2716"/>
      <c r="N5" s="2716"/>
      <c r="O5" s="2716"/>
      <c r="P5" s="3724"/>
      <c r="Q5" s="3725"/>
      <c r="R5" s="3730"/>
      <c r="S5" s="3731"/>
      <c r="T5" s="3730"/>
      <c r="U5" s="3731"/>
      <c r="V5" s="3734"/>
      <c r="W5" s="3734"/>
      <c r="X5" s="1355"/>
      <c r="Y5" s="3730"/>
      <c r="Z5" s="3731"/>
      <c r="AA5" s="3716"/>
      <c r="AB5" s="3716"/>
      <c r="AC5" s="3716"/>
    </row>
    <row r="6" spans="1:29" ht="15" thickBot="1">
      <c r="A6" s="360"/>
      <c r="B6" s="361"/>
      <c r="C6" s="3735"/>
      <c r="D6" s="3736"/>
      <c r="E6" s="3744" t="str">
        <f>Sheet1!H26</f>
        <v>33号楼</v>
      </c>
      <c r="F6" s="3745"/>
      <c r="G6" s="3735" t="str">
        <f>Sheet1!H34</f>
        <v>2号楼</v>
      </c>
      <c r="H6" s="3736"/>
      <c r="I6" s="3735" t="str">
        <f>Sheet1!H35</f>
        <v>4号楼</v>
      </c>
      <c r="J6" s="3736"/>
      <c r="K6" s="1890" t="s">
        <v>1678</v>
      </c>
      <c r="L6" s="2715"/>
      <c r="M6" s="2716"/>
      <c r="N6" s="2716"/>
      <c r="O6" s="2716"/>
      <c r="P6" s="3726"/>
      <c r="Q6" s="3727"/>
      <c r="R6" s="3730"/>
      <c r="S6" s="3731"/>
      <c r="T6" s="3732"/>
      <c r="U6" s="3733"/>
      <c r="V6" s="3734"/>
      <c r="W6" s="3734"/>
      <c r="X6" s="1355"/>
      <c r="Y6" s="3732"/>
      <c r="Z6" s="3733"/>
      <c r="AA6" s="3717"/>
      <c r="AB6" s="3717"/>
      <c r="AC6" s="3717"/>
    </row>
    <row r="7" spans="1:29" s="108" customFormat="1" ht="15" thickBot="1">
      <c r="A7" s="362" t="s">
        <v>1679</v>
      </c>
      <c r="B7" s="363"/>
      <c r="C7" s="364">
        <f>'数据-取费表'!B2</f>
        <v>41424</v>
      </c>
      <c r="D7" s="365">
        <v>100</v>
      </c>
      <c r="E7" s="366">
        <f>Sheet1!BG26</f>
        <v>41361</v>
      </c>
      <c r="F7" s="367">
        <f>SUMIF(58:58,YEAR(E7)&amp;"-"&amp;MONTH(E7),59:59)</f>
        <v>99</v>
      </c>
      <c r="G7" s="366">
        <f>Sheet1!BG34</f>
        <v>41299</v>
      </c>
      <c r="H7" s="365">
        <f>SUMIF(58:58,YEAR(G7)&amp;"-"&amp;MONTH(G7),59:59)</f>
        <v>99</v>
      </c>
      <c r="I7" s="366">
        <f>Sheet1!BG35</f>
        <v>41348</v>
      </c>
      <c r="J7" s="365">
        <f>SUMIF(58:58,YEAR(I7)&amp;"-"&amp;MONTH(I7),59:59)</f>
        <v>99</v>
      </c>
      <c r="K7" s="1891"/>
      <c r="L7" s="2717"/>
      <c r="M7" s="2718"/>
      <c r="N7" s="2718"/>
      <c r="O7" s="2718"/>
      <c r="P7" s="3739" t="s">
        <v>1680</v>
      </c>
      <c r="Q7" s="3741"/>
      <c r="R7" s="701" t="s">
        <v>20</v>
      </c>
      <c r="S7" s="702">
        <f t="shared" ref="S7:S15" si="0">F7</f>
        <v>99</v>
      </c>
      <c r="T7" s="701" t="s">
        <v>20</v>
      </c>
      <c r="U7" s="702">
        <f t="shared" ref="U7:U15" si="1">H7</f>
        <v>99</v>
      </c>
      <c r="V7" s="701" t="s">
        <v>20</v>
      </c>
      <c r="W7" s="702">
        <f t="shared" ref="W7:W15" si="2">J7</f>
        <v>99</v>
      </c>
      <c r="X7" s="703"/>
      <c r="Y7" s="3739" t="s">
        <v>1680</v>
      </c>
      <c r="Z7" s="3740"/>
      <c r="AA7" s="704">
        <f>D7/F7</f>
        <v>1.0101010101010102</v>
      </c>
      <c r="AB7" s="704">
        <f>D7/H7</f>
        <v>1.0101010101010102</v>
      </c>
      <c r="AC7" s="704">
        <f>D7/J7</f>
        <v>1.0101010101010102</v>
      </c>
    </row>
    <row r="8" spans="1:29" s="108" customFormat="1" ht="15" thickBot="1">
      <c r="A8" s="362" t="s">
        <v>1681</v>
      </c>
      <c r="B8" s="363"/>
      <c r="C8" s="368" t="s">
        <v>3395</v>
      </c>
      <c r="D8" s="365">
        <v>100</v>
      </c>
      <c r="E8" s="1892" t="s">
        <v>3395</v>
      </c>
      <c r="F8" s="367">
        <f>SUMIF(61:61,E8,62:62)-SUMIF(61:61,C8,62:62)+100</f>
        <v>100</v>
      </c>
      <c r="G8" s="368" t="s">
        <v>3395</v>
      </c>
      <c r="H8" s="365">
        <f>SUMIF(61:61,G8,62:62)-SUMIF(61:61,C8,62:62)+100</f>
        <v>100</v>
      </c>
      <c r="I8" s="1892" t="s">
        <v>3395</v>
      </c>
      <c r="J8" s="365">
        <f>SUMIF(61:61,I8,62:62)-SUMIF(61:61,C8,62:62)+100</f>
        <v>100</v>
      </c>
      <c r="K8" s="1891"/>
      <c r="L8" s="2717"/>
      <c r="M8" s="2718"/>
      <c r="N8" s="2718"/>
      <c r="O8" s="2718"/>
      <c r="P8" s="3739" t="s">
        <v>1683</v>
      </c>
      <c r="Q8" s="3740"/>
      <c r="R8" s="701" t="s">
        <v>20</v>
      </c>
      <c r="S8" s="702">
        <f t="shared" si="0"/>
        <v>100</v>
      </c>
      <c r="T8" s="701" t="s">
        <v>20</v>
      </c>
      <c r="U8" s="702">
        <f t="shared" si="1"/>
        <v>100</v>
      </c>
      <c r="V8" s="701" t="s">
        <v>20</v>
      </c>
      <c r="W8" s="702">
        <f t="shared" si="2"/>
        <v>100</v>
      </c>
      <c r="X8" s="703"/>
      <c r="Y8" s="3739" t="s">
        <v>1683</v>
      </c>
      <c r="Z8" s="3740"/>
      <c r="AA8" s="704">
        <f t="shared" ref="AA8:AA19" si="3">D8/F8</f>
        <v>1</v>
      </c>
      <c r="AB8" s="704">
        <f t="shared" ref="AB8:AB19" si="4">D8/H8</f>
        <v>1</v>
      </c>
      <c r="AC8" s="704">
        <f t="shared" ref="AC8:AC19" si="5">D8/J8</f>
        <v>1</v>
      </c>
    </row>
    <row r="9" spans="1:29" s="108" customFormat="1" ht="14.4">
      <c r="A9" s="369" t="s">
        <v>1684</v>
      </c>
      <c r="B9" s="63" t="s">
        <v>1685</v>
      </c>
      <c r="C9" s="3449" t="s">
        <v>3396</v>
      </c>
      <c r="D9" s="126">
        <v>100</v>
      </c>
      <c r="E9" s="371" t="s">
        <v>3387</v>
      </c>
      <c r="F9" s="372">
        <f>SUMIF(63:63,E9,64:64)-SUMIF(63:63,C9,64:64)+100</f>
        <v>100</v>
      </c>
      <c r="G9" s="373" t="s">
        <v>3387</v>
      </c>
      <c r="H9" s="126">
        <f>SUMIF(63:63,G9,64:64)-SUMIF(63:63,C9,64:64)+100</f>
        <v>100</v>
      </c>
      <c r="I9" s="373" t="s">
        <v>3387</v>
      </c>
      <c r="J9" s="126">
        <f>SUMIF(63:63,I9,64:64)-SUMIF(63:63,C9,64:64)+100</f>
        <v>100</v>
      </c>
      <c r="K9" s="1891"/>
      <c r="L9" s="2717"/>
      <c r="M9" s="2718"/>
      <c r="N9" s="2718"/>
      <c r="O9" s="2718"/>
      <c r="P9" s="3714" t="s">
        <v>1686</v>
      </c>
      <c r="Q9" s="1343" t="str">
        <f t="shared" ref="Q9:Q15" si="6">B9</f>
        <v>用途</v>
      </c>
      <c r="R9" s="701" t="s">
        <v>14</v>
      </c>
      <c r="S9" s="702">
        <f t="shared" si="0"/>
        <v>100</v>
      </c>
      <c r="T9" s="701" t="s">
        <v>14</v>
      </c>
      <c r="U9" s="702">
        <f t="shared" si="1"/>
        <v>100</v>
      </c>
      <c r="V9" s="701" t="s">
        <v>14</v>
      </c>
      <c r="W9" s="702">
        <f t="shared" si="2"/>
        <v>100</v>
      </c>
      <c r="X9" s="703"/>
      <c r="Y9" s="3578"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14"/>
      <c r="Q10" s="1343" t="str">
        <f t="shared" si="6"/>
        <v>土地使用年限（年）</v>
      </c>
      <c r="R10" s="701" t="s">
        <v>14</v>
      </c>
      <c r="S10" s="702">
        <f t="shared" si="0"/>
        <v>100</v>
      </c>
      <c r="T10" s="701" t="s">
        <v>14</v>
      </c>
      <c r="U10" s="702">
        <f t="shared" si="1"/>
        <v>100</v>
      </c>
      <c r="V10" s="701" t="s">
        <v>14</v>
      </c>
      <c r="W10" s="702">
        <f t="shared" si="2"/>
        <v>100</v>
      </c>
      <c r="X10" s="703"/>
      <c r="Y10" s="3578"/>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714"/>
      <c r="Q11" s="1343" t="str">
        <f t="shared" si="6"/>
        <v>容积率</v>
      </c>
      <c r="R11" s="701" t="s">
        <v>18</v>
      </c>
      <c r="S11" s="702">
        <f t="shared" si="0"/>
        <v>100</v>
      </c>
      <c r="T11" s="701" t="s">
        <v>18</v>
      </c>
      <c r="U11" s="702">
        <f t="shared" si="1"/>
        <v>100</v>
      </c>
      <c r="V11" s="701" t="s">
        <v>18</v>
      </c>
      <c r="W11" s="702">
        <f t="shared" si="2"/>
        <v>100</v>
      </c>
      <c r="X11" s="703"/>
      <c r="Y11" s="3578"/>
      <c r="Z11" s="52" t="str">
        <f t="shared" si="7"/>
        <v>容积率</v>
      </c>
      <c r="AA11" s="704">
        <f t="shared" si="3"/>
        <v>1</v>
      </c>
      <c r="AB11" s="704">
        <f t="shared" si="4"/>
        <v>1</v>
      </c>
      <c r="AC11" s="704">
        <f t="shared" si="5"/>
        <v>1</v>
      </c>
    </row>
    <row r="12" spans="1:29" s="108" customFormat="1" ht="15">
      <c r="A12" s="382"/>
      <c r="B12" s="1893">
        <v>111</v>
      </c>
      <c r="C12" s="3469" t="s">
        <v>3419</v>
      </c>
      <c r="D12" s="384">
        <v>100</v>
      </c>
      <c r="E12" s="3469" t="s">
        <v>3419</v>
      </c>
      <c r="F12" s="376">
        <f>SUMIF(70:70,E12,71:71)-SUMIF(70:70,C12,71:71)+100</f>
        <v>100</v>
      </c>
      <c r="G12" s="3469" t="str">
        <f>C12</f>
        <v>二手房</v>
      </c>
      <c r="H12" s="127">
        <f>SUMIF(70:70,G12,71:71)-SUMIF(70:70,C12,71:71)+100</f>
        <v>100</v>
      </c>
      <c r="I12" s="3469" t="str">
        <f>C12</f>
        <v>二手房</v>
      </c>
      <c r="J12" s="127">
        <f>SUMIF(70:70,I12,71:71)-SUMIF(70:70,C12,71:71)+100</f>
        <v>100</v>
      </c>
      <c r="K12" s="1894"/>
      <c r="L12" s="2717"/>
      <c r="M12" s="2718"/>
      <c r="N12" s="2718"/>
      <c r="O12" s="2718"/>
      <c r="P12" s="3714"/>
      <c r="Q12" s="1343">
        <f t="shared" si="6"/>
        <v>111</v>
      </c>
      <c r="R12" s="701" t="s">
        <v>18</v>
      </c>
      <c r="S12" s="702">
        <f t="shared" si="0"/>
        <v>100</v>
      </c>
      <c r="T12" s="701" t="s">
        <v>18</v>
      </c>
      <c r="U12" s="702">
        <f t="shared" si="1"/>
        <v>100</v>
      </c>
      <c r="V12" s="701" t="s">
        <v>18</v>
      </c>
      <c r="W12" s="702">
        <f t="shared" si="2"/>
        <v>100</v>
      </c>
      <c r="X12" s="703"/>
      <c r="Y12" s="357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14"/>
      <c r="Q13" s="1343">
        <f t="shared" si="6"/>
        <v>111</v>
      </c>
      <c r="R13" s="701" t="s">
        <v>18</v>
      </c>
      <c r="S13" s="702">
        <f t="shared" si="0"/>
        <v>100</v>
      </c>
      <c r="T13" s="701" t="s">
        <v>18</v>
      </c>
      <c r="U13" s="702">
        <f t="shared" si="1"/>
        <v>100</v>
      </c>
      <c r="V13" s="701" t="s">
        <v>18</v>
      </c>
      <c r="W13" s="702">
        <f t="shared" si="2"/>
        <v>100</v>
      </c>
      <c r="X13" s="703"/>
      <c r="Y13" s="3578"/>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14"/>
      <c r="Q14" s="1343">
        <f t="shared" si="6"/>
        <v>111</v>
      </c>
      <c r="R14" s="701" t="s">
        <v>18</v>
      </c>
      <c r="S14" s="702">
        <f t="shared" si="0"/>
        <v>100</v>
      </c>
      <c r="T14" s="701" t="s">
        <v>18</v>
      </c>
      <c r="U14" s="702">
        <f t="shared" si="1"/>
        <v>100</v>
      </c>
      <c r="V14" s="701" t="s">
        <v>18</v>
      </c>
      <c r="W14" s="702">
        <f t="shared" si="2"/>
        <v>100</v>
      </c>
      <c r="X14" s="703"/>
      <c r="Y14" s="3578"/>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2" t="s">
        <v>1691</v>
      </c>
      <c r="Q15" s="1352" t="str">
        <f t="shared" si="6"/>
        <v>居住社区成熟度</v>
      </c>
      <c r="R15" s="705" t="s">
        <v>18</v>
      </c>
      <c r="S15" s="706">
        <f t="shared" si="0"/>
        <v>100</v>
      </c>
      <c r="T15" s="705" t="s">
        <v>18</v>
      </c>
      <c r="U15" s="706">
        <f t="shared" si="1"/>
        <v>100</v>
      </c>
      <c r="V15" s="705" t="s">
        <v>18</v>
      </c>
      <c r="W15" s="706">
        <f t="shared" si="2"/>
        <v>100</v>
      </c>
      <c r="X15" s="1355"/>
      <c r="Y15" s="370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3"/>
      <c r="Q16" s="1352"/>
      <c r="R16" s="705"/>
      <c r="S16" s="706"/>
      <c r="T16" s="705"/>
      <c r="U16" s="706"/>
      <c r="V16" s="705"/>
      <c r="W16" s="706"/>
      <c r="X16" s="1355"/>
      <c r="Y16" s="3706"/>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5</v>
      </c>
      <c r="L17" s="2722"/>
      <c r="M17" s="2716"/>
      <c r="N17" s="2716"/>
      <c r="O17" s="2716"/>
      <c r="P17" s="3713"/>
      <c r="Q17" s="1352" t="str">
        <f>B17</f>
        <v>交通便捷度</v>
      </c>
      <c r="R17" s="705" t="s">
        <v>18</v>
      </c>
      <c r="S17" s="706">
        <f>F17</f>
        <v>100</v>
      </c>
      <c r="T17" s="705" t="s">
        <v>18</v>
      </c>
      <c r="U17" s="706">
        <f>H17</f>
        <v>100</v>
      </c>
      <c r="V17" s="705" t="s">
        <v>18</v>
      </c>
      <c r="W17" s="706">
        <f>J17</f>
        <v>100</v>
      </c>
      <c r="X17" s="1355"/>
      <c r="Y17" s="3706"/>
      <c r="Z17" s="1356" t="str">
        <f>Q17</f>
        <v>交通便捷度</v>
      </c>
      <c r="AA17" s="1353">
        <f t="shared" si="3"/>
        <v>1</v>
      </c>
      <c r="AB17" s="1353">
        <f t="shared" si="4"/>
        <v>1</v>
      </c>
      <c r="AC17" s="1353">
        <f t="shared" si="5"/>
        <v>1</v>
      </c>
    </row>
    <row r="18" spans="1:29" ht="15">
      <c r="A18" s="379"/>
      <c r="B18" s="407"/>
      <c r="C18" s="1901" t="s">
        <v>3418</v>
      </c>
      <c r="D18" s="401"/>
      <c r="E18" s="1902" t="s">
        <v>3418</v>
      </c>
      <c r="F18" s="401"/>
      <c r="G18" s="1903" t="s">
        <v>3418</v>
      </c>
      <c r="H18" s="399"/>
      <c r="I18" s="1903" t="s">
        <v>3418</v>
      </c>
      <c r="J18" s="399"/>
      <c r="K18" s="1899"/>
      <c r="L18" s="2722"/>
      <c r="M18" s="2716"/>
      <c r="N18" s="2716"/>
      <c r="O18" s="2716"/>
      <c r="P18" s="3713"/>
      <c r="Q18" s="1352"/>
      <c r="R18" s="705"/>
      <c r="S18" s="706"/>
      <c r="T18" s="705"/>
      <c r="U18" s="706"/>
      <c r="V18" s="705"/>
      <c r="W18" s="706"/>
      <c r="X18" s="1355"/>
      <c r="Y18" s="3706"/>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3"/>
      <c r="Q19" s="1352" t="str">
        <f>B19</f>
        <v>公共配套设施</v>
      </c>
      <c r="R19" s="705" t="s">
        <v>18</v>
      </c>
      <c r="S19" s="706">
        <f>F19</f>
        <v>100</v>
      </c>
      <c r="T19" s="705" t="s">
        <v>18</v>
      </c>
      <c r="U19" s="706">
        <f>H19</f>
        <v>100</v>
      </c>
      <c r="V19" s="705" t="s">
        <v>18</v>
      </c>
      <c r="W19" s="706">
        <f>J19</f>
        <v>100</v>
      </c>
      <c r="X19" s="1355"/>
      <c r="Y19" s="370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3"/>
      <c r="Q20" s="1352"/>
      <c r="R20" s="705"/>
      <c r="S20" s="706"/>
      <c r="T20" s="705"/>
      <c r="U20" s="706"/>
      <c r="V20" s="705"/>
      <c r="W20" s="706"/>
      <c r="X20" s="1355"/>
      <c r="Y20" s="3706"/>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3"/>
      <c r="Q21" s="1352" t="str">
        <f>B21</f>
        <v>基础设施水平</v>
      </c>
      <c r="R21" s="705" t="s">
        <v>14</v>
      </c>
      <c r="S21" s="706">
        <f>F21</f>
        <v>100</v>
      </c>
      <c r="T21" s="705" t="s">
        <v>14</v>
      </c>
      <c r="U21" s="706">
        <f>H21</f>
        <v>100</v>
      </c>
      <c r="V21" s="705" t="s">
        <v>14</v>
      </c>
      <c r="W21" s="706">
        <f>J21</f>
        <v>100</v>
      </c>
      <c r="X21" s="1355"/>
      <c r="Y21" s="370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3"/>
      <c r="Q22" s="1352"/>
      <c r="R22" s="705"/>
      <c r="S22" s="706"/>
      <c r="T22" s="705"/>
      <c r="U22" s="706"/>
      <c r="V22" s="705"/>
      <c r="W22" s="706"/>
      <c r="X22" s="1355"/>
      <c r="Y22" s="3706"/>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3"/>
      <c r="Q23" s="1352" t="str">
        <f>B23</f>
        <v>自然及人文环境</v>
      </c>
      <c r="R23" s="705" t="s">
        <v>18</v>
      </c>
      <c r="S23" s="706">
        <f>F23</f>
        <v>100</v>
      </c>
      <c r="T23" s="705" t="s">
        <v>18</v>
      </c>
      <c r="U23" s="706">
        <f>H23</f>
        <v>100</v>
      </c>
      <c r="V23" s="705" t="s">
        <v>18</v>
      </c>
      <c r="W23" s="706">
        <f>J23</f>
        <v>100</v>
      </c>
      <c r="X23" s="1355"/>
      <c r="Y23" s="3706"/>
      <c r="Z23" s="1356" t="str">
        <f>Q23</f>
        <v>自然及人文环境</v>
      </c>
      <c r="AA23" s="1353">
        <f>D23/F23</f>
        <v>1</v>
      </c>
      <c r="AB23" s="1353">
        <f>D23/H23</f>
        <v>1</v>
      </c>
      <c r="AC23" s="1353">
        <f>D23/J23</f>
        <v>1</v>
      </c>
    </row>
    <row r="24" spans="1:29" ht="15">
      <c r="A24" s="379"/>
      <c r="B24" s="407"/>
      <c r="C24" s="398"/>
      <c r="D24" s="399"/>
      <c r="E24" s="1897"/>
      <c r="F24" s="399"/>
      <c r="G24" s="1898"/>
      <c r="H24" s="399"/>
      <c r="I24" s="1898" t="s">
        <v>3423</v>
      </c>
      <c r="J24" s="399"/>
      <c r="K24" s="1899"/>
      <c r="L24" s="2722"/>
      <c r="M24" s="2716"/>
      <c r="N24" s="2716"/>
      <c r="O24" s="2716"/>
      <c r="P24" s="3713"/>
      <c r="Q24" s="1352"/>
      <c r="R24" s="705"/>
      <c r="S24" s="706"/>
      <c r="T24" s="705"/>
      <c r="U24" s="706"/>
      <c r="V24" s="705"/>
      <c r="W24" s="706"/>
      <c r="X24" s="1355"/>
      <c r="Y24" s="3706"/>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6"/>
      <c r="Z25" s="1356" t="str">
        <f>Q25</f>
        <v>楼层-1</v>
      </c>
      <c r="AA25" s="1353">
        <f t="shared" ref="AA25:AA46" si="15">D25/F25</f>
        <v>1</v>
      </c>
      <c r="AB25" s="1353">
        <f t="shared" ref="AB25:AB46" si="16">D25/H25</f>
        <v>1</v>
      </c>
      <c r="AC25" s="1353">
        <f t="shared" ref="AC25:AC46" si="17">D25/J25</f>
        <v>1</v>
      </c>
    </row>
    <row r="26" spans="1:29" s="3468" customFormat="1" ht="15">
      <c r="A26" s="382"/>
      <c r="B26" s="3470" t="s">
        <v>3425</v>
      </c>
      <c r="C26" s="3472" t="s">
        <v>3463</v>
      </c>
      <c r="D26" s="413">
        <v>100</v>
      </c>
      <c r="E26" s="416" t="s">
        <v>3940</v>
      </c>
      <c r="F26" s="413">
        <f>SUMIF(88:88,E26,89:89)-SUMIF(88:88,C26,89:89)+100</f>
        <v>102</v>
      </c>
      <c r="G26" s="414" t="s">
        <v>3459</v>
      </c>
      <c r="H26" s="413">
        <f>SUMIF(88:88,G26,89:89)-SUMIF(88:88,C26,89:89)+100</f>
        <v>99.5</v>
      </c>
      <c r="I26" s="414" t="s">
        <v>3943</v>
      </c>
      <c r="J26" s="413">
        <f>SUMIF(88:88,I26,89:89)-SUMIF(88:88,C26,89:89)+100</f>
        <v>98.5</v>
      </c>
      <c r="K26" s="3471">
        <v>0.5</v>
      </c>
      <c r="L26" s="3460"/>
      <c r="M26" s="3461"/>
      <c r="N26" s="3461"/>
      <c r="O26" s="3461"/>
      <c r="P26" s="3713"/>
      <c r="Q26" s="3462" t="str">
        <f t="shared" si="11"/>
        <v>朝向</v>
      </c>
      <c r="R26" s="3463" t="s">
        <v>18</v>
      </c>
      <c r="S26" s="3464">
        <f t="shared" si="12"/>
        <v>102</v>
      </c>
      <c r="T26" s="3463" t="s">
        <v>18</v>
      </c>
      <c r="U26" s="3464">
        <f t="shared" si="13"/>
        <v>99.5</v>
      </c>
      <c r="V26" s="3463" t="s">
        <v>18</v>
      </c>
      <c r="W26" s="3464">
        <f t="shared" si="14"/>
        <v>98.5</v>
      </c>
      <c r="X26" s="3465"/>
      <c r="Y26" s="3706"/>
      <c r="Z26" s="3466" t="str">
        <f>Q26</f>
        <v>朝向</v>
      </c>
      <c r="AA26" s="3467">
        <f t="shared" si="15"/>
        <v>0.98039215686274506</v>
      </c>
      <c r="AB26" s="3467">
        <f t="shared" si="16"/>
        <v>1.0050251256281406</v>
      </c>
      <c r="AC26" s="3467">
        <f t="shared" si="17"/>
        <v>1.015228426395939</v>
      </c>
    </row>
    <row r="27" spans="1:29" s="108" customFormat="1" ht="15">
      <c r="A27" s="382"/>
      <c r="B27" s="3450" t="s">
        <v>3397</v>
      </c>
      <c r="C27" s="416" t="s">
        <v>3465</v>
      </c>
      <c r="D27" s="413">
        <v>100</v>
      </c>
      <c r="E27" s="416" t="s">
        <v>3939</v>
      </c>
      <c r="F27" s="413">
        <f>SUMIF(90:90,E27,91:91)-SUMIF(90:90,C27,91:91)+100</f>
        <v>100</v>
      </c>
      <c r="G27" s="414" t="s">
        <v>3937</v>
      </c>
      <c r="H27" s="413">
        <f>SUMIF(90:90,G27,91:91)-SUMIF(90:90,C27,91:91)+100</f>
        <v>104</v>
      </c>
      <c r="I27" s="414" t="s">
        <v>3938</v>
      </c>
      <c r="J27" s="413">
        <f>SUMIF(90:90,I27,91:91)-SUMIF(90:90,C27,91:91)+100</f>
        <v>102</v>
      </c>
      <c r="K27" s="1894"/>
      <c r="L27" s="2717"/>
      <c r="M27" s="2718"/>
      <c r="N27" s="2718"/>
      <c r="O27" s="2718"/>
      <c r="P27" s="3713"/>
      <c r="Q27" s="1343" t="str">
        <f t="shared" si="11"/>
        <v>楼层</v>
      </c>
      <c r="R27" s="701" t="s">
        <v>18</v>
      </c>
      <c r="S27" s="702">
        <f t="shared" si="12"/>
        <v>100</v>
      </c>
      <c r="T27" s="701" t="s">
        <v>18</v>
      </c>
      <c r="U27" s="702">
        <f t="shared" si="13"/>
        <v>104</v>
      </c>
      <c r="V27" s="701" t="s">
        <v>18</v>
      </c>
      <c r="W27" s="702">
        <f t="shared" si="14"/>
        <v>102</v>
      </c>
      <c r="X27" s="703"/>
      <c r="Y27" s="3706"/>
      <c r="Z27" s="52" t="str">
        <f>Q27</f>
        <v>楼层</v>
      </c>
      <c r="AA27" s="1353">
        <f t="shared" si="15"/>
        <v>1</v>
      </c>
      <c r="AB27" s="1353">
        <f t="shared" si="16"/>
        <v>0.96153846153846156</v>
      </c>
      <c r="AC27" s="1353">
        <f t="shared" si="17"/>
        <v>0.98039215686274506</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3"/>
      <c r="Q28" s="1352">
        <f t="shared" si="11"/>
        <v>111</v>
      </c>
      <c r="R28" s="705" t="s">
        <v>18</v>
      </c>
      <c r="S28" s="706">
        <f t="shared" si="12"/>
        <v>100</v>
      </c>
      <c r="T28" s="705" t="s">
        <v>18</v>
      </c>
      <c r="U28" s="706">
        <f t="shared" si="13"/>
        <v>100</v>
      </c>
      <c r="V28" s="705" t="s">
        <v>18</v>
      </c>
      <c r="W28" s="706">
        <f t="shared" si="14"/>
        <v>100</v>
      </c>
      <c r="X28" s="1355"/>
      <c r="Y28" s="370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3"/>
      <c r="Q29" s="1352">
        <f t="shared" si="11"/>
        <v>111</v>
      </c>
      <c r="R29" s="705" t="s">
        <v>18</v>
      </c>
      <c r="S29" s="706">
        <f t="shared" si="12"/>
        <v>100</v>
      </c>
      <c r="T29" s="705" t="s">
        <v>18</v>
      </c>
      <c r="U29" s="706">
        <f t="shared" si="13"/>
        <v>100</v>
      </c>
      <c r="V29" s="705" t="s">
        <v>18</v>
      </c>
      <c r="W29" s="706">
        <f t="shared" si="14"/>
        <v>100</v>
      </c>
      <c r="X29" s="1355"/>
      <c r="Y29" s="370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3"/>
      <c r="Q30" s="1352">
        <f t="shared" si="11"/>
        <v>111</v>
      </c>
      <c r="R30" s="705" t="s">
        <v>18</v>
      </c>
      <c r="S30" s="706">
        <f t="shared" si="12"/>
        <v>100</v>
      </c>
      <c r="T30" s="705" t="s">
        <v>18</v>
      </c>
      <c r="U30" s="706">
        <f t="shared" si="13"/>
        <v>100</v>
      </c>
      <c r="V30" s="705" t="s">
        <v>18</v>
      </c>
      <c r="W30" s="706">
        <f t="shared" si="14"/>
        <v>100</v>
      </c>
      <c r="X30" s="1355"/>
      <c r="Y30" s="3706"/>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3"/>
      <c r="Q31" s="1352">
        <f t="shared" si="11"/>
        <v>111</v>
      </c>
      <c r="R31" s="705" t="s">
        <v>18</v>
      </c>
      <c r="S31" s="706">
        <f t="shared" si="12"/>
        <v>100</v>
      </c>
      <c r="T31" s="705" t="s">
        <v>18</v>
      </c>
      <c r="U31" s="706">
        <f t="shared" si="13"/>
        <v>100</v>
      </c>
      <c r="V31" s="705" t="s">
        <v>18</v>
      </c>
      <c r="W31" s="706">
        <f t="shared" si="14"/>
        <v>100</v>
      </c>
      <c r="X31" s="1355"/>
      <c r="Y31" s="3706"/>
      <c r="Z31" s="1356">
        <f t="shared" si="18"/>
        <v>111</v>
      </c>
      <c r="AA31" s="1353">
        <f t="shared" si="15"/>
        <v>1</v>
      </c>
      <c r="AB31" s="1353">
        <f t="shared" si="16"/>
        <v>1</v>
      </c>
      <c r="AC31" s="1353">
        <f t="shared" si="17"/>
        <v>1</v>
      </c>
    </row>
    <row r="32" spans="1:29" ht="15">
      <c r="A32" s="391" t="s">
        <v>1693</v>
      </c>
      <c r="B32" s="63" t="s">
        <v>1694</v>
      </c>
      <c r="C32" s="1910" t="s">
        <v>3453</v>
      </c>
      <c r="D32" s="418">
        <v>100</v>
      </c>
      <c r="E32" s="1911" t="s">
        <v>3936</v>
      </c>
      <c r="F32" s="412">
        <f>SUMIF(100:100,E32,101:101)-SUMIF(100:100,C32,101:101)+100</f>
        <v>96</v>
      </c>
      <c r="G32" s="1910" t="s">
        <v>3936</v>
      </c>
      <c r="H32" s="418">
        <f>SUMIF(100:100,G32,101:101)-SUMIF(100:100,C32,101:101)+100</f>
        <v>96</v>
      </c>
      <c r="I32" s="1911" t="s">
        <v>3936</v>
      </c>
      <c r="J32" s="386">
        <f>SUMIF(100:100,I32,101:101)-SUMIF(100:100,C32,101:101)+100</f>
        <v>96</v>
      </c>
      <c r="K32" s="377">
        <v>4</v>
      </c>
      <c r="L32" s="2722"/>
      <c r="M32" s="2716"/>
      <c r="N32" s="2716"/>
      <c r="O32" s="2716"/>
      <c r="P32" s="3707" t="s">
        <v>1695</v>
      </c>
      <c r="Q32" s="1352" t="str">
        <f t="shared" si="11"/>
        <v>建筑类型</v>
      </c>
      <c r="R32" s="705" t="s">
        <v>18</v>
      </c>
      <c r="S32" s="706">
        <f t="shared" si="12"/>
        <v>96</v>
      </c>
      <c r="T32" s="705" t="s">
        <v>18</v>
      </c>
      <c r="U32" s="706">
        <f t="shared" si="13"/>
        <v>96</v>
      </c>
      <c r="V32" s="705" t="s">
        <v>18</v>
      </c>
      <c r="W32" s="706">
        <f t="shared" si="14"/>
        <v>96</v>
      </c>
      <c r="X32" s="1355"/>
      <c r="Y32" s="3710" t="s">
        <v>1695</v>
      </c>
      <c r="Z32" s="1356" t="str">
        <f t="shared" si="18"/>
        <v>建筑类型</v>
      </c>
      <c r="AA32" s="1353">
        <f t="shared" si="15"/>
        <v>1.0416666666666667</v>
      </c>
      <c r="AB32" s="1353">
        <f t="shared" si="16"/>
        <v>1.0416666666666667</v>
      </c>
      <c r="AC32" s="1353">
        <f t="shared" si="17"/>
        <v>1.0416666666666667</v>
      </c>
    </row>
    <row r="33" spans="1:29" s="422" customFormat="1" ht="15">
      <c r="A33" s="419"/>
      <c r="B33" s="375" t="s">
        <v>1696</v>
      </c>
      <c r="C33" s="420">
        <f>'数据-汇总表'!F19</f>
        <v>102.54</v>
      </c>
      <c r="D33" s="127">
        <v>100</v>
      </c>
      <c r="E33" s="381">
        <f>Sheet1!L26</f>
        <v>80.47</v>
      </c>
      <c r="F33" s="376">
        <f>LOOKUP(E33,103:103,104:104)-LOOKUP(C33,103:103,104:104)+100</f>
        <v>102</v>
      </c>
      <c r="G33" s="380">
        <f>Sheet1!L34</f>
        <v>98.56</v>
      </c>
      <c r="H33" s="127">
        <f>LOOKUP(G33,103:103,104:104)-LOOKUP(C33,103:103,104:104)+100</f>
        <v>100</v>
      </c>
      <c r="I33" s="381">
        <f>Sheet1!L35</f>
        <v>85.46</v>
      </c>
      <c r="J33" s="386">
        <f>LOOKUP(I33,103:103,104:104)-LOOKUP(C33,103:103,104:104)+100</f>
        <v>102</v>
      </c>
      <c r="K33" s="1894"/>
      <c r="L33" s="2721"/>
      <c r="M33" s="2723"/>
      <c r="N33" s="2723"/>
      <c r="O33" s="2723"/>
      <c r="P33" s="3708"/>
      <c r="Q33" s="707" t="str">
        <f t="shared" si="11"/>
        <v>项目建筑规模</v>
      </c>
      <c r="R33" s="708" t="s">
        <v>18</v>
      </c>
      <c r="S33" s="709">
        <f t="shared" si="12"/>
        <v>102</v>
      </c>
      <c r="T33" s="708" t="s">
        <v>18</v>
      </c>
      <c r="U33" s="709">
        <f t="shared" si="13"/>
        <v>100</v>
      </c>
      <c r="V33" s="708" t="s">
        <v>18</v>
      </c>
      <c r="W33" s="709">
        <f t="shared" si="14"/>
        <v>102</v>
      </c>
      <c r="X33" s="710"/>
      <c r="Y33" s="3710"/>
      <c r="Z33" s="711" t="str">
        <f t="shared" si="18"/>
        <v>项目建筑规模</v>
      </c>
      <c r="AA33" s="1353">
        <f t="shared" si="15"/>
        <v>0.98039215686274506</v>
      </c>
      <c r="AB33" s="1353">
        <f t="shared" si="16"/>
        <v>1</v>
      </c>
      <c r="AC33" s="1353">
        <f t="shared" si="17"/>
        <v>0.98039215686274506</v>
      </c>
    </row>
    <row r="34" spans="1:29" ht="15">
      <c r="A34" s="423"/>
      <c r="B34" s="375" t="s">
        <v>1697</v>
      </c>
      <c r="C34" s="1912" t="s">
        <v>3454</v>
      </c>
      <c r="D34" s="386">
        <v>100</v>
      </c>
      <c r="E34" s="1913" t="s">
        <v>3454</v>
      </c>
      <c r="F34" s="412">
        <f>SUMIF(105:105,E34,106:106)-SUMIF(105:105,C34,106:106)+100</f>
        <v>100</v>
      </c>
      <c r="G34" s="1912" t="s">
        <v>3454</v>
      </c>
      <c r="H34" s="386">
        <f>SUMIF(105:105,G34,106:106)-SUMIF(105:105,C34,106:106)+100</f>
        <v>100</v>
      </c>
      <c r="I34" s="1913" t="s">
        <v>3454</v>
      </c>
      <c r="J34" s="386">
        <f>SUMIF(105:105,I34,106:106)-SUMIF(105:105,C34,106:106)+100</f>
        <v>100</v>
      </c>
      <c r="K34" s="377">
        <v>2</v>
      </c>
      <c r="L34" s="2722"/>
      <c r="M34" s="2716"/>
      <c r="N34" s="2716"/>
      <c r="O34" s="2716"/>
      <c r="P34" s="3708"/>
      <c r="Q34" s="1352" t="str">
        <f t="shared" si="11"/>
        <v>建筑结构</v>
      </c>
      <c r="R34" s="705" t="s">
        <v>18</v>
      </c>
      <c r="S34" s="706">
        <f t="shared" si="12"/>
        <v>100</v>
      </c>
      <c r="T34" s="705" t="s">
        <v>18</v>
      </c>
      <c r="U34" s="706">
        <f t="shared" si="13"/>
        <v>100</v>
      </c>
      <c r="V34" s="705" t="s">
        <v>18</v>
      </c>
      <c r="W34" s="706">
        <f t="shared" si="14"/>
        <v>100</v>
      </c>
      <c r="X34" s="1355"/>
      <c r="Y34" s="3710"/>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8"/>
      <c r="Q35" s="1352" t="str">
        <f t="shared" si="11"/>
        <v>建筑品质</v>
      </c>
      <c r="R35" s="705" t="s">
        <v>18</v>
      </c>
      <c r="S35" s="706">
        <f t="shared" si="12"/>
        <v>100</v>
      </c>
      <c r="T35" s="705" t="s">
        <v>18</v>
      </c>
      <c r="U35" s="706">
        <f t="shared" si="13"/>
        <v>100</v>
      </c>
      <c r="V35" s="705" t="s">
        <v>18</v>
      </c>
      <c r="W35" s="706">
        <f t="shared" si="14"/>
        <v>100</v>
      </c>
      <c r="X35" s="1355"/>
      <c r="Y35" s="3710"/>
      <c r="Z35" s="1356" t="str">
        <f t="shared" si="18"/>
        <v>建筑品质</v>
      </c>
      <c r="AA35" s="1353">
        <f t="shared" si="15"/>
        <v>1</v>
      </c>
      <c r="AB35" s="1353">
        <f t="shared" si="16"/>
        <v>1</v>
      </c>
      <c r="AC35" s="1353">
        <f t="shared" si="17"/>
        <v>1</v>
      </c>
    </row>
    <row r="36" spans="1:29" ht="15">
      <c r="A36" s="423"/>
      <c r="B36" s="375" t="s">
        <v>1699</v>
      </c>
      <c r="C36" s="1906" t="s">
        <v>3401</v>
      </c>
      <c r="D36" s="386">
        <v>100</v>
      </c>
      <c r="E36" s="1907" t="s">
        <v>3401</v>
      </c>
      <c r="F36" s="412">
        <f>SUMIF(109:109,E36,110:110)-SUMIF(109:109,C36,110:110)+100</f>
        <v>100</v>
      </c>
      <c r="G36" s="1906" t="s">
        <v>3401</v>
      </c>
      <c r="H36" s="386">
        <f>SUMIF(109:109,G36,110:110)-SUMIF(109:109,C36,110:110)+100</f>
        <v>100</v>
      </c>
      <c r="I36" s="1907" t="s">
        <v>3401</v>
      </c>
      <c r="J36" s="386">
        <f>SUMIF(109:109,I36,110:110)-SUMIF(109:109,C36,110:110)+100</f>
        <v>100</v>
      </c>
      <c r="K36" s="377"/>
      <c r="L36" s="2722"/>
      <c r="M36" s="2716"/>
      <c r="N36" s="2716"/>
      <c r="O36" s="2716"/>
      <c r="P36" s="3708"/>
      <c r="Q36" s="1352" t="str">
        <f t="shared" si="11"/>
        <v>公共部分装修</v>
      </c>
      <c r="R36" s="705" t="s">
        <v>18</v>
      </c>
      <c r="S36" s="706">
        <f t="shared" si="12"/>
        <v>100</v>
      </c>
      <c r="T36" s="705" t="s">
        <v>18</v>
      </c>
      <c r="U36" s="706">
        <f t="shared" si="13"/>
        <v>100</v>
      </c>
      <c r="V36" s="705" t="s">
        <v>18</v>
      </c>
      <c r="W36" s="706">
        <f t="shared" si="14"/>
        <v>100</v>
      </c>
      <c r="X36" s="1355"/>
      <c r="Y36" s="3710"/>
      <c r="Z36" s="1356" t="str">
        <f t="shared" si="18"/>
        <v>公共部分装修</v>
      </c>
      <c r="AA36" s="1353">
        <f t="shared" si="15"/>
        <v>1</v>
      </c>
      <c r="AB36" s="1353">
        <f t="shared" si="16"/>
        <v>1</v>
      </c>
      <c r="AC36" s="1353">
        <f t="shared" si="17"/>
        <v>1</v>
      </c>
    </row>
    <row r="37" spans="1:29" s="108" customFormat="1" ht="15">
      <c r="A37" s="424"/>
      <c r="B37" s="375" t="s">
        <v>1700</v>
      </c>
      <c r="C37" s="3981">
        <f>'数据-取费表'!N6</f>
        <v>0.95</v>
      </c>
      <c r="D37" s="386">
        <v>100</v>
      </c>
      <c r="E37" s="3982">
        <v>0.75</v>
      </c>
      <c r="F37" s="412">
        <f>LOOKUP(E37,112:112,113:113)-LOOKUP(C37,112:112,113:113)+100</f>
        <v>96</v>
      </c>
      <c r="G37" s="3981">
        <v>0.85</v>
      </c>
      <c r="H37" s="386">
        <f>LOOKUP(G37,112:112,113:113)-LOOKUP(C37,112:112,113:113)+100</f>
        <v>98</v>
      </c>
      <c r="I37" s="3982">
        <f>G37</f>
        <v>0.85</v>
      </c>
      <c r="J37" s="127">
        <f>LOOKUP(I37,112:112,113:113)-LOOKUP(C37,112:112,113:113)+100</f>
        <v>98</v>
      </c>
      <c r="K37" s="377">
        <v>2</v>
      </c>
      <c r="L37" s="2717"/>
      <c r="M37" s="2718"/>
      <c r="N37" s="2718"/>
      <c r="O37" s="2718"/>
      <c r="P37" s="3708"/>
      <c r="Q37" s="1343" t="str">
        <f t="shared" si="11"/>
        <v>成新度</v>
      </c>
      <c r="R37" s="701" t="s">
        <v>18</v>
      </c>
      <c r="S37" s="702">
        <f t="shared" si="12"/>
        <v>96</v>
      </c>
      <c r="T37" s="701" t="s">
        <v>18</v>
      </c>
      <c r="U37" s="702">
        <f t="shared" si="13"/>
        <v>98</v>
      </c>
      <c r="V37" s="701" t="s">
        <v>18</v>
      </c>
      <c r="W37" s="702">
        <f t="shared" si="14"/>
        <v>98</v>
      </c>
      <c r="X37" s="703"/>
      <c r="Y37" s="3710"/>
      <c r="Z37" s="52" t="str">
        <f t="shared" si="18"/>
        <v>成新度</v>
      </c>
      <c r="AA37" s="704">
        <f t="shared" si="15"/>
        <v>1.0416666666666667</v>
      </c>
      <c r="AB37" s="704">
        <f t="shared" si="16"/>
        <v>1.0204081632653061</v>
      </c>
      <c r="AC37" s="704">
        <f t="shared" si="17"/>
        <v>1.0204081632653061</v>
      </c>
    </row>
    <row r="38" spans="1:29" ht="15">
      <c r="A38" s="423"/>
      <c r="B38" s="375" t="s">
        <v>1701</v>
      </c>
      <c r="C38" s="1906" t="s">
        <v>3408</v>
      </c>
      <c r="D38" s="386">
        <v>100</v>
      </c>
      <c r="E38" s="1907" t="s">
        <v>3408</v>
      </c>
      <c r="F38" s="412">
        <f>SUMIF(114:114,E38,115:115)-SUMIF(114:114,C38,115:115)+100</f>
        <v>100</v>
      </c>
      <c r="G38" s="1906" t="s">
        <v>3408</v>
      </c>
      <c r="H38" s="386">
        <f>SUMIF(114:114,G38,115:115)-SUMIF(114:114,C38,115:115)+100</f>
        <v>100</v>
      </c>
      <c r="I38" s="1907" t="s">
        <v>3408</v>
      </c>
      <c r="J38" s="386">
        <f>SUMIF(114:114,I38,115:115)-SUMIF(114:114,C38,115:115)+100</f>
        <v>100</v>
      </c>
      <c r="K38" s="377"/>
      <c r="L38" s="2722"/>
      <c r="M38" s="2716"/>
      <c r="N38" s="2716"/>
      <c r="O38" s="2716"/>
      <c r="P38" s="3708" t="s">
        <v>1695</v>
      </c>
      <c r="Q38" s="1352" t="str">
        <f t="shared" si="11"/>
        <v>物业管理</v>
      </c>
      <c r="R38" s="705" t="s">
        <v>18</v>
      </c>
      <c r="S38" s="706">
        <f t="shared" si="12"/>
        <v>100</v>
      </c>
      <c r="T38" s="705" t="s">
        <v>18</v>
      </c>
      <c r="U38" s="706">
        <f t="shared" si="13"/>
        <v>100</v>
      </c>
      <c r="V38" s="705" t="s">
        <v>18</v>
      </c>
      <c r="W38" s="706">
        <f t="shared" si="14"/>
        <v>100</v>
      </c>
      <c r="X38" s="1355"/>
      <c r="Y38" s="3710" t="s">
        <v>1695</v>
      </c>
      <c r="Z38" s="1356" t="str">
        <f t="shared" si="18"/>
        <v>物业管理</v>
      </c>
      <c r="AA38" s="1353">
        <f t="shared" si="15"/>
        <v>1</v>
      </c>
      <c r="AB38" s="1353">
        <f t="shared" si="16"/>
        <v>1</v>
      </c>
      <c r="AC38" s="1353">
        <f t="shared" si="17"/>
        <v>1</v>
      </c>
    </row>
    <row r="39" spans="1:29" ht="15">
      <c r="A39" s="423"/>
      <c r="B39" s="375" t="s">
        <v>1702</v>
      </c>
      <c r="C39" s="1906" t="s">
        <v>3415</v>
      </c>
      <c r="D39" s="386">
        <v>100</v>
      </c>
      <c r="E39" s="1907" t="s">
        <v>3415</v>
      </c>
      <c r="F39" s="412">
        <f>SUMIF(116:116,E39,117:117)-SUMIF(116:116,C39,117:117)+100</f>
        <v>100</v>
      </c>
      <c r="G39" s="1906" t="s">
        <v>3415</v>
      </c>
      <c r="H39" s="386">
        <f>SUMIF(116:116,G39,117:117)-SUMIF(116:116,C39,117:117)+100</f>
        <v>100</v>
      </c>
      <c r="I39" s="1907" t="s">
        <v>3415</v>
      </c>
      <c r="J39" s="386">
        <f>SUMIF(116:116,I39,117:117)-SUMIF(116:116,C39,117:117)+100</f>
        <v>100</v>
      </c>
      <c r="K39" s="377"/>
      <c r="L39" s="2722"/>
      <c r="M39" s="2716"/>
      <c r="N39" s="2716"/>
      <c r="O39" s="2716"/>
      <c r="P39" s="3708"/>
      <c r="Q39" s="1352" t="str">
        <f t="shared" si="11"/>
        <v>市政基础设施</v>
      </c>
      <c r="R39" s="705" t="s">
        <v>18</v>
      </c>
      <c r="S39" s="706">
        <f t="shared" si="12"/>
        <v>100</v>
      </c>
      <c r="T39" s="705" t="s">
        <v>18</v>
      </c>
      <c r="U39" s="706">
        <f t="shared" si="13"/>
        <v>100</v>
      </c>
      <c r="V39" s="705" t="s">
        <v>18</v>
      </c>
      <c r="W39" s="706">
        <f t="shared" si="14"/>
        <v>100</v>
      </c>
      <c r="X39" s="1355"/>
      <c r="Y39" s="3710"/>
      <c r="Z39" s="1356" t="str">
        <f t="shared" si="18"/>
        <v>市政基础设施</v>
      </c>
      <c r="AA39" s="1353">
        <f t="shared" si="15"/>
        <v>1</v>
      </c>
      <c r="AB39" s="1353">
        <f t="shared" si="16"/>
        <v>1</v>
      </c>
      <c r="AC39" s="1353">
        <f t="shared" si="17"/>
        <v>1</v>
      </c>
    </row>
    <row r="40" spans="1:29" ht="15">
      <c r="A40" s="423"/>
      <c r="B40" s="375" t="s">
        <v>1703</v>
      </c>
      <c r="C40" s="1906" t="s">
        <v>3404</v>
      </c>
      <c r="D40" s="386">
        <v>100</v>
      </c>
      <c r="E40" s="1907" t="s">
        <v>3404</v>
      </c>
      <c r="F40" s="412">
        <f>SUMIF(118:118,E40,119:119)-SUMIF(118:118,C40,119:119)+100</f>
        <v>100</v>
      </c>
      <c r="G40" s="1906" t="s">
        <v>3404</v>
      </c>
      <c r="H40" s="386">
        <f>SUMIF(118:118,G40,119:119)-SUMIF(118:118,C40,119:119)+100</f>
        <v>100</v>
      </c>
      <c r="I40" s="1907" t="s">
        <v>3404</v>
      </c>
      <c r="J40" s="386">
        <f>SUMIF(118:118,I40,119:119)-SUMIF(118:118,C40,119:119)+100</f>
        <v>100</v>
      </c>
      <c r="K40" s="377"/>
      <c r="L40" s="2722"/>
      <c r="M40" s="2716"/>
      <c r="N40" s="2716"/>
      <c r="O40" s="2716"/>
      <c r="P40" s="3708"/>
      <c r="Q40" s="1352" t="str">
        <f t="shared" si="11"/>
        <v>房型</v>
      </c>
      <c r="R40" s="705" t="s">
        <v>18</v>
      </c>
      <c r="S40" s="706">
        <f t="shared" si="12"/>
        <v>100</v>
      </c>
      <c r="T40" s="705" t="s">
        <v>18</v>
      </c>
      <c r="U40" s="706">
        <f t="shared" si="13"/>
        <v>100</v>
      </c>
      <c r="V40" s="705" t="s">
        <v>18</v>
      </c>
      <c r="W40" s="706">
        <f t="shared" si="14"/>
        <v>100</v>
      </c>
      <c r="X40" s="1355"/>
      <c r="Y40" s="3710"/>
      <c r="Z40" s="1356" t="str">
        <f t="shared" si="18"/>
        <v>房型</v>
      </c>
      <c r="AA40" s="1353">
        <f t="shared" si="15"/>
        <v>1</v>
      </c>
      <c r="AB40" s="1353">
        <f t="shared" si="16"/>
        <v>1</v>
      </c>
      <c r="AC40" s="1353">
        <f t="shared" si="17"/>
        <v>1</v>
      </c>
    </row>
    <row r="41" spans="1:29" s="422" customFormat="1" ht="28.8">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8"/>
      <c r="Q41" s="707" t="str">
        <f t="shared" si="11"/>
        <v>单套/主力户型建筑面积</v>
      </c>
      <c r="R41" s="708" t="s">
        <v>18</v>
      </c>
      <c r="S41" s="709">
        <f t="shared" si="12"/>
        <v>100</v>
      </c>
      <c r="T41" s="708" t="s">
        <v>18</v>
      </c>
      <c r="U41" s="709">
        <f t="shared" si="13"/>
        <v>100</v>
      </c>
      <c r="V41" s="708" t="s">
        <v>18</v>
      </c>
      <c r="W41" s="709">
        <f t="shared" si="14"/>
        <v>100</v>
      </c>
      <c r="X41" s="710"/>
      <c r="Y41" s="3710"/>
      <c r="Z41" s="711" t="str">
        <f t="shared" si="18"/>
        <v>单套/主力户型建筑面积</v>
      </c>
      <c r="AA41" s="1353">
        <f t="shared" si="15"/>
        <v>1</v>
      </c>
      <c r="AB41" s="1353">
        <f t="shared" si="16"/>
        <v>1</v>
      </c>
      <c r="AC41" s="1353">
        <f t="shared" si="17"/>
        <v>1</v>
      </c>
    </row>
    <row r="42" spans="1:29" ht="15">
      <c r="A42" s="423"/>
      <c r="B42" s="375" t="s">
        <v>1705</v>
      </c>
      <c r="C42" s="1906" t="s">
        <v>3416</v>
      </c>
      <c r="D42" s="386">
        <v>100</v>
      </c>
      <c r="E42" s="1907" t="s">
        <v>3401</v>
      </c>
      <c r="F42" s="412">
        <f>SUMIF(122:122,E42,123:123)-SUMIF(122:122,C42,123:123)+100</f>
        <v>102</v>
      </c>
      <c r="G42" s="1906" t="s">
        <v>3401</v>
      </c>
      <c r="H42" s="386">
        <f>SUMIF(122:122,G42,123:123)-SUMIF(122:122,C42,123:123)+100</f>
        <v>102</v>
      </c>
      <c r="I42" s="1907" t="s">
        <v>3401</v>
      </c>
      <c r="J42" s="386">
        <f>SUMIF(122:122,I42,123:123)-SUMIF(122:122,C42,123:123)+100</f>
        <v>102</v>
      </c>
      <c r="K42" s="377">
        <v>1</v>
      </c>
      <c r="L42" s="2722"/>
      <c r="M42" s="2716"/>
      <c r="N42" s="2716"/>
      <c r="O42" s="2716"/>
      <c r="P42" s="3708"/>
      <c r="Q42" s="1352" t="str">
        <f t="shared" si="11"/>
        <v>内部装修</v>
      </c>
      <c r="R42" s="705" t="s">
        <v>18</v>
      </c>
      <c r="S42" s="706">
        <f t="shared" si="12"/>
        <v>102</v>
      </c>
      <c r="T42" s="705" t="s">
        <v>18</v>
      </c>
      <c r="U42" s="706">
        <f t="shared" si="13"/>
        <v>102</v>
      </c>
      <c r="V42" s="705" t="s">
        <v>18</v>
      </c>
      <c r="W42" s="706">
        <f t="shared" si="14"/>
        <v>102</v>
      </c>
      <c r="X42" s="1355"/>
      <c r="Y42" s="3710"/>
      <c r="Z42" s="1356" t="str">
        <f t="shared" si="18"/>
        <v>内部装修</v>
      </c>
      <c r="AA42" s="1353">
        <f t="shared" si="15"/>
        <v>0.98039215686274506</v>
      </c>
      <c r="AB42" s="1353">
        <f t="shared" si="16"/>
        <v>0.98039215686274506</v>
      </c>
      <c r="AC42" s="1353">
        <f t="shared" si="17"/>
        <v>0.98039215686274506</v>
      </c>
    </row>
    <row r="43" spans="1:29" ht="28.8">
      <c r="A43" s="423"/>
      <c r="B43" s="375" t="s">
        <v>1706</v>
      </c>
      <c r="C43" s="1906" t="s">
        <v>3418</v>
      </c>
      <c r="D43" s="386">
        <v>100</v>
      </c>
      <c r="E43" s="1907" t="s">
        <v>3418</v>
      </c>
      <c r="F43" s="412">
        <f>SUMIF(124:124,E43,125:125)-SUMIF(124:124,C43,125:125)+100</f>
        <v>100</v>
      </c>
      <c r="G43" s="1906" t="s">
        <v>3418</v>
      </c>
      <c r="H43" s="386">
        <f>SUMIF(124:124,G43,125:125)-SUMIF(124:124,C43,125:125)+100</f>
        <v>100</v>
      </c>
      <c r="I43" s="1907" t="s">
        <v>3418</v>
      </c>
      <c r="J43" s="386">
        <f>SUMIF(124:124,I43,125:125)-SUMIF(124:124,C43,125:125)+100</f>
        <v>100</v>
      </c>
      <c r="K43" s="377">
        <v>1</v>
      </c>
      <c r="L43" s="2722"/>
      <c r="M43" s="2716"/>
      <c r="N43" s="2716"/>
      <c r="O43" s="2716"/>
      <c r="P43" s="3708"/>
      <c r="Q43" s="1352" t="str">
        <f t="shared" si="11"/>
        <v>内部装修维护情况</v>
      </c>
      <c r="R43" s="705" t="s">
        <v>18</v>
      </c>
      <c r="S43" s="706">
        <f t="shared" si="12"/>
        <v>100</v>
      </c>
      <c r="T43" s="705" t="s">
        <v>18</v>
      </c>
      <c r="U43" s="706">
        <f t="shared" si="13"/>
        <v>100</v>
      </c>
      <c r="V43" s="705" t="s">
        <v>18</v>
      </c>
      <c r="W43" s="706">
        <f t="shared" si="14"/>
        <v>100</v>
      </c>
      <c r="X43" s="1355"/>
      <c r="Y43" s="3710"/>
      <c r="Z43" s="1356" t="str">
        <f t="shared" si="18"/>
        <v>内部装修维护情况</v>
      </c>
      <c r="AA43" s="1353">
        <f t="shared" si="15"/>
        <v>1</v>
      </c>
      <c r="AB43" s="1353">
        <f t="shared" si="16"/>
        <v>1</v>
      </c>
      <c r="AC43" s="1353">
        <f t="shared" si="17"/>
        <v>1</v>
      </c>
    </row>
    <row r="44" spans="1:29" s="108" customFormat="1" ht="15">
      <c r="A44" s="424"/>
      <c r="B44" s="3450" t="s">
        <v>3455</v>
      </c>
      <c r="C44" s="3459" t="s">
        <v>3456</v>
      </c>
      <c r="D44" s="127">
        <v>100</v>
      </c>
      <c r="E44" s="3459" t="str">
        <f>C44</f>
        <v>有</v>
      </c>
      <c r="F44" s="376">
        <f>SUMIF(126:126,E44,127:127)-SUMIF(126:126,C44,127:127)+100</f>
        <v>100</v>
      </c>
      <c r="G44" s="3459" t="str">
        <f>C44</f>
        <v>有</v>
      </c>
      <c r="H44" s="127">
        <f>SUMIF(126:126,G44,127:127)-SUMIF(126:126,C44,127:127)+100</f>
        <v>100</v>
      </c>
      <c r="I44" s="3459" t="str">
        <f>E44</f>
        <v>有</v>
      </c>
      <c r="J44" s="127">
        <f>SUMIF(126:126,I44,127:127)-SUMIF(126:126,C44,127:127)+100</f>
        <v>100</v>
      </c>
      <c r="K44" s="1894"/>
      <c r="L44" s="2717"/>
      <c r="M44" s="2718"/>
      <c r="N44" s="2718"/>
      <c r="O44" s="2718"/>
      <c r="P44" s="3708"/>
      <c r="Q44" s="1343" t="str">
        <f t="shared" si="11"/>
        <v>电梯</v>
      </c>
      <c r="R44" s="701" t="s">
        <v>18</v>
      </c>
      <c r="S44" s="702">
        <f t="shared" si="12"/>
        <v>100</v>
      </c>
      <c r="T44" s="701" t="s">
        <v>18</v>
      </c>
      <c r="U44" s="702">
        <f t="shared" si="13"/>
        <v>100</v>
      </c>
      <c r="V44" s="701" t="s">
        <v>18</v>
      </c>
      <c r="W44" s="702">
        <f t="shared" si="14"/>
        <v>100</v>
      </c>
      <c r="X44" s="703"/>
      <c r="Y44" s="3710"/>
      <c r="Z44" s="52" t="str">
        <f t="shared" si="18"/>
        <v>电梯</v>
      </c>
      <c r="AA44" s="704">
        <f t="shared" si="15"/>
        <v>1</v>
      </c>
      <c r="AB44" s="704">
        <f t="shared" si="16"/>
        <v>1</v>
      </c>
      <c r="AC44" s="704">
        <f t="shared" si="17"/>
        <v>1</v>
      </c>
    </row>
    <row r="45" spans="1:29" ht="15">
      <c r="A45" s="423"/>
      <c r="B45" s="1133">
        <v>111</v>
      </c>
      <c r="C45" s="385">
        <v>2012</v>
      </c>
      <c r="D45" s="386">
        <v>100</v>
      </c>
      <c r="E45" s="385">
        <v>1993</v>
      </c>
      <c r="F45" s="412">
        <f>SUMIF(128:128,E45,129:129)-SUMIF(128:128,C45,129:129)+100</f>
        <v>100</v>
      </c>
      <c r="G45" s="385">
        <v>2005</v>
      </c>
      <c r="H45" s="386">
        <f>SUMIF(128:128,G45,129:129)-SUMIF(128:128,C45,129:129)+100</f>
        <v>100</v>
      </c>
      <c r="I45" s="385">
        <v>2006</v>
      </c>
      <c r="J45" s="386">
        <f>SUMIF(128:128,I45,129:129)-SUMIF(128:128,C45,129:129)+100</f>
        <v>100</v>
      </c>
      <c r="K45" s="1894"/>
      <c r="L45" s="2722"/>
      <c r="M45" s="2716"/>
      <c r="N45" s="2716"/>
      <c r="O45" s="2716"/>
      <c r="P45" s="3708"/>
      <c r="Q45" s="1352">
        <f t="shared" si="11"/>
        <v>111</v>
      </c>
      <c r="R45" s="705" t="s">
        <v>18</v>
      </c>
      <c r="S45" s="706">
        <f t="shared" si="12"/>
        <v>100</v>
      </c>
      <c r="T45" s="705" t="s">
        <v>18</v>
      </c>
      <c r="U45" s="706">
        <f t="shared" si="13"/>
        <v>100</v>
      </c>
      <c r="V45" s="705" t="s">
        <v>18</v>
      </c>
      <c r="W45" s="706">
        <f t="shared" si="14"/>
        <v>100</v>
      </c>
      <c r="X45" s="1355"/>
      <c r="Y45" s="3710"/>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9"/>
      <c r="Q46" s="1352">
        <f t="shared" si="11"/>
        <v>111</v>
      </c>
      <c r="R46" s="705" t="s">
        <v>17</v>
      </c>
      <c r="S46" s="706">
        <f t="shared" si="12"/>
        <v>100</v>
      </c>
      <c r="T46" s="705" t="s">
        <v>17</v>
      </c>
      <c r="U46" s="706">
        <f t="shared" si="13"/>
        <v>100</v>
      </c>
      <c r="V46" s="705" t="s">
        <v>17</v>
      </c>
      <c r="W46" s="706">
        <f t="shared" si="14"/>
        <v>100</v>
      </c>
      <c r="X46" s="1355"/>
      <c r="Y46" s="3711"/>
      <c r="Z46" s="1356">
        <f t="shared" si="18"/>
        <v>111</v>
      </c>
      <c r="AA46" s="1353">
        <f t="shared" si="15"/>
        <v>1</v>
      </c>
      <c r="AB46" s="1353">
        <f t="shared" si="16"/>
        <v>1</v>
      </c>
      <c r="AC46" s="1353">
        <f t="shared" si="17"/>
        <v>1</v>
      </c>
    </row>
    <row r="47" spans="1:29" ht="14.4">
      <c r="A47" s="430" t="s">
        <v>1707</v>
      </c>
      <c r="B47" s="431"/>
      <c r="C47" s="1154" t="s">
        <v>16</v>
      </c>
      <c r="D47" s="1155"/>
      <c r="E47" s="1156">
        <f>Sheet1!AH26</f>
        <v>52193</v>
      </c>
      <c r="F47" s="1157"/>
      <c r="G47" s="1158">
        <f>Sheet1!AH34</f>
        <v>48701</v>
      </c>
      <c r="H47" s="1159"/>
      <c r="I47" s="3458">
        <f>Sheet1!AH35</f>
        <v>47975</v>
      </c>
      <c r="J47" s="1159"/>
      <c r="K47" s="1914"/>
      <c r="L47" s="2724"/>
      <c r="M47" s="2725"/>
      <c r="N47" s="2716"/>
      <c r="O47" s="2725"/>
      <c r="P47" s="3703" t="str">
        <f>A47</f>
        <v>成交单价（元/平方米）</v>
      </c>
      <c r="Q47" s="3703"/>
      <c r="R47" s="3704">
        <f>E47</f>
        <v>52193</v>
      </c>
      <c r="S47" s="3704"/>
      <c r="T47" s="3704">
        <f>G47</f>
        <v>48701</v>
      </c>
      <c r="U47" s="3704"/>
      <c r="V47" s="3704">
        <f>I47</f>
        <v>47975</v>
      </c>
      <c r="W47" s="3704"/>
      <c r="X47" s="690"/>
      <c r="Y47" s="712"/>
      <c r="Z47" s="690"/>
      <c r="AA47" s="690"/>
      <c r="AB47" s="690"/>
      <c r="AC47" s="690"/>
    </row>
    <row r="48" spans="1:29" ht="15" thickBot="1">
      <c r="A48" s="437" t="s">
        <v>1708</v>
      </c>
      <c r="B48" s="438"/>
      <c r="C48" s="1160">
        <f>R49</f>
        <v>50907</v>
      </c>
      <c r="D48" s="2317" t="s">
        <v>2137</v>
      </c>
      <c r="E48" s="1161">
        <f>R48</f>
        <v>53906</v>
      </c>
      <c r="F48" s="2318"/>
      <c r="G48" s="1160">
        <f>T48</f>
        <v>49539</v>
      </c>
      <c r="H48" s="2318"/>
      <c r="I48" s="1161">
        <f>V48</f>
        <v>49277</v>
      </c>
      <c r="J48" s="2318"/>
      <c r="K48" s="2319">
        <f>F48+H48+J48</f>
        <v>0</v>
      </c>
      <c r="L48" s="2724"/>
      <c r="M48" s="2725"/>
      <c r="N48" s="2725"/>
      <c r="O48" s="2725"/>
      <c r="P48" s="3703" t="str">
        <f>A48</f>
        <v>比较价值（元/平方米）</v>
      </c>
      <c r="Q48" s="3703"/>
      <c r="R48" s="3704">
        <f>IF(F1="售价",ROUND(PRODUCT(R47,AA7:AA46),0),ROUND(PRODUCT(R47,AA7:AA46),1))</f>
        <v>53906</v>
      </c>
      <c r="S48" s="3704"/>
      <c r="T48" s="3704">
        <f>IF(F1="售价",ROUND(PRODUCT(T47,AB7:AB46),0),ROUND(PRODUCT(T47,AB7:AB46),1))</f>
        <v>49539</v>
      </c>
      <c r="U48" s="3704"/>
      <c r="V48" s="3704">
        <f>IF(F1="售价",ROUND(PRODUCT(V47,AC7:AC46),0),ROUND(PRODUCT(V47,AC7:AC46),1))</f>
        <v>49277</v>
      </c>
      <c r="W48" s="3704"/>
      <c r="X48" s="690"/>
      <c r="Y48" s="690"/>
      <c r="Z48" s="690"/>
      <c r="AA48" s="690"/>
      <c r="AB48" s="690"/>
      <c r="AC48" s="690"/>
    </row>
    <row r="49" spans="1:29" ht="15" thickBot="1">
      <c r="A49" s="441" t="s">
        <v>1709</v>
      </c>
      <c r="B49" s="442"/>
      <c r="C49" s="1162">
        <f>R49</f>
        <v>50907</v>
      </c>
      <c r="D49" s="1163"/>
      <c r="E49" s="1163"/>
      <c r="F49" s="1163"/>
      <c r="G49" s="1163"/>
      <c r="H49" s="1163"/>
      <c r="I49" s="1163"/>
      <c r="J49" s="1163"/>
      <c r="K49" s="1915"/>
      <c r="L49" s="2724"/>
      <c r="M49" s="2725"/>
      <c r="N49" s="2725"/>
      <c r="O49" s="2725"/>
      <c r="P49" s="3700" t="str">
        <f>A49</f>
        <v>估价对象XX用房的比较价值（楼面单价，元/平方米）</v>
      </c>
      <c r="Q49" s="3701"/>
      <c r="R49" s="3702">
        <f>IF(F1="售价",ROUND(IF(D48="简单平均",AVERAGE(R48:V48),R48*F48+T48*H48+V48*J48),0),ROUND(IF(D48="简单平均",AVERAGE(R48:V48),R48*F48+T48*H48+V48*J48),1))</f>
        <v>50907</v>
      </c>
      <c r="S49" s="3702"/>
      <c r="T49" s="3702"/>
      <c r="U49" s="3702"/>
      <c r="V49" s="3702"/>
      <c r="W49" s="370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1710</v>
      </c>
      <c r="D52" s="447"/>
      <c r="E52" s="448">
        <f>IF(E47&lt;E48,E48/E47-1,E47/E48-1)</f>
        <v>3.2820493169582132E-2</v>
      </c>
      <c r="F52" s="449" t="str">
        <f>IF(OR(E52&gt;=0.3,E52&lt;=-0.3),"超过30%","")</f>
        <v/>
      </c>
      <c r="G52" s="448">
        <f>IF(G47&lt;G48,G48/G47-1,G47/G48-1)</f>
        <v>1.7207038869838431E-2</v>
      </c>
      <c r="H52" s="449" t="str">
        <f>IF(OR(G52&gt;=0.3,G52&lt;=-0.3),"超过30%","")</f>
        <v/>
      </c>
      <c r="I52" s="448">
        <f>IF(I47&lt;I48,I48/I47-1,I47/I48-1)</f>
        <v>2.7139134966128298E-2</v>
      </c>
      <c r="J52" s="449" t="str">
        <f>IF(OR(I52&gt;=0.3,I52&lt;=-0.3),"超过30%","")</f>
        <v/>
      </c>
      <c r="K52" s="2730"/>
      <c r="L52" s="2726"/>
      <c r="M52" s="2725"/>
      <c r="N52" s="2725"/>
      <c r="O52" s="2725"/>
    </row>
    <row r="53" spans="1:29" ht="13.5" customHeight="1">
      <c r="A53" s="2725"/>
      <c r="B53" s="2725"/>
      <c r="C53" s="446" t="s">
        <v>1711</v>
      </c>
      <c r="D53" s="450"/>
      <c r="E53" s="448">
        <f>IF(E48&lt;G48,G48/E48-1,E48/G48-1)</f>
        <v>8.815276852580789E-2</v>
      </c>
      <c r="F53" s="449" t="str">
        <f>IF(OR(E53&gt;=0.2,E53&lt;=-0.2),"超过20%","")</f>
        <v/>
      </c>
      <c r="G53" s="448">
        <f>IF(G48&lt;I48,I48/G48-1,G48/I48-1)</f>
        <v>5.3168821153886103E-3</v>
      </c>
      <c r="H53" s="449" t="str">
        <f>IF(OR(G53&gt;=0.2,G53&lt;=-0.2),"超过20%","")</f>
        <v/>
      </c>
      <c r="I53" s="448">
        <f>IF(I48&lt;E48,E48/I48-1,I48/E48-1)</f>
        <v>9.3938348519593262E-2</v>
      </c>
      <c r="J53" s="449" t="str">
        <f>IF(OR(I53&gt;=0.2,I53&lt;=-0.2),"超过20%","")</f>
        <v/>
      </c>
      <c r="K53" s="2730"/>
      <c r="L53" s="2726"/>
      <c r="M53" s="2725"/>
      <c r="N53" s="2725"/>
      <c r="O53" s="2725"/>
    </row>
    <row r="54" spans="1:29" s="451" customFormat="1" ht="13.5" customHeight="1">
      <c r="A54" s="2728"/>
      <c r="B54" s="2728"/>
      <c r="C54" s="446" t="s">
        <v>1712</v>
      </c>
      <c r="D54" s="450"/>
      <c r="E54" s="448">
        <f>IF(E47&lt;G47,G47/E47-1,E47/G47-1)</f>
        <v>7.1702839777417315E-2</v>
      </c>
      <c r="F54" s="449" t="str">
        <f>IF(OR(E54&gt;=0.3,E54&lt;=-0.3),"超过30%","")</f>
        <v/>
      </c>
      <c r="G54" s="448">
        <f>IF(G47&lt;I47,I47/G47-1,G47/I47-1)</f>
        <v>1.5132881709223556E-2</v>
      </c>
      <c r="H54" s="449" t="str">
        <f>IF(OR(G54&gt;=0.3,G54&lt;=-0.3),"超过30%","")</f>
        <v/>
      </c>
      <c r="I54" s="448">
        <f>IF(I47&lt;E47,E47/I47-1,I47/E47-1)</f>
        <v>8.7920792079207999E-2</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1713</v>
      </c>
      <c r="B57" s="690"/>
      <c r="C57" s="695"/>
      <c r="D57" s="695"/>
      <c r="E57" s="695"/>
      <c r="F57" s="696"/>
      <c r="G57" s="696"/>
      <c r="H57" s="695"/>
      <c r="I57" s="695"/>
      <c r="J57" s="695"/>
      <c r="K57" s="941"/>
      <c r="L57" s="942"/>
      <c r="M57" s="940"/>
      <c r="N57" s="940"/>
      <c r="O57" s="940"/>
      <c r="P57" s="1918"/>
      <c r="Q57" s="453"/>
    </row>
    <row r="58" spans="1:29" s="457" customFormat="1" ht="14.4">
      <c r="A58" s="454" t="s">
        <v>1714</v>
      </c>
      <c r="B58" s="455"/>
      <c r="C58" s="1186" t="str">
        <f>YEAR(C7)&amp;"-"&amp;MONTH(C7)</f>
        <v>2013-5</v>
      </c>
      <c r="D58" s="1185">
        <f>EDATE(C58,-1)</f>
        <v>41365</v>
      </c>
      <c r="E58" s="1185">
        <f>EDATE(D58,-1)</f>
        <v>41334</v>
      </c>
      <c r="F58" s="1185">
        <f t="shared" ref="F58:O58" si="19">EDATE(E58,-1)</f>
        <v>41306</v>
      </c>
      <c r="G58" s="1185">
        <f t="shared" si="19"/>
        <v>41275</v>
      </c>
      <c r="H58" s="1185">
        <f t="shared" si="19"/>
        <v>41244</v>
      </c>
      <c r="I58" s="1185">
        <f t="shared" si="19"/>
        <v>41214</v>
      </c>
      <c r="J58" s="1185">
        <f t="shared" si="19"/>
        <v>41183</v>
      </c>
      <c r="K58" s="1185">
        <f t="shared" si="19"/>
        <v>41153</v>
      </c>
      <c r="L58" s="1185">
        <f t="shared" si="19"/>
        <v>41122</v>
      </c>
      <c r="M58" s="1185">
        <f t="shared" si="19"/>
        <v>41091</v>
      </c>
      <c r="N58" s="1185">
        <f t="shared" si="19"/>
        <v>41061</v>
      </c>
      <c r="O58" s="1185">
        <f t="shared" si="19"/>
        <v>41030</v>
      </c>
      <c r="P58" s="1181"/>
    </row>
    <row r="59" spans="1:29" s="108" customFormat="1">
      <c r="A59" s="458"/>
      <c r="B59" s="1919"/>
      <c r="C59" s="1183">
        <v>100</v>
      </c>
      <c r="D59" s="460">
        <v>100</v>
      </c>
      <c r="E59" s="461">
        <v>99</v>
      </c>
      <c r="F59" s="461">
        <f>E59</f>
        <v>99</v>
      </c>
      <c r="G59" s="461">
        <f>E59</f>
        <v>99</v>
      </c>
      <c r="H59" s="461">
        <f>F59</f>
        <v>99</v>
      </c>
      <c r="I59" s="461">
        <v>100</v>
      </c>
      <c r="J59" s="461">
        <f>I59</f>
        <v>100</v>
      </c>
      <c r="K59" s="461">
        <f>J59</f>
        <v>100</v>
      </c>
      <c r="L59" s="461">
        <v>100</v>
      </c>
      <c r="M59" s="462">
        <f>L59</f>
        <v>100</v>
      </c>
      <c r="N59" s="461">
        <f>L59</f>
        <v>100</v>
      </c>
      <c r="O59" s="462">
        <v>96</v>
      </c>
      <c r="P59" s="1920"/>
    </row>
    <row r="60" spans="1:29" s="108" customFormat="1" ht="15" thickBot="1">
      <c r="A60" s="464" t="s">
        <v>1715</v>
      </c>
      <c r="B60" s="465"/>
      <c r="C60" s="466"/>
      <c r="D60" s="467"/>
      <c r="E60" s="467"/>
      <c r="F60" s="467"/>
      <c r="G60" s="467"/>
      <c r="H60" s="467"/>
      <c r="I60" s="467"/>
      <c r="J60" s="467"/>
      <c r="K60" s="467"/>
      <c r="L60" s="467"/>
      <c r="M60" s="468"/>
      <c r="N60" s="467"/>
      <c r="O60" s="468"/>
      <c r="P60" s="1920"/>
      <c r="Q60" s="453"/>
    </row>
    <row r="61" spans="1:29" s="108" customFormat="1" ht="14.4">
      <c r="A61" s="470" t="s">
        <v>1716</v>
      </c>
      <c r="B61" s="459"/>
      <c r="C61" s="471" t="s">
        <v>1717</v>
      </c>
      <c r="D61" s="3457" t="s">
        <v>3414</v>
      </c>
      <c r="E61" s="472"/>
      <c r="F61" s="472"/>
      <c r="G61" s="472"/>
      <c r="H61" s="472"/>
      <c r="I61" s="472"/>
      <c r="J61" s="472"/>
      <c r="K61" s="472"/>
      <c r="L61" s="473"/>
      <c r="M61" s="474"/>
      <c r="N61" s="932"/>
      <c r="O61" s="932"/>
      <c r="P61" s="1921"/>
      <c r="Q61" s="453"/>
    </row>
    <row r="62" spans="1:29" s="108" customFormat="1" ht="14.4" thickBot="1">
      <c r="A62" s="470"/>
      <c r="B62" s="459"/>
      <c r="C62" s="460">
        <v>100</v>
      </c>
      <c r="D62" s="461">
        <v>105</v>
      </c>
      <c r="E62" s="461"/>
      <c r="F62" s="461"/>
      <c r="G62" s="461"/>
      <c r="H62" s="461"/>
      <c r="I62" s="461"/>
      <c r="J62" s="461"/>
      <c r="K62" s="461"/>
      <c r="L62" s="461"/>
      <c r="M62" s="463"/>
      <c r="N62" s="932"/>
      <c r="O62" s="932"/>
      <c r="P62" s="1920"/>
      <c r="Q62" s="453"/>
    </row>
    <row r="63" spans="1:29" ht="14.4">
      <c r="A63" s="476" t="s">
        <v>1718</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 thickTop="1">
      <c r="A70" s="502"/>
      <c r="B70" s="487">
        <f>B12</f>
        <v>111</v>
      </c>
      <c r="C70" s="3451" t="s">
        <v>3419</v>
      </c>
      <c r="D70" s="3451" t="s">
        <v>3420</v>
      </c>
      <c r="E70" s="503"/>
      <c r="F70" s="503"/>
      <c r="G70" s="503"/>
      <c r="H70" s="504"/>
      <c r="I70" s="504"/>
      <c r="J70" s="504"/>
      <c r="K70" s="504"/>
      <c r="L70" s="505"/>
      <c r="M70" s="506"/>
      <c r="N70" s="935"/>
      <c r="O70" s="935"/>
      <c r="P70" s="1923"/>
      <c r="Q70" s="508"/>
    </row>
    <row r="71" spans="1:17" s="422" customFormat="1" ht="14.4" thickBot="1">
      <c r="A71" s="502"/>
      <c r="B71" s="492"/>
      <c r="C71" s="509">
        <v>100</v>
      </c>
      <c r="D71" s="485">
        <v>105</v>
      </c>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4.4" thickBot="1">
      <c r="A79" s="483"/>
      <c r="B79" s="492"/>
      <c r="C79" s="493">
        <v>100</v>
      </c>
      <c r="D79" s="493">
        <f>C79-$K17</f>
        <v>95</v>
      </c>
      <c r="E79" s="493">
        <f>D79-$K17</f>
        <v>90</v>
      </c>
      <c r="F79" s="493">
        <f>E79-$K17</f>
        <v>85</v>
      </c>
      <c r="G79" s="493">
        <f>F79-$K17</f>
        <v>80</v>
      </c>
      <c r="H79" s="493"/>
      <c r="I79" s="493"/>
      <c r="J79" s="493"/>
      <c r="K79" s="493"/>
      <c r="L79" s="493"/>
      <c r="M79" s="494"/>
      <c r="N79" s="934"/>
      <c r="O79" s="934"/>
      <c r="P79" s="1922"/>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1727</v>
      </c>
      <c r="D82" s="488" t="s">
        <v>1728</v>
      </c>
      <c r="E82" s="488" t="s">
        <v>1729</v>
      </c>
      <c r="F82" s="488" t="s">
        <v>1730</v>
      </c>
      <c r="G82" s="488" t="s">
        <v>1731</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1733</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1734</v>
      </c>
      <c r="C88" s="3451" t="s">
        <v>3941</v>
      </c>
      <c r="D88" s="3451" t="s">
        <v>3428</v>
      </c>
      <c r="E88" s="3451" t="s">
        <v>3429</v>
      </c>
      <c r="F88" s="3451" t="s">
        <v>3462</v>
      </c>
      <c r="G88" s="3454" t="s">
        <v>3464</v>
      </c>
      <c r="H88" s="3451" t="s">
        <v>3460</v>
      </c>
      <c r="I88" s="3451" t="s">
        <v>3942</v>
      </c>
      <c r="J88" s="3451" t="s">
        <v>3944</v>
      </c>
      <c r="K88" s="503"/>
      <c r="L88" s="503"/>
      <c r="M88" s="530"/>
      <c r="N88" s="932"/>
      <c r="O88" s="932"/>
      <c r="P88" s="1922"/>
      <c r="Q88" s="453"/>
    </row>
    <row r="89" spans="1:17" s="108" customFormat="1" ht="14.4" thickBot="1">
      <c r="A89" s="528"/>
      <c r="B89" s="492"/>
      <c r="C89" s="531">
        <v>100</v>
      </c>
      <c r="D89" s="493">
        <f t="shared" ref="D89:M89" si="24">C89-$K26</f>
        <v>99.5</v>
      </c>
      <c r="E89" s="493">
        <f t="shared" si="24"/>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22"/>
      <c r="Q89" s="453"/>
    </row>
    <row r="90" spans="1:17" s="422" customFormat="1" ht="28.2" thickTop="1">
      <c r="A90" s="502"/>
      <c r="B90" s="487" t="str">
        <f>B27</f>
        <v>楼层</v>
      </c>
      <c r="C90" s="503" t="str">
        <f>C27</f>
        <v>3/11（低层）</v>
      </c>
      <c r="D90" s="3456" t="str">
        <f>E27</f>
        <v>2/18（低层）</v>
      </c>
      <c r="E90" s="3456" t="str">
        <f>G27</f>
        <v>15/18（高层）</v>
      </c>
      <c r="F90" s="3456" t="str">
        <f>I27</f>
        <v>10/17（中层）</v>
      </c>
      <c r="G90" s="503"/>
      <c r="H90" s="504"/>
      <c r="I90" s="504"/>
      <c r="J90" s="504"/>
      <c r="K90" s="504"/>
      <c r="L90" s="505"/>
      <c r="M90" s="506"/>
      <c r="N90" s="935"/>
      <c r="O90" s="935"/>
      <c r="P90" s="1923"/>
      <c r="Q90" s="508"/>
    </row>
    <row r="91" spans="1:17" s="422" customFormat="1" ht="14.4" thickBot="1">
      <c r="A91" s="502"/>
      <c r="B91" s="492"/>
      <c r="C91" s="509">
        <v>100</v>
      </c>
      <c r="D91" s="509">
        <v>100</v>
      </c>
      <c r="E91" s="509">
        <v>104</v>
      </c>
      <c r="F91" s="509">
        <v>102</v>
      </c>
      <c r="G91" s="509"/>
      <c r="H91" s="511"/>
      <c r="I91" s="511"/>
      <c r="J91" s="511"/>
      <c r="K91" s="511"/>
      <c r="L91" s="511"/>
      <c r="M91" s="512"/>
      <c r="N91" s="935"/>
      <c r="O91" s="935"/>
      <c r="P91" s="1923"/>
      <c r="Q91" s="508"/>
    </row>
    <row r="92" spans="1:17" ht="14.4" thickTop="1">
      <c r="A92" s="483"/>
      <c r="B92" s="487">
        <f>B28</f>
        <v>111</v>
      </c>
      <c r="E92" s="503"/>
      <c r="F92" s="503"/>
      <c r="G92" s="532"/>
      <c r="H92" s="532"/>
      <c r="I92" s="532"/>
      <c r="J92" s="532"/>
      <c r="K92" s="533"/>
      <c r="L92" s="534"/>
      <c r="M92" s="535"/>
      <c r="N92" s="933"/>
      <c r="O92" s="933"/>
      <c r="P92" s="1922"/>
      <c r="Q92" s="453"/>
    </row>
    <row r="93" spans="1:17" ht="14.4" thickBot="1">
      <c r="A93" s="483"/>
      <c r="B93" s="492"/>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1693</v>
      </c>
      <c r="B100" s="477" t="s">
        <v>1735</v>
      </c>
      <c r="C100" s="3453" t="s">
        <v>3421</v>
      </c>
      <c r="D100" s="3453" t="s">
        <v>3422</v>
      </c>
      <c r="E100" s="3453" t="s">
        <v>3412</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96</v>
      </c>
      <c r="E101" s="493">
        <f t="shared" si="25"/>
        <v>92</v>
      </c>
      <c r="F101" s="493">
        <f t="shared" si="25"/>
        <v>88</v>
      </c>
      <c r="G101" s="493">
        <f t="shared" si="25"/>
        <v>84</v>
      </c>
      <c r="H101" s="493">
        <f t="shared" si="25"/>
        <v>80</v>
      </c>
      <c r="I101" s="493">
        <f t="shared" si="25"/>
        <v>76</v>
      </c>
      <c r="J101" s="493">
        <f t="shared" si="25"/>
        <v>72</v>
      </c>
      <c r="K101" s="493">
        <f t="shared" si="25"/>
        <v>68</v>
      </c>
      <c r="L101" s="493">
        <f t="shared" si="25"/>
        <v>64</v>
      </c>
      <c r="M101" s="493">
        <f t="shared" si="25"/>
        <v>60</v>
      </c>
      <c r="N101" s="934"/>
      <c r="O101" s="934"/>
      <c r="P101" s="1922"/>
      <c r="Q101" s="453"/>
    </row>
    <row r="102" spans="1:17" ht="15" thickTop="1">
      <c r="A102" s="483"/>
      <c r="B102" s="487" t="s">
        <v>1736</v>
      </c>
      <c r="C102" s="527" t="str">
        <f>C103&amp;"(含)"&amp;"-"&amp;D103</f>
        <v>0(含)-60</v>
      </c>
      <c r="D102" s="527" t="str">
        <f t="shared" ref="D102:L102" si="26">D103&amp;"(含)"&amp;"-"&amp;E103</f>
        <v>60(含)-90</v>
      </c>
      <c r="E102" s="527" t="str">
        <f t="shared" si="26"/>
        <v>90(含)-120</v>
      </c>
      <c r="F102" s="527" t="str">
        <f t="shared" si="26"/>
        <v>120(含)-180</v>
      </c>
      <c r="G102" s="527" t="str">
        <f t="shared" si="26"/>
        <v>180(含)-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60</v>
      </c>
      <c r="E103" s="544">
        <v>90</v>
      </c>
      <c r="F103" s="544">
        <v>120</v>
      </c>
      <c r="G103" s="544">
        <v>180</v>
      </c>
      <c r="H103" s="544"/>
      <c r="I103" s="544"/>
      <c r="J103" s="545"/>
      <c r="K103" s="545"/>
      <c r="L103" s="546"/>
      <c r="M103" s="547"/>
      <c r="N103" s="935"/>
      <c r="O103" s="935"/>
      <c r="P103" s="1923"/>
      <c r="Q103" s="508"/>
    </row>
    <row r="104" spans="1:17" s="422" customFormat="1" ht="14.4" thickBot="1">
      <c r="A104" s="502"/>
      <c r="B104" s="492"/>
      <c r="C104" s="509">
        <v>100</v>
      </c>
      <c r="D104" s="485">
        <v>98</v>
      </c>
      <c r="E104" s="485">
        <v>96</v>
      </c>
      <c r="F104" s="485">
        <v>94</v>
      </c>
      <c r="G104" s="485">
        <v>92</v>
      </c>
      <c r="H104" s="485">
        <v>90</v>
      </c>
      <c r="I104" s="485"/>
      <c r="J104" s="485"/>
      <c r="K104" s="485"/>
      <c r="L104" s="485"/>
      <c r="M104" s="485"/>
      <c r="N104" s="934"/>
      <c r="O104" s="934"/>
      <c r="P104" s="1923"/>
      <c r="Q104" s="508"/>
    </row>
    <row r="105" spans="1:17" ht="15" thickTop="1">
      <c r="A105" s="548"/>
      <c r="B105" s="487" t="s">
        <v>1737</v>
      </c>
      <c r="C105" s="3451" t="s">
        <v>3424</v>
      </c>
      <c r="D105" s="3451" t="s">
        <v>3427</v>
      </c>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22"/>
      <c r="Q106" s="453"/>
    </row>
    <row r="107" spans="1:17" ht="15" thickTop="1">
      <c r="A107" s="548"/>
      <c r="B107" s="487" t="s">
        <v>1738</v>
      </c>
      <c r="C107" s="3452" t="s">
        <v>3398</v>
      </c>
      <c r="D107" s="3452" t="s">
        <v>3399</v>
      </c>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3451" t="s">
        <v>3400</v>
      </c>
      <c r="D109" s="3451" t="s">
        <v>3402</v>
      </c>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102</v>
      </c>
      <c r="E113" s="493">
        <f>D113+$K37</f>
        <v>104</v>
      </c>
      <c r="F113" s="493">
        <f>E113+$K37</f>
        <v>106</v>
      </c>
      <c r="G113" s="493">
        <f>F113+$K37</f>
        <v>108</v>
      </c>
      <c r="H113" s="493">
        <f>G113+$K37</f>
        <v>110</v>
      </c>
      <c r="I113" s="531"/>
      <c r="J113" s="556"/>
      <c r="K113" s="556"/>
      <c r="L113" s="556"/>
      <c r="M113" s="557"/>
      <c r="N113" s="935"/>
      <c r="O113" s="935"/>
      <c r="P113" s="1923"/>
      <c r="Q113" s="508"/>
    </row>
    <row r="114" spans="1:17" ht="15" thickTop="1">
      <c r="A114" s="548"/>
      <c r="B114" s="487" t="s">
        <v>1740</v>
      </c>
      <c r="C114" s="3451" t="s">
        <v>3409</v>
      </c>
      <c r="D114" s="3451"/>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3451" t="s">
        <v>3403</v>
      </c>
      <c r="D116" s="3451" t="s">
        <v>3413</v>
      </c>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3452" t="s">
        <v>3405</v>
      </c>
      <c r="D118" s="3452" t="s">
        <v>3406</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3451" t="s">
        <v>3400</v>
      </c>
      <c r="D122" s="3451" t="s">
        <v>3402</v>
      </c>
      <c r="E122" s="3451" t="s">
        <v>3407</v>
      </c>
      <c r="F122" s="3452" t="s">
        <v>3417</v>
      </c>
      <c r="G122" s="532"/>
      <c r="H122" s="532"/>
      <c r="I122" s="532"/>
      <c r="J122" s="532"/>
      <c r="K122" s="533"/>
      <c r="L122" s="534"/>
      <c r="M122" s="535"/>
      <c r="N122" s="933"/>
      <c r="O122" s="933"/>
      <c r="P122" s="1922"/>
      <c r="Q122" s="453"/>
    </row>
    <row r="123" spans="1:17" ht="14.4"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3">
        <f t="shared" si="32"/>
        <v>90</v>
      </c>
      <c r="N123" s="934"/>
      <c r="O123" s="934"/>
      <c r="P123" s="1922"/>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4.4"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2"/>
      <c r="Q125" s="453"/>
    </row>
    <row r="126" spans="1:17" s="422" customFormat="1" ht="15" thickTop="1">
      <c r="A126" s="542"/>
      <c r="B126" s="487" t="str">
        <f>B44</f>
        <v>电梯</v>
      </c>
      <c r="C126" s="503" t="str">
        <f>C44</f>
        <v>有</v>
      </c>
      <c r="D126" s="3451" t="s">
        <v>3457</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99</v>
      </c>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6.2"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ht="14.4">
      <c r="B147" s="1929" t="s">
        <v>1763</v>
      </c>
    </row>
    <row r="148" spans="2:11" ht="14.4">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8" priority="21" stopIfTrue="1" operator="containsText" text="超过">
      <formula>NOT(ISERROR(SEARCH("超过",F52)))</formula>
    </cfRule>
  </conditionalFormatting>
  <conditionalFormatting sqref="J54">
    <cfRule type="containsText" dxfId="157" priority="20" stopIfTrue="1" operator="containsText" text="超过">
      <formula>NOT(ISERROR(SEARCH("超过",J54)))</formula>
    </cfRule>
  </conditionalFormatting>
  <conditionalFormatting sqref="H54">
    <cfRule type="containsText" dxfId="156" priority="19" stopIfTrue="1" operator="containsText" text="超过">
      <formula>NOT(ISERROR(SEARCH("超过",H54)))</formula>
    </cfRule>
  </conditionalFormatting>
  <conditionalFormatting sqref="F54">
    <cfRule type="containsText" dxfId="155" priority="18" stopIfTrue="1" operator="containsText" text="超过">
      <formula>NOT(ISERROR(SEARCH("超过",F54)))</formula>
    </cfRule>
  </conditionalFormatting>
  <conditionalFormatting sqref="F53 H53 J53">
    <cfRule type="containsText" dxfId="154" priority="17" stopIfTrue="1" operator="containsText" text="超过">
      <formula>NOT(ISERROR(SEARCH("超过",F53)))</formula>
    </cfRule>
  </conditionalFormatting>
  <conditionalFormatting sqref="E52">
    <cfRule type="expression" dxfId="153" priority="16" stopIfTrue="1">
      <formula>$F$52="超过30%"</formula>
    </cfRule>
  </conditionalFormatting>
  <conditionalFormatting sqref="G54">
    <cfRule type="expression" dxfId="152" priority="14" stopIfTrue="1">
      <formula>$H$54="超过30%"</formula>
    </cfRule>
  </conditionalFormatting>
  <conditionalFormatting sqref="E53">
    <cfRule type="expression" dxfId="151" priority="13" stopIfTrue="1">
      <formula>$F$53="超过20%"</formula>
    </cfRule>
  </conditionalFormatting>
  <conditionalFormatting sqref="E54">
    <cfRule type="expression" dxfId="150" priority="12" stopIfTrue="1">
      <formula>$F$54="超过30%"</formula>
    </cfRule>
  </conditionalFormatting>
  <conditionalFormatting sqref="G52">
    <cfRule type="expression" dxfId="149" priority="11" stopIfTrue="1">
      <formula>$H$52="超过30%"</formula>
    </cfRule>
  </conditionalFormatting>
  <conditionalFormatting sqref="G53">
    <cfRule type="expression" dxfId="148" priority="10" stopIfTrue="1">
      <formula>$H$53="超过20%"</formula>
    </cfRule>
  </conditionalFormatting>
  <conditionalFormatting sqref="I52">
    <cfRule type="expression" dxfId="147" priority="9" stopIfTrue="1">
      <formula>$J$52="超过30%"</formula>
    </cfRule>
  </conditionalFormatting>
  <conditionalFormatting sqref="I53">
    <cfRule type="expression" dxfId="146" priority="8" stopIfTrue="1">
      <formula>$J$53="超过20%"</formula>
    </cfRule>
  </conditionalFormatting>
  <conditionalFormatting sqref="I54">
    <cfRule type="expression" dxfId="145" priority="7" stopIfTrue="1">
      <formula>$J$54="超过30%"</formula>
    </cfRule>
  </conditionalFormatting>
  <conditionalFormatting sqref="F48">
    <cfRule type="expression" dxfId="144" priority="6">
      <formula>$D$48="简单平均"</formula>
    </cfRule>
  </conditionalFormatting>
  <conditionalFormatting sqref="H48">
    <cfRule type="expression" dxfId="143" priority="5">
      <formula>$D$48="简单平均"</formula>
    </cfRule>
  </conditionalFormatting>
  <conditionalFormatting sqref="J48">
    <cfRule type="expression" dxfId="142" priority="4">
      <formula>$D$48="简单平均"</formula>
    </cfRule>
  </conditionalFormatting>
  <conditionalFormatting sqref="F7:F25 H7:H25 J7:J25 H38:H46 F38:F46 J27:J46 H27:H36 F27:F36">
    <cfRule type="cellIs" dxfId="141" priority="3" operator="notEqual">
      <formula>100</formula>
    </cfRule>
  </conditionalFormatting>
  <conditionalFormatting sqref="H37 F37">
    <cfRule type="cellIs" dxfId="140" priority="2" operator="notEqual">
      <formula>100</formula>
    </cfRule>
  </conditionalFormatting>
  <conditionalFormatting sqref="J26 H26 F2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W135"/>
  <sheetViews>
    <sheetView topLeftCell="A10" workbookViewId="0">
      <selection activeCell="N134" sqref="N134"/>
    </sheetView>
  </sheetViews>
  <sheetFormatPr defaultRowHeight="14.4"/>
  <cols>
    <col min="23" max="33" width="8.88671875" customWidth="1"/>
    <col min="59" max="59" width="13.6640625" customWidth="1"/>
  </cols>
  <sheetData>
    <row r="1" spans="1:21">
      <c r="A1" s="3481" t="s">
        <v>3430</v>
      </c>
      <c r="B1" s="3481" t="s">
        <v>3431</v>
      </c>
      <c r="C1" s="3481" t="s">
        <v>3432</v>
      </c>
      <c r="D1" s="3481" t="s">
        <v>3433</v>
      </c>
      <c r="E1" s="3481" t="s">
        <v>3434</v>
      </c>
      <c r="F1" s="3481" t="s">
        <v>3435</v>
      </c>
      <c r="G1" s="3481" t="s">
        <v>3436</v>
      </c>
      <c r="H1" s="3481" t="s">
        <v>3437</v>
      </c>
      <c r="I1" s="3481" t="s">
        <v>3438</v>
      </c>
      <c r="J1" s="3481" t="s">
        <v>3439</v>
      </c>
      <c r="K1" s="3481" t="s">
        <v>3440</v>
      </c>
      <c r="L1" s="3481" t="s">
        <v>3441</v>
      </c>
      <c r="M1" s="3481" t="s">
        <v>3442</v>
      </c>
      <c r="N1" s="3481" t="s">
        <v>3443</v>
      </c>
      <c r="O1" s="3481" t="s">
        <v>3444</v>
      </c>
      <c r="P1" s="3481" t="s">
        <v>3445</v>
      </c>
      <c r="Q1" s="3481" t="s">
        <v>3446</v>
      </c>
      <c r="R1" s="3481" t="s">
        <v>3447</v>
      </c>
      <c r="S1" s="3481" t="s">
        <v>3448</v>
      </c>
      <c r="T1" s="3481" t="s">
        <v>3449</v>
      </c>
      <c r="U1" s="3481" t="s">
        <v>3450</v>
      </c>
    </row>
    <row r="2" spans="1:21" ht="23.4" thickBot="1">
      <c r="A2" s="3473">
        <v>91</v>
      </c>
      <c r="B2" s="3474" t="s">
        <v>3451</v>
      </c>
      <c r="C2" s="3473" t="s">
        <v>3466</v>
      </c>
      <c r="D2" s="3473" t="s">
        <v>3467</v>
      </c>
      <c r="E2" s="3473" t="s">
        <v>3468</v>
      </c>
      <c r="F2" s="3473" t="s">
        <v>3469</v>
      </c>
      <c r="G2" s="3473" t="s">
        <v>43</v>
      </c>
      <c r="H2" s="3473" t="s">
        <v>3470</v>
      </c>
      <c r="I2" s="3473" t="s">
        <v>3471</v>
      </c>
      <c r="J2" s="3473">
        <v>107.73</v>
      </c>
      <c r="K2" s="3473" t="s">
        <v>3387</v>
      </c>
      <c r="L2" s="3473">
        <v>18</v>
      </c>
      <c r="M2" s="3473"/>
      <c r="N2" s="3473" t="s">
        <v>43</v>
      </c>
      <c r="O2" s="3473">
        <v>1995</v>
      </c>
      <c r="P2" s="3473" t="s">
        <v>43</v>
      </c>
      <c r="Q2" s="3473" t="s">
        <v>43</v>
      </c>
      <c r="R2" s="3473">
        <v>0</v>
      </c>
      <c r="S2" s="3473">
        <v>41158</v>
      </c>
      <c r="T2" s="3473">
        <v>4433951</v>
      </c>
      <c r="U2" s="3477">
        <v>41450</v>
      </c>
    </row>
    <row r="3" spans="1:21" ht="23.4" thickBot="1">
      <c r="A3" s="3475">
        <v>92</v>
      </c>
      <c r="B3" s="3476" t="s">
        <v>3451</v>
      </c>
      <c r="C3" s="3475" t="s">
        <v>3472</v>
      </c>
      <c r="D3" s="3475" t="s">
        <v>3473</v>
      </c>
      <c r="E3" s="3475" t="s">
        <v>3468</v>
      </c>
      <c r="F3" s="3475" t="s">
        <v>3474</v>
      </c>
      <c r="G3" s="3475" t="s">
        <v>43</v>
      </c>
      <c r="H3" s="3475" t="s">
        <v>3475</v>
      </c>
      <c r="I3" s="3475" t="s">
        <v>3452</v>
      </c>
      <c r="J3" s="3475">
        <v>120.97</v>
      </c>
      <c r="K3" s="3475" t="s">
        <v>3387</v>
      </c>
      <c r="L3" s="3475">
        <v>18</v>
      </c>
      <c r="M3" s="3475"/>
      <c r="N3" s="3475" t="s">
        <v>43</v>
      </c>
      <c r="O3" s="3475">
        <v>1995</v>
      </c>
      <c r="P3" s="3475" t="s">
        <v>43</v>
      </c>
      <c r="Q3" s="3475" t="s">
        <v>43</v>
      </c>
      <c r="R3" s="3475">
        <v>0</v>
      </c>
      <c r="S3" s="3475">
        <v>40835</v>
      </c>
      <c r="T3" s="3475">
        <v>4939810</v>
      </c>
      <c r="U3" s="3478">
        <v>41352</v>
      </c>
    </row>
    <row r="4" spans="1:21" ht="34.799999999999997" thickBot="1">
      <c r="A4" s="3473">
        <v>93</v>
      </c>
      <c r="B4" s="3474" t="s">
        <v>3451</v>
      </c>
      <c r="C4" s="3473" t="s">
        <v>3476</v>
      </c>
      <c r="D4" s="3473" t="s">
        <v>3477</v>
      </c>
      <c r="E4" s="3473" t="s">
        <v>3468</v>
      </c>
      <c r="F4" s="3473" t="s">
        <v>3478</v>
      </c>
      <c r="G4" s="3473" t="s">
        <v>3479</v>
      </c>
      <c r="H4" s="3473" t="s">
        <v>3480</v>
      </c>
      <c r="I4" s="3473" t="s">
        <v>3452</v>
      </c>
      <c r="J4" s="3473">
        <v>129.47999999999999</v>
      </c>
      <c r="K4" s="3473" t="s">
        <v>3387</v>
      </c>
      <c r="L4" s="3473" t="s">
        <v>3481</v>
      </c>
      <c r="M4" s="3473">
        <v>2</v>
      </c>
      <c r="N4" s="3473" t="s">
        <v>43</v>
      </c>
      <c r="O4" s="3473">
        <v>1997</v>
      </c>
      <c r="P4" s="3473"/>
      <c r="Q4" s="3473" t="s">
        <v>43</v>
      </c>
      <c r="R4" s="3473">
        <v>0</v>
      </c>
      <c r="S4" s="3473">
        <v>29830</v>
      </c>
      <c r="T4" s="3473">
        <v>3862388</v>
      </c>
      <c r="U4" s="3477">
        <v>41157</v>
      </c>
    </row>
    <row r="5" spans="1:21" ht="34.799999999999997" thickBot="1">
      <c r="A5" s="3475">
        <v>94</v>
      </c>
      <c r="B5" s="3476" t="s">
        <v>3451</v>
      </c>
      <c r="C5" s="3475" t="s">
        <v>3482</v>
      </c>
      <c r="D5" s="3475" t="s">
        <v>3483</v>
      </c>
      <c r="E5" s="3475" t="s">
        <v>3468</v>
      </c>
      <c r="F5" s="3475" t="s">
        <v>3484</v>
      </c>
      <c r="G5" s="3475" t="s">
        <v>3479</v>
      </c>
      <c r="H5" s="3475" t="s">
        <v>3480</v>
      </c>
      <c r="I5" s="3475" t="s">
        <v>3452</v>
      </c>
      <c r="J5" s="3475">
        <v>133.68</v>
      </c>
      <c r="K5" s="3475" t="s">
        <v>3387</v>
      </c>
      <c r="L5" s="3475" t="s">
        <v>3481</v>
      </c>
      <c r="M5" s="3475">
        <v>2</v>
      </c>
      <c r="N5" s="3475" t="s">
        <v>43</v>
      </c>
      <c r="O5" s="3475">
        <v>1997</v>
      </c>
      <c r="P5" s="3475"/>
      <c r="Q5" s="3475" t="s">
        <v>43</v>
      </c>
      <c r="R5" s="3475">
        <v>0</v>
      </c>
      <c r="S5" s="3475">
        <v>30096</v>
      </c>
      <c r="T5" s="3475">
        <v>4023233</v>
      </c>
      <c r="U5" s="3478">
        <v>41108</v>
      </c>
    </row>
    <row r="6" spans="1:21" ht="34.799999999999997" thickBot="1">
      <c r="A6" s="3473">
        <v>95</v>
      </c>
      <c r="B6" s="3474" t="s">
        <v>3451</v>
      </c>
      <c r="C6" s="3473" t="s">
        <v>3485</v>
      </c>
      <c r="D6" s="3473" t="s">
        <v>3486</v>
      </c>
      <c r="E6" s="3473" t="s">
        <v>3468</v>
      </c>
      <c r="F6" s="3473" t="s">
        <v>3487</v>
      </c>
      <c r="G6" s="3473" t="s">
        <v>43</v>
      </c>
      <c r="H6" s="3473" t="s">
        <v>3488</v>
      </c>
      <c r="I6" s="3473" t="s">
        <v>3471</v>
      </c>
      <c r="J6" s="3473">
        <v>45.96</v>
      </c>
      <c r="K6" s="3473" t="s">
        <v>3387</v>
      </c>
      <c r="L6" s="3473">
        <v>18</v>
      </c>
      <c r="M6" s="3473">
        <v>17</v>
      </c>
      <c r="N6" s="3473" t="s">
        <v>43</v>
      </c>
      <c r="O6" s="3473">
        <v>1992</v>
      </c>
      <c r="P6" s="3473"/>
      <c r="Q6" s="3473" t="s">
        <v>43</v>
      </c>
      <c r="R6" s="3473">
        <v>0</v>
      </c>
      <c r="S6" s="3473">
        <v>33987</v>
      </c>
      <c r="T6" s="3473">
        <v>1562043</v>
      </c>
      <c r="U6" s="3477">
        <v>41160</v>
      </c>
    </row>
    <row r="7" spans="1:21" ht="23.4" thickBot="1">
      <c r="A7" s="3475">
        <v>96</v>
      </c>
      <c r="B7" s="3476" t="s">
        <v>3451</v>
      </c>
      <c r="C7" s="3475" t="s">
        <v>3489</v>
      </c>
      <c r="D7" s="3475" t="s">
        <v>3490</v>
      </c>
      <c r="E7" s="3475" t="s">
        <v>3468</v>
      </c>
      <c r="F7" s="3475" t="s">
        <v>3491</v>
      </c>
      <c r="G7" s="3475" t="s">
        <v>43</v>
      </c>
      <c r="H7" s="3475" t="s">
        <v>3492</v>
      </c>
      <c r="I7" s="3475" t="s">
        <v>3471</v>
      </c>
      <c r="J7" s="3475">
        <v>55.47</v>
      </c>
      <c r="K7" s="3475" t="s">
        <v>3387</v>
      </c>
      <c r="L7" s="3475">
        <v>18</v>
      </c>
      <c r="M7" s="3475">
        <v>14</v>
      </c>
      <c r="N7" s="3475" t="s">
        <v>43</v>
      </c>
      <c r="O7" s="3475">
        <v>1996</v>
      </c>
      <c r="P7" s="3475"/>
      <c r="Q7" s="3475" t="s">
        <v>43</v>
      </c>
      <c r="R7" s="3475">
        <v>32360</v>
      </c>
      <c r="S7" s="3475">
        <v>28093</v>
      </c>
      <c r="T7" s="3475">
        <v>1558319</v>
      </c>
      <c r="U7" s="3478">
        <v>40960</v>
      </c>
    </row>
    <row r="8" spans="1:21" ht="34.799999999999997" thickBot="1">
      <c r="A8" s="3473">
        <v>97</v>
      </c>
      <c r="B8" s="3474" t="s">
        <v>3451</v>
      </c>
      <c r="C8" s="3479" t="s">
        <v>3493</v>
      </c>
      <c r="D8" s="3479" t="s">
        <v>3494</v>
      </c>
      <c r="E8" s="3479" t="s">
        <v>3468</v>
      </c>
      <c r="F8" s="3479" t="s">
        <v>3495</v>
      </c>
      <c r="G8" s="3479" t="s">
        <v>43</v>
      </c>
      <c r="H8" s="3479" t="s">
        <v>3496</v>
      </c>
      <c r="I8" s="3479" t="s">
        <v>3452</v>
      </c>
      <c r="J8" s="3479">
        <v>119.53</v>
      </c>
      <c r="K8" s="3479" t="s">
        <v>3387</v>
      </c>
      <c r="L8" s="3479" t="s">
        <v>3481</v>
      </c>
      <c r="M8" s="3479">
        <v>5</v>
      </c>
      <c r="N8" s="3479" t="s">
        <v>43</v>
      </c>
      <c r="O8" s="3479">
        <v>1997</v>
      </c>
      <c r="P8" s="3479"/>
      <c r="Q8" s="3479" t="s">
        <v>43</v>
      </c>
      <c r="R8" s="3479">
        <v>0</v>
      </c>
      <c r="S8" s="3479">
        <v>28791</v>
      </c>
      <c r="T8" s="3479">
        <v>3441388</v>
      </c>
      <c r="U8" s="3480">
        <v>40831</v>
      </c>
    </row>
    <row r="9" spans="1:21" ht="23.4" thickBot="1">
      <c r="A9" s="3475">
        <v>98</v>
      </c>
      <c r="B9" s="3476" t="s">
        <v>3451</v>
      </c>
      <c r="C9" s="3475" t="s">
        <v>3497</v>
      </c>
      <c r="D9" s="3475" t="s">
        <v>3498</v>
      </c>
      <c r="E9" s="3475" t="s">
        <v>3468</v>
      </c>
      <c r="F9" s="3475" t="s">
        <v>3499</v>
      </c>
      <c r="G9" s="3475" t="s">
        <v>43</v>
      </c>
      <c r="H9" s="3475" t="s">
        <v>3475</v>
      </c>
      <c r="I9" s="3475" t="s">
        <v>3471</v>
      </c>
      <c r="J9" s="3475">
        <v>64.48</v>
      </c>
      <c r="K9" s="3475" t="s">
        <v>3387</v>
      </c>
      <c r="L9" s="3475">
        <v>18</v>
      </c>
      <c r="M9" s="3475">
        <v>18</v>
      </c>
      <c r="N9" s="3475" t="s">
        <v>43</v>
      </c>
      <c r="O9" s="3475">
        <v>1996</v>
      </c>
      <c r="P9" s="3475"/>
      <c r="Q9" s="3475" t="s">
        <v>43</v>
      </c>
      <c r="R9" s="3475">
        <v>0</v>
      </c>
      <c r="S9" s="3475">
        <v>28026</v>
      </c>
      <c r="T9" s="3475">
        <v>1807116</v>
      </c>
      <c r="U9" s="3478">
        <v>40756</v>
      </c>
    </row>
    <row r="10" spans="1:21" ht="23.4" thickBot="1">
      <c r="A10" s="3473">
        <v>99</v>
      </c>
      <c r="B10" s="3474" t="s">
        <v>3451</v>
      </c>
      <c r="C10" s="3473" t="s">
        <v>3500</v>
      </c>
      <c r="D10" s="3473" t="s">
        <v>3501</v>
      </c>
      <c r="E10" s="3473" t="s">
        <v>3468</v>
      </c>
      <c r="F10" s="3473" t="s">
        <v>3502</v>
      </c>
      <c r="G10" s="3473" t="s">
        <v>43</v>
      </c>
      <c r="H10" s="3473" t="s">
        <v>3503</v>
      </c>
      <c r="I10" s="3473" t="s">
        <v>3504</v>
      </c>
      <c r="J10" s="3473">
        <v>185.6</v>
      </c>
      <c r="K10" s="3473" t="s">
        <v>3387</v>
      </c>
      <c r="L10" s="3473">
        <v>18</v>
      </c>
      <c r="M10" s="3473">
        <v>3</v>
      </c>
      <c r="N10" s="3473" t="s">
        <v>43</v>
      </c>
      <c r="O10" s="3473">
        <v>1995</v>
      </c>
      <c r="P10" s="3473"/>
      <c r="Q10" s="3473" t="s">
        <v>43</v>
      </c>
      <c r="R10" s="3473">
        <v>20313</v>
      </c>
      <c r="S10" s="3473">
        <v>18052</v>
      </c>
      <c r="T10" s="3473">
        <v>3350451</v>
      </c>
      <c r="U10" s="3477">
        <v>40162</v>
      </c>
    </row>
    <row r="11" spans="1:21" ht="23.4" thickBot="1">
      <c r="A11" s="3475">
        <v>100</v>
      </c>
      <c r="B11" s="3476" t="s">
        <v>3451</v>
      </c>
      <c r="C11" s="3475" t="s">
        <v>3505</v>
      </c>
      <c r="D11" s="3475" t="s">
        <v>3506</v>
      </c>
      <c r="E11" s="3475" t="s">
        <v>3468</v>
      </c>
      <c r="F11" s="3475" t="s">
        <v>3507</v>
      </c>
      <c r="G11" s="3475" t="s">
        <v>43</v>
      </c>
      <c r="H11" s="3475" t="s">
        <v>3475</v>
      </c>
      <c r="I11" s="3475" t="s">
        <v>3452</v>
      </c>
      <c r="J11" s="3475">
        <v>124.87</v>
      </c>
      <c r="K11" s="3475" t="s">
        <v>3387</v>
      </c>
      <c r="L11" s="3475">
        <v>14</v>
      </c>
      <c r="M11" s="3475">
        <v>6</v>
      </c>
      <c r="N11" s="3475" t="s">
        <v>43</v>
      </c>
      <c r="O11" s="3475">
        <v>1997</v>
      </c>
      <c r="P11" s="3475"/>
      <c r="Q11" s="3475" t="s">
        <v>43</v>
      </c>
      <c r="R11" s="3475">
        <v>19925</v>
      </c>
      <c r="S11" s="3475">
        <v>17266</v>
      </c>
      <c r="T11" s="3475">
        <v>2156005</v>
      </c>
      <c r="U11" s="3478">
        <v>40108</v>
      </c>
    </row>
    <row r="12" spans="1:21" ht="46.2" thickBot="1">
      <c r="A12" s="3473">
        <v>101</v>
      </c>
      <c r="B12" s="3474" t="s">
        <v>3451</v>
      </c>
      <c r="C12" s="3473" t="s">
        <v>3508</v>
      </c>
      <c r="D12" s="3473" t="s">
        <v>3509</v>
      </c>
      <c r="E12" s="3473" t="s">
        <v>3468</v>
      </c>
      <c r="F12" s="3473" t="s">
        <v>3510</v>
      </c>
      <c r="G12" s="3473" t="s">
        <v>43</v>
      </c>
      <c r="H12" s="3473" t="s">
        <v>3511</v>
      </c>
      <c r="I12" s="3473" t="s">
        <v>3512</v>
      </c>
      <c r="J12" s="3473">
        <v>50.1</v>
      </c>
      <c r="K12" s="3473" t="s">
        <v>3387</v>
      </c>
      <c r="L12" s="3473">
        <v>18</v>
      </c>
      <c r="M12" s="3473">
        <v>12</v>
      </c>
      <c r="N12" s="3473" t="s">
        <v>43</v>
      </c>
      <c r="O12" s="3473">
        <v>1990</v>
      </c>
      <c r="P12" s="3473"/>
      <c r="Q12" s="3473" t="s">
        <v>43</v>
      </c>
      <c r="R12" s="3473">
        <v>15070</v>
      </c>
      <c r="S12" s="3473">
        <v>13551</v>
      </c>
      <c r="T12" s="3473">
        <v>678905</v>
      </c>
      <c r="U12" s="3477">
        <v>39435</v>
      </c>
    </row>
    <row r="13" spans="1:21" ht="23.4" thickBot="1">
      <c r="A13" s="3475">
        <v>102</v>
      </c>
      <c r="B13" s="3476" t="s">
        <v>3451</v>
      </c>
      <c r="C13" s="3475" t="s">
        <v>3513</v>
      </c>
      <c r="D13" s="3475" t="s">
        <v>3514</v>
      </c>
      <c r="E13" s="3475" t="s">
        <v>3468</v>
      </c>
      <c r="F13" s="3475" t="s">
        <v>3515</v>
      </c>
      <c r="G13" s="3475" t="s">
        <v>43</v>
      </c>
      <c r="H13" s="3475" t="s">
        <v>3516</v>
      </c>
      <c r="I13" s="3475" t="s">
        <v>3452</v>
      </c>
      <c r="J13" s="3475">
        <v>225.92</v>
      </c>
      <c r="K13" s="3475" t="s">
        <v>3387</v>
      </c>
      <c r="L13" s="3475" t="s">
        <v>3517</v>
      </c>
      <c r="M13" s="3475">
        <v>10</v>
      </c>
      <c r="N13" s="3475" t="s">
        <v>43</v>
      </c>
      <c r="O13" s="3475">
        <v>1997</v>
      </c>
      <c r="P13" s="3475"/>
      <c r="Q13" s="3475" t="s">
        <v>43</v>
      </c>
      <c r="R13" s="3475">
        <v>0</v>
      </c>
      <c r="S13" s="3475">
        <v>12019</v>
      </c>
      <c r="T13" s="3475">
        <v>2715332</v>
      </c>
      <c r="U13" s="3478">
        <v>39330</v>
      </c>
    </row>
    <row r="14" spans="1:21" ht="34.799999999999997" thickBot="1">
      <c r="A14" s="3482">
        <v>74</v>
      </c>
      <c r="B14" s="3483" t="s">
        <v>3451</v>
      </c>
      <c r="C14" s="3482" t="s">
        <v>3518</v>
      </c>
      <c r="D14" s="3482" t="s">
        <v>3519</v>
      </c>
      <c r="E14" s="3482" t="s">
        <v>3468</v>
      </c>
      <c r="F14" s="3482" t="s">
        <v>3757</v>
      </c>
      <c r="G14" s="3482" t="s">
        <v>43</v>
      </c>
      <c r="H14" s="3482" t="s">
        <v>3520</v>
      </c>
      <c r="I14" s="3482" t="s">
        <v>3521</v>
      </c>
      <c r="J14" s="3482">
        <v>56.01</v>
      </c>
      <c r="K14" s="3482" t="s">
        <v>3387</v>
      </c>
      <c r="L14" s="3482" t="s">
        <v>3522</v>
      </c>
      <c r="M14" s="3482"/>
      <c r="N14" s="3482" t="s">
        <v>43</v>
      </c>
      <c r="O14" s="3482">
        <v>2006</v>
      </c>
      <c r="P14" s="3482" t="s">
        <v>43</v>
      </c>
      <c r="Q14" s="3482" t="s">
        <v>43</v>
      </c>
      <c r="R14" s="3482">
        <v>0</v>
      </c>
      <c r="S14" s="3482">
        <v>41126</v>
      </c>
      <c r="T14" s="3482">
        <v>2303467</v>
      </c>
      <c r="U14" s="3484">
        <v>41339</v>
      </c>
    </row>
    <row r="15" spans="1:21" ht="34.799999999999997" thickBot="1">
      <c r="A15" s="3473">
        <v>75</v>
      </c>
      <c r="B15" s="3474" t="s">
        <v>3451</v>
      </c>
      <c r="C15" s="3473" t="s">
        <v>3523</v>
      </c>
      <c r="D15" s="3473" t="s">
        <v>3524</v>
      </c>
      <c r="E15" s="3473" t="s">
        <v>3468</v>
      </c>
      <c r="F15" s="3473" t="s">
        <v>3525</v>
      </c>
      <c r="G15" s="3473" t="s">
        <v>43</v>
      </c>
      <c r="H15" s="3473" t="s">
        <v>3475</v>
      </c>
      <c r="I15" s="3473" t="s">
        <v>3452</v>
      </c>
      <c r="J15" s="3473">
        <v>85.07</v>
      </c>
      <c r="K15" s="3473" t="s">
        <v>3387</v>
      </c>
      <c r="L15" s="3473">
        <v>18</v>
      </c>
      <c r="M15" s="3473">
        <v>2</v>
      </c>
      <c r="N15" s="3473" t="s">
        <v>43</v>
      </c>
      <c r="O15" s="3473">
        <v>2005</v>
      </c>
      <c r="P15" s="3473"/>
      <c r="Q15" s="3473" t="s">
        <v>43</v>
      </c>
      <c r="R15" s="3473">
        <v>0</v>
      </c>
      <c r="S15" s="3473">
        <v>37526</v>
      </c>
      <c r="T15" s="3473">
        <v>3192337</v>
      </c>
      <c r="U15" s="3477">
        <v>41268</v>
      </c>
    </row>
    <row r="16" spans="1:21" ht="34.799999999999997" thickBot="1">
      <c r="A16" s="3482">
        <v>272</v>
      </c>
      <c r="B16" s="3483" t="s">
        <v>3451</v>
      </c>
      <c r="C16" s="3482" t="s">
        <v>3526</v>
      </c>
      <c r="D16" s="3482" t="s">
        <v>3527</v>
      </c>
      <c r="E16" s="3482" t="s">
        <v>3468</v>
      </c>
      <c r="F16" s="3482" t="s">
        <v>3528</v>
      </c>
      <c r="G16" s="3482" t="s">
        <v>3529</v>
      </c>
      <c r="H16" s="3482" t="s">
        <v>3530</v>
      </c>
      <c r="I16" s="3482" t="s">
        <v>3452</v>
      </c>
      <c r="J16" s="3482">
        <v>144.35</v>
      </c>
      <c r="K16" s="3482" t="s">
        <v>3387</v>
      </c>
      <c r="L16" s="3482" t="s">
        <v>3458</v>
      </c>
      <c r="M16" s="3482"/>
      <c r="N16" s="3482">
        <v>2005</v>
      </c>
      <c r="O16" s="3482" t="s">
        <v>43</v>
      </c>
      <c r="P16" s="3482" t="s">
        <v>43</v>
      </c>
      <c r="Q16" s="3482" t="s">
        <v>43</v>
      </c>
      <c r="R16" s="3482">
        <v>0</v>
      </c>
      <c r="S16" s="3482">
        <v>48068</v>
      </c>
      <c r="T16" s="3482">
        <v>6938616</v>
      </c>
      <c r="U16" s="3484">
        <v>41407</v>
      </c>
    </row>
    <row r="17" spans="1:75" ht="34.799999999999997" thickBot="1">
      <c r="A17" s="3473">
        <v>273</v>
      </c>
      <c r="B17" s="3474" t="s">
        <v>3451</v>
      </c>
      <c r="C17" s="3473" t="s">
        <v>3531</v>
      </c>
      <c r="D17" s="3473" t="s">
        <v>3532</v>
      </c>
      <c r="E17" s="3473" t="s">
        <v>3468</v>
      </c>
      <c r="F17" s="3473" t="s">
        <v>3533</v>
      </c>
      <c r="G17" s="3473" t="s">
        <v>3529</v>
      </c>
      <c r="H17" s="3473" t="s">
        <v>3530</v>
      </c>
      <c r="I17" s="3473" t="s">
        <v>3452</v>
      </c>
      <c r="J17" s="3473">
        <v>64.78</v>
      </c>
      <c r="K17" s="3473" t="s">
        <v>3387</v>
      </c>
      <c r="L17" s="3473" t="s">
        <v>3534</v>
      </c>
      <c r="M17" s="3473"/>
      <c r="N17" s="3473">
        <v>2005</v>
      </c>
      <c r="O17" s="3473" t="s">
        <v>43</v>
      </c>
      <c r="P17" s="3473" t="s">
        <v>43</v>
      </c>
      <c r="Q17" s="3473" t="s">
        <v>43</v>
      </c>
      <c r="R17" s="3473">
        <v>0</v>
      </c>
      <c r="S17" s="3473">
        <v>46410</v>
      </c>
      <c r="T17" s="3473">
        <v>3006440</v>
      </c>
      <c r="U17" s="3477">
        <v>41404</v>
      </c>
    </row>
    <row r="18" spans="1:75" ht="23.4" thickBot="1">
      <c r="A18" s="3475">
        <v>274</v>
      </c>
      <c r="B18" s="3476" t="s">
        <v>3451</v>
      </c>
      <c r="C18" s="3475" t="s">
        <v>3535</v>
      </c>
      <c r="D18" s="3475" t="s">
        <v>3536</v>
      </c>
      <c r="E18" s="3475" t="s">
        <v>3468</v>
      </c>
      <c r="F18" s="3475" t="s">
        <v>3537</v>
      </c>
      <c r="G18" s="3475" t="s">
        <v>3529</v>
      </c>
      <c r="H18" s="3475" t="s">
        <v>3538</v>
      </c>
      <c r="I18" s="3475" t="s">
        <v>3452</v>
      </c>
      <c r="J18" s="3475">
        <v>96.2</v>
      </c>
      <c r="K18" s="3475" t="s">
        <v>3387</v>
      </c>
      <c r="L18" s="3475" t="s">
        <v>3539</v>
      </c>
      <c r="M18" s="3475"/>
      <c r="N18" s="3475">
        <v>2005</v>
      </c>
      <c r="O18" s="3475" t="s">
        <v>43</v>
      </c>
      <c r="P18" s="3475" t="s">
        <v>43</v>
      </c>
      <c r="Q18" s="3475" t="s">
        <v>43</v>
      </c>
      <c r="R18" s="3475">
        <v>0</v>
      </c>
      <c r="S18" s="3475">
        <v>43907</v>
      </c>
      <c r="T18" s="3475">
        <v>4223853</v>
      </c>
      <c r="U18" s="3478">
        <v>41348</v>
      </c>
    </row>
    <row r="19" spans="1:75" ht="23.4" thickBot="1">
      <c r="A19" s="3473">
        <v>275</v>
      </c>
      <c r="B19" s="3474" t="s">
        <v>3451</v>
      </c>
      <c r="C19" s="3473" t="s">
        <v>3540</v>
      </c>
      <c r="D19" s="3473" t="s">
        <v>3541</v>
      </c>
      <c r="E19" s="3473" t="s">
        <v>3468</v>
      </c>
      <c r="F19" s="3473" t="s">
        <v>3542</v>
      </c>
      <c r="G19" s="3473" t="s">
        <v>3543</v>
      </c>
      <c r="H19" s="3473" t="s">
        <v>3520</v>
      </c>
      <c r="I19" s="3473" t="s">
        <v>3452</v>
      </c>
      <c r="J19" s="3473">
        <v>121.4</v>
      </c>
      <c r="K19" s="3473" t="s">
        <v>3387</v>
      </c>
      <c r="L19" s="3473" t="s">
        <v>3544</v>
      </c>
      <c r="M19" s="3473"/>
      <c r="N19" s="3473" t="s">
        <v>43</v>
      </c>
      <c r="O19" s="3473">
        <v>2002</v>
      </c>
      <c r="P19" s="3473" t="s">
        <v>43</v>
      </c>
      <c r="Q19" s="3473" t="s">
        <v>43</v>
      </c>
      <c r="R19" s="3473">
        <v>0</v>
      </c>
      <c r="S19" s="3473">
        <v>41004</v>
      </c>
      <c r="T19" s="3473">
        <v>4977886</v>
      </c>
      <c r="U19" s="3477">
        <v>41345</v>
      </c>
    </row>
    <row r="20" spans="1:75" ht="23.4" thickBot="1">
      <c r="A20" s="3485">
        <v>276</v>
      </c>
      <c r="B20" s="3486" t="s">
        <v>3451</v>
      </c>
      <c r="C20" s="3485" t="s">
        <v>3545</v>
      </c>
      <c r="D20" s="3485" t="s">
        <v>3546</v>
      </c>
      <c r="E20" s="3485" t="s">
        <v>3468</v>
      </c>
      <c r="F20" s="3485" t="s">
        <v>3547</v>
      </c>
      <c r="G20" s="3485" t="s">
        <v>43</v>
      </c>
      <c r="H20" s="3485" t="s">
        <v>3520</v>
      </c>
      <c r="I20" s="3485" t="s">
        <v>3471</v>
      </c>
      <c r="J20" s="3485">
        <v>41.73</v>
      </c>
      <c r="K20" s="3485" t="s">
        <v>3387</v>
      </c>
      <c r="L20" s="3485">
        <v>6</v>
      </c>
      <c r="M20" s="3485"/>
      <c r="N20" s="3485" t="s">
        <v>43</v>
      </c>
      <c r="O20" s="3485">
        <v>1988</v>
      </c>
      <c r="P20" s="3485" t="s">
        <v>43</v>
      </c>
      <c r="Q20" s="3485" t="s">
        <v>43</v>
      </c>
      <c r="R20" s="3485">
        <v>52241</v>
      </c>
      <c r="S20" s="3485">
        <v>43560</v>
      </c>
      <c r="T20" s="3485">
        <v>1817759</v>
      </c>
      <c r="U20" s="3487">
        <v>41339</v>
      </c>
    </row>
    <row r="21" spans="1:75" ht="34.799999999999997" thickBot="1">
      <c r="A21" s="3473">
        <v>277</v>
      </c>
      <c r="B21" s="3474" t="s">
        <v>3451</v>
      </c>
      <c r="C21" s="3473" t="s">
        <v>3548</v>
      </c>
      <c r="D21" s="3473" t="s">
        <v>3549</v>
      </c>
      <c r="E21" s="3473" t="s">
        <v>3468</v>
      </c>
      <c r="F21" s="3473" t="s">
        <v>3550</v>
      </c>
      <c r="G21" s="3473" t="s">
        <v>3529</v>
      </c>
      <c r="H21" s="3473" t="s">
        <v>3551</v>
      </c>
      <c r="I21" s="3473" t="s">
        <v>3452</v>
      </c>
      <c r="J21" s="3473">
        <v>99.27</v>
      </c>
      <c r="K21" s="3473" t="s">
        <v>3387</v>
      </c>
      <c r="L21" s="3473" t="s">
        <v>3534</v>
      </c>
      <c r="M21" s="3473"/>
      <c r="N21" s="3473">
        <v>2005</v>
      </c>
      <c r="O21" s="3473" t="s">
        <v>43</v>
      </c>
      <c r="P21" s="3473" t="s">
        <v>43</v>
      </c>
      <c r="Q21" s="3473" t="s">
        <v>43</v>
      </c>
      <c r="R21" s="3473">
        <v>0</v>
      </c>
      <c r="S21" s="3473">
        <v>44065</v>
      </c>
      <c r="T21" s="3473">
        <v>4374333</v>
      </c>
      <c r="U21" s="3477">
        <v>41331</v>
      </c>
    </row>
    <row r="22" spans="1:75" ht="23.4" thickBot="1">
      <c r="A22" s="3475">
        <v>278</v>
      </c>
      <c r="B22" s="3476" t="s">
        <v>3451</v>
      </c>
      <c r="C22" s="3475" t="s">
        <v>3552</v>
      </c>
      <c r="D22" s="3475" t="s">
        <v>3553</v>
      </c>
      <c r="E22" s="3475" t="s">
        <v>3468</v>
      </c>
      <c r="F22" s="3475" t="s">
        <v>3554</v>
      </c>
      <c r="G22" s="3475" t="s">
        <v>43</v>
      </c>
      <c r="H22" s="3475" t="s">
        <v>3480</v>
      </c>
      <c r="I22" s="3475" t="s">
        <v>3452</v>
      </c>
      <c r="J22" s="3475">
        <v>60.83</v>
      </c>
      <c r="K22" s="3475" t="s">
        <v>3387</v>
      </c>
      <c r="L22" s="3475">
        <v>6</v>
      </c>
      <c r="M22" s="3475"/>
      <c r="N22" s="3475" t="s">
        <v>43</v>
      </c>
      <c r="O22" s="3475">
        <v>1990</v>
      </c>
      <c r="P22" s="3475" t="s">
        <v>43</v>
      </c>
      <c r="Q22" s="3475" t="s">
        <v>43</v>
      </c>
      <c r="R22" s="3475">
        <v>0</v>
      </c>
      <c r="S22" s="3475">
        <v>40557</v>
      </c>
      <c r="T22" s="3475">
        <v>2467082</v>
      </c>
      <c r="U22" s="3478">
        <v>41292</v>
      </c>
    </row>
    <row r="24" spans="1:75" s="3855" customFormat="1" ht="14.25" customHeight="1">
      <c r="A24" s="3833"/>
      <c r="B24" s="3834"/>
      <c r="C24" s="3835"/>
      <c r="D24" s="3835"/>
      <c r="E24" s="3835"/>
      <c r="F24" s="3835"/>
      <c r="G24" s="3835"/>
      <c r="H24" s="3835"/>
      <c r="I24" s="3835"/>
      <c r="J24" s="3835"/>
      <c r="K24" s="3836"/>
      <c r="L24" s="3837"/>
      <c r="M24" s="3836"/>
      <c r="N24" s="3838"/>
      <c r="O24" s="3837"/>
      <c r="P24" s="3838"/>
      <c r="Q24" s="3837"/>
      <c r="R24" s="3837"/>
      <c r="S24" s="3837"/>
      <c r="T24" s="3839"/>
      <c r="U24" s="3837"/>
      <c r="V24" s="3837" t="s">
        <v>3555</v>
      </c>
      <c r="W24" s="3837"/>
      <c r="X24" s="3839"/>
      <c r="Y24" s="3837"/>
      <c r="Z24" s="3837" t="s">
        <v>3556</v>
      </c>
      <c r="AA24" s="3837"/>
      <c r="AB24" s="3837"/>
      <c r="AC24" s="3838"/>
      <c r="AD24" s="3840"/>
      <c r="AE24" s="3838"/>
      <c r="AF24" s="3834"/>
      <c r="AG24" s="3834"/>
      <c r="AH24" s="3841"/>
      <c r="AI24" s="3834"/>
      <c r="AJ24" s="3842"/>
      <c r="AK24" s="3834"/>
      <c r="AL24" s="3843"/>
      <c r="AM24" s="3844"/>
      <c r="AN24" s="3845" t="s">
        <v>3557</v>
      </c>
      <c r="AO24" s="3845" t="s">
        <v>3558</v>
      </c>
      <c r="AP24" s="3845"/>
      <c r="AQ24" s="3845"/>
      <c r="AR24" s="3846"/>
      <c r="AS24" s="3846" t="s">
        <v>3559</v>
      </c>
      <c r="AT24" s="3846"/>
      <c r="AU24" s="3846"/>
      <c r="AV24" s="3845"/>
      <c r="AW24" s="3847"/>
      <c r="AX24" s="3847"/>
      <c r="AY24" s="3848"/>
      <c r="AZ24" s="3847"/>
      <c r="BA24" s="3847"/>
      <c r="BB24" s="3848"/>
      <c r="BC24" s="3847"/>
      <c r="BD24" s="3849"/>
      <c r="BE24" s="3847"/>
      <c r="BF24" s="3850"/>
      <c r="BG24" s="3851"/>
      <c r="BH24" s="3847"/>
      <c r="BI24" s="3847"/>
      <c r="BJ24" s="3852" t="s">
        <v>3560</v>
      </c>
      <c r="BK24" s="3853" t="s">
        <v>3561</v>
      </c>
      <c r="BL24" s="3836"/>
      <c r="BM24" s="3854"/>
      <c r="BN24" s="3854"/>
      <c r="BO24" s="3854"/>
      <c r="BP24" s="3854"/>
      <c r="BQ24" s="3846"/>
      <c r="BR24" s="3846"/>
      <c r="BU24" s="3856"/>
      <c r="BV24" s="3856"/>
      <c r="BW24" s="3856"/>
    </row>
    <row r="25" spans="1:75" s="3868" customFormat="1" ht="15.6">
      <c r="A25" s="3857" t="s">
        <v>2644</v>
      </c>
      <c r="B25" s="3845" t="s">
        <v>3562</v>
      </c>
      <c r="C25" s="3857" t="s">
        <v>3563</v>
      </c>
      <c r="D25" s="3857" t="s">
        <v>3564</v>
      </c>
      <c r="E25" s="3857" t="s">
        <v>3565</v>
      </c>
      <c r="F25" s="3857" t="s">
        <v>3566</v>
      </c>
      <c r="G25" s="3857" t="s">
        <v>3567</v>
      </c>
      <c r="H25" s="3857" t="s">
        <v>3568</v>
      </c>
      <c r="I25" s="3857" t="s">
        <v>3569</v>
      </c>
      <c r="J25" s="3857" t="s">
        <v>3570</v>
      </c>
      <c r="K25" s="3845" t="s">
        <v>3571</v>
      </c>
      <c r="L25" s="3858" t="s">
        <v>3572</v>
      </c>
      <c r="M25" s="3859" t="s">
        <v>3573</v>
      </c>
      <c r="N25" s="3845" t="s">
        <v>3574</v>
      </c>
      <c r="O25" s="3845" t="s">
        <v>3575</v>
      </c>
      <c r="P25" s="3845" t="s">
        <v>3576</v>
      </c>
      <c r="Q25" s="3858" t="s">
        <v>3577</v>
      </c>
      <c r="R25" s="3858" t="s">
        <v>3578</v>
      </c>
      <c r="S25" s="3858" t="s">
        <v>3579</v>
      </c>
      <c r="T25" s="3860" t="s">
        <v>3580</v>
      </c>
      <c r="U25" s="3858" t="s">
        <v>3581</v>
      </c>
      <c r="V25" s="3858" t="s">
        <v>3582</v>
      </c>
      <c r="W25" s="3858" t="s">
        <v>3583</v>
      </c>
      <c r="X25" s="3860" t="s">
        <v>3584</v>
      </c>
      <c r="Y25" s="3858" t="s">
        <v>3585</v>
      </c>
      <c r="Z25" s="3858" t="s">
        <v>3586</v>
      </c>
      <c r="AA25" s="3858" t="s">
        <v>3587</v>
      </c>
      <c r="AB25" s="3858" t="s">
        <v>3588</v>
      </c>
      <c r="AC25" s="3845" t="s">
        <v>3589</v>
      </c>
      <c r="AD25" s="3843" t="s">
        <v>3590</v>
      </c>
      <c r="AE25" s="3845" t="s">
        <v>3591</v>
      </c>
      <c r="AF25" s="3845" t="s">
        <v>3592</v>
      </c>
      <c r="AG25" s="3845" t="s">
        <v>3593</v>
      </c>
      <c r="AH25" s="3845" t="s">
        <v>3594</v>
      </c>
      <c r="AI25" s="3845" t="s">
        <v>3595</v>
      </c>
      <c r="AJ25" s="3861" t="s">
        <v>3596</v>
      </c>
      <c r="AK25" s="3845" t="s">
        <v>3597</v>
      </c>
      <c r="AL25" s="3843" t="s">
        <v>3598</v>
      </c>
      <c r="AM25" s="3844" t="s">
        <v>3599</v>
      </c>
      <c r="AN25" s="3845" t="s">
        <v>3600</v>
      </c>
      <c r="AO25" s="3845" t="s">
        <v>3601</v>
      </c>
      <c r="AP25" s="3845" t="s">
        <v>3602</v>
      </c>
      <c r="AQ25" s="3845" t="s">
        <v>3603</v>
      </c>
      <c r="AR25" s="3846" t="s">
        <v>3604</v>
      </c>
      <c r="AS25" s="3846" t="s">
        <v>3586</v>
      </c>
      <c r="AT25" s="3846" t="s">
        <v>3587</v>
      </c>
      <c r="AU25" s="3846" t="s">
        <v>3605</v>
      </c>
      <c r="AV25" s="3843" t="s">
        <v>3606</v>
      </c>
      <c r="AW25" s="3862" t="s">
        <v>3607</v>
      </c>
      <c r="AX25" s="3863" t="s">
        <v>3608</v>
      </c>
      <c r="AY25" s="3864" t="s">
        <v>3609</v>
      </c>
      <c r="AZ25" s="3862" t="s">
        <v>3610</v>
      </c>
      <c r="BA25" s="3862" t="s">
        <v>3611</v>
      </c>
      <c r="BB25" s="3864" t="s">
        <v>3612</v>
      </c>
      <c r="BC25" s="3862" t="s">
        <v>3613</v>
      </c>
      <c r="BD25" s="3865" t="s">
        <v>3614</v>
      </c>
      <c r="BE25" s="3862" t="s">
        <v>3615</v>
      </c>
      <c r="BF25" s="3866" t="s">
        <v>3616</v>
      </c>
      <c r="BG25" s="3867" t="s">
        <v>3617</v>
      </c>
      <c r="BH25" s="3867" t="s">
        <v>3618</v>
      </c>
      <c r="BI25" s="3867" t="s">
        <v>3619</v>
      </c>
      <c r="BJ25" s="3852" t="s">
        <v>3620</v>
      </c>
      <c r="BK25" s="3853" t="s">
        <v>3621</v>
      </c>
      <c r="BL25" s="3846" t="s">
        <v>3622</v>
      </c>
      <c r="BM25" s="3854" t="s">
        <v>3623</v>
      </c>
      <c r="BN25" s="3854" t="s">
        <v>3624</v>
      </c>
      <c r="BO25" s="3854" t="s">
        <v>3625</v>
      </c>
      <c r="BP25" s="3854"/>
      <c r="BQ25" s="3846" t="s">
        <v>3626</v>
      </c>
      <c r="BR25" s="3846" t="s">
        <v>3627</v>
      </c>
      <c r="BU25" s="3869"/>
      <c r="BV25" s="3869"/>
      <c r="BW25" s="3869"/>
    </row>
    <row r="26" spans="1:75" s="3952" customFormat="1" ht="12" customHeight="1">
      <c r="A26" s="3924" t="s">
        <v>3833</v>
      </c>
      <c r="B26" s="3924" t="s">
        <v>3628</v>
      </c>
      <c r="C26" s="3925" t="s">
        <v>3629</v>
      </c>
      <c r="D26" s="3925" t="s">
        <v>3630</v>
      </c>
      <c r="E26" s="3924" t="s">
        <v>3631</v>
      </c>
      <c r="F26" s="3926" t="s">
        <v>3632</v>
      </c>
      <c r="G26" s="3924"/>
      <c r="H26" s="3924" t="s">
        <v>3633</v>
      </c>
      <c r="I26" s="3926"/>
      <c r="J26" s="3927" t="s">
        <v>3634</v>
      </c>
      <c r="K26" s="3924" t="s">
        <v>3635</v>
      </c>
      <c r="L26" s="3928">
        <v>80.47</v>
      </c>
      <c r="M26" s="3925" t="s">
        <v>3636</v>
      </c>
      <c r="N26" s="3924" t="s">
        <v>3637</v>
      </c>
      <c r="O26" s="3924"/>
      <c r="P26" s="3924" t="s">
        <v>3638</v>
      </c>
      <c r="Q26" s="3929">
        <v>2000000</v>
      </c>
      <c r="R26" s="3928">
        <v>24854</v>
      </c>
      <c r="S26" s="3930">
        <v>377.99</v>
      </c>
      <c r="T26" s="3931">
        <v>3779900</v>
      </c>
      <c r="U26" s="3928">
        <v>46973</v>
      </c>
      <c r="V26" s="3932">
        <v>0.2</v>
      </c>
      <c r="W26" s="3933">
        <v>302.39</v>
      </c>
      <c r="X26" s="3931">
        <v>3023900</v>
      </c>
      <c r="Y26" s="3928">
        <v>2013</v>
      </c>
      <c r="Z26" s="3934">
        <v>4</v>
      </c>
      <c r="AA26" s="3934">
        <v>7</v>
      </c>
      <c r="AB26" s="3928">
        <v>1500</v>
      </c>
      <c r="AC26" s="3924" t="s">
        <v>3639</v>
      </c>
      <c r="AD26" s="3935"/>
      <c r="AE26" s="3924" t="s">
        <v>3640</v>
      </c>
      <c r="AF26" s="3924" t="s">
        <v>3641</v>
      </c>
      <c r="AG26" s="3936" t="s">
        <v>3642</v>
      </c>
      <c r="AH26" s="3937">
        <v>52193</v>
      </c>
      <c r="AI26" s="3936" t="s">
        <v>3643</v>
      </c>
      <c r="AJ26" s="3938"/>
      <c r="AK26" s="3939" t="s">
        <v>3644</v>
      </c>
      <c r="AL26" s="3928">
        <v>43</v>
      </c>
      <c r="AM26" s="3924"/>
      <c r="AN26" s="3924"/>
      <c r="AO26" s="3924"/>
      <c r="AP26" s="3924" t="s">
        <v>3645</v>
      </c>
      <c r="AQ26" s="3924" t="s">
        <v>3646</v>
      </c>
      <c r="AR26" s="3924"/>
      <c r="AS26" s="3924"/>
      <c r="AT26" s="3924"/>
      <c r="AU26" s="3940"/>
      <c r="AV26" s="3940" t="s">
        <v>3647</v>
      </c>
      <c r="AW26" s="3940" t="s">
        <v>3648</v>
      </c>
      <c r="AX26" s="3940" t="s">
        <v>3649</v>
      </c>
      <c r="AY26" s="3941" t="s">
        <v>3650</v>
      </c>
      <c r="AZ26" s="3924" t="s">
        <v>3635</v>
      </c>
      <c r="BA26" s="3942"/>
      <c r="BB26" s="3943"/>
      <c r="BC26" s="3940"/>
      <c r="BD26" s="3944"/>
      <c r="BE26" s="3940"/>
      <c r="BF26" s="3945"/>
      <c r="BG26" s="3946">
        <v>41361</v>
      </c>
      <c r="BH26" s="3924"/>
      <c r="BI26" s="3947" t="s">
        <v>3651</v>
      </c>
      <c r="BJ26" s="3948"/>
      <c r="BK26" s="3949"/>
      <c r="BL26" s="3940" t="s">
        <v>3652</v>
      </c>
      <c r="BM26" s="3924"/>
      <c r="BN26" s="3924"/>
      <c r="BO26" s="3924"/>
      <c r="BP26" s="3940"/>
      <c r="BQ26" s="3940" t="e">
        <v>#DIV/0!</v>
      </c>
      <c r="BR26" s="3940" t="e">
        <v>#DIV/0!</v>
      </c>
      <c r="BS26" s="3950" t="s">
        <v>3651</v>
      </c>
      <c r="BT26" s="3950" t="s">
        <v>3653</v>
      </c>
      <c r="BU26" s="3951"/>
    </row>
    <row r="27" spans="1:75" s="3893" customFormat="1" ht="12" customHeight="1">
      <c r="A27" s="3870" t="s">
        <v>3654</v>
      </c>
      <c r="B27" s="3870" t="s">
        <v>3655</v>
      </c>
      <c r="C27" s="3872" t="s">
        <v>3656</v>
      </c>
      <c r="D27" s="3872" t="s">
        <v>3657</v>
      </c>
      <c r="E27" s="3870" t="s">
        <v>3658</v>
      </c>
      <c r="F27" s="3870" t="s">
        <v>3659</v>
      </c>
      <c r="G27" s="3870"/>
      <c r="H27" s="3870" t="s">
        <v>3660</v>
      </c>
      <c r="I27" s="3870" t="s">
        <v>3661</v>
      </c>
      <c r="J27" s="3871" t="s">
        <v>3662</v>
      </c>
      <c r="K27" s="3870" t="s">
        <v>3663</v>
      </c>
      <c r="L27" s="3873">
        <v>68.63</v>
      </c>
      <c r="M27" s="3870">
        <v>4</v>
      </c>
      <c r="N27" s="3870" t="s">
        <v>3664</v>
      </c>
      <c r="O27" s="3870"/>
      <c r="P27" s="3870" t="s">
        <v>3638</v>
      </c>
      <c r="Q27" s="3874">
        <v>1400000</v>
      </c>
      <c r="R27" s="3873">
        <v>20399</v>
      </c>
      <c r="S27" s="3875">
        <v>281.25</v>
      </c>
      <c r="T27" s="3876">
        <v>2812500</v>
      </c>
      <c r="U27" s="3873">
        <v>40982</v>
      </c>
      <c r="V27" s="3877">
        <v>0.2</v>
      </c>
      <c r="W27" s="3878">
        <v>225</v>
      </c>
      <c r="X27" s="3876">
        <v>2250000</v>
      </c>
      <c r="Y27" s="3879">
        <v>2013</v>
      </c>
      <c r="Z27" s="3879">
        <v>3</v>
      </c>
      <c r="AA27" s="3873">
        <v>13</v>
      </c>
      <c r="AB27" s="3873">
        <v>1500</v>
      </c>
      <c r="AC27" s="3870" t="s">
        <v>3665</v>
      </c>
      <c r="AD27" s="3872"/>
      <c r="AE27" s="3870" t="s">
        <v>3666</v>
      </c>
      <c r="AF27" s="3870" t="s">
        <v>3667</v>
      </c>
      <c r="AG27" s="3870" t="s">
        <v>3642</v>
      </c>
      <c r="AH27" s="3870">
        <v>20399</v>
      </c>
      <c r="AI27" s="3870" t="s">
        <v>3668</v>
      </c>
      <c r="AJ27" s="3894"/>
      <c r="AK27" s="3883" t="s">
        <v>3669</v>
      </c>
      <c r="AL27" s="3870">
        <v>23</v>
      </c>
      <c r="AM27" s="3870"/>
      <c r="AN27" s="3880"/>
      <c r="AO27" s="3870"/>
      <c r="AP27" s="3870" t="s">
        <v>3670</v>
      </c>
      <c r="AQ27" s="3870" t="s">
        <v>3671</v>
      </c>
      <c r="AR27" s="3870"/>
      <c r="AS27" s="3870"/>
      <c r="AT27" s="3870"/>
      <c r="AU27" s="3870"/>
      <c r="AV27" s="3870"/>
      <c r="AW27" s="3870" t="s">
        <v>3672</v>
      </c>
      <c r="AX27" s="3870" t="s">
        <v>3649</v>
      </c>
      <c r="AY27" s="3871" t="s">
        <v>3673</v>
      </c>
      <c r="AZ27" s="3870" t="s">
        <v>3674</v>
      </c>
      <c r="BA27" s="3870"/>
      <c r="BB27" s="3871" t="s">
        <v>3647</v>
      </c>
      <c r="BC27" s="3870" t="s">
        <v>3647</v>
      </c>
      <c r="BD27" s="3895"/>
      <c r="BE27" s="3870"/>
      <c r="BF27" s="3896"/>
      <c r="BG27" s="3894">
        <v>41297</v>
      </c>
      <c r="BH27" s="3870"/>
      <c r="BI27" s="3884" t="s">
        <v>3675</v>
      </c>
      <c r="BJ27" s="3890">
        <v>41325</v>
      </c>
      <c r="BK27" s="3894"/>
      <c r="BL27" s="3884" t="s">
        <v>3652</v>
      </c>
      <c r="BM27" s="3884" t="s">
        <v>3676</v>
      </c>
      <c r="BN27" s="3884" t="s">
        <v>3677</v>
      </c>
      <c r="BO27" s="3870" t="s">
        <v>3678</v>
      </c>
      <c r="BP27" s="3870"/>
      <c r="BQ27" s="3884" t="e">
        <v>#DIV/0!</v>
      </c>
      <c r="BR27" s="3884" t="e">
        <v>#DIV/0!</v>
      </c>
      <c r="BS27" s="3891" t="s">
        <v>3679</v>
      </c>
      <c r="BT27" s="3891" t="s">
        <v>3665</v>
      </c>
      <c r="BU27" s="3892"/>
    </row>
    <row r="28" spans="1:75" s="3892" customFormat="1" ht="12" customHeight="1">
      <c r="A28" s="3870" t="s">
        <v>3680</v>
      </c>
      <c r="B28" s="3870" t="s">
        <v>3681</v>
      </c>
      <c r="C28" s="3871" t="s">
        <v>3682</v>
      </c>
      <c r="D28" s="3871" t="s">
        <v>3683</v>
      </c>
      <c r="E28" s="3870" t="s">
        <v>3684</v>
      </c>
      <c r="F28" s="3870" t="s">
        <v>3685</v>
      </c>
      <c r="G28" s="3870"/>
      <c r="H28" s="3870" t="s">
        <v>3686</v>
      </c>
      <c r="I28" s="3870" t="s">
        <v>3687</v>
      </c>
      <c r="J28" s="3871" t="s">
        <v>3688</v>
      </c>
      <c r="K28" s="3870" t="s">
        <v>3689</v>
      </c>
      <c r="L28" s="3873">
        <v>47.56</v>
      </c>
      <c r="M28" s="3871" t="s">
        <v>3690</v>
      </c>
      <c r="N28" s="3870" t="s">
        <v>3691</v>
      </c>
      <c r="O28" s="3870"/>
      <c r="P28" s="3870" t="s">
        <v>3692</v>
      </c>
      <c r="Q28" s="3874">
        <v>1500000</v>
      </c>
      <c r="R28" s="3873">
        <v>31539</v>
      </c>
      <c r="S28" s="3875">
        <v>229.51</v>
      </c>
      <c r="T28" s="3876">
        <v>2295100</v>
      </c>
      <c r="U28" s="3873">
        <v>48257</v>
      </c>
      <c r="V28" s="3877">
        <v>0.2</v>
      </c>
      <c r="W28" s="3878">
        <v>183.6</v>
      </c>
      <c r="X28" s="3876">
        <v>1836000</v>
      </c>
      <c r="Y28" s="3879">
        <v>2013</v>
      </c>
      <c r="Z28" s="3879">
        <v>3</v>
      </c>
      <c r="AA28" s="3879">
        <v>25</v>
      </c>
      <c r="AB28" s="3873">
        <v>1500</v>
      </c>
      <c r="AC28" s="3870" t="s">
        <v>3693</v>
      </c>
      <c r="AD28" s="3881"/>
      <c r="AE28" s="3884" t="s">
        <v>3694</v>
      </c>
      <c r="AF28" s="3870" t="s">
        <v>3695</v>
      </c>
      <c r="AG28" s="3870" t="s">
        <v>3696</v>
      </c>
      <c r="AH28" s="3881"/>
      <c r="AI28" s="3870" t="s">
        <v>3697</v>
      </c>
      <c r="AJ28" s="3882"/>
      <c r="AK28" s="3883" t="s">
        <v>3698</v>
      </c>
      <c r="AL28" s="3884">
        <v>40</v>
      </c>
      <c r="AM28" s="3870"/>
      <c r="AN28" s="3884"/>
      <c r="AO28" s="3884"/>
      <c r="AP28" s="3884" t="s">
        <v>3699</v>
      </c>
      <c r="AQ28" s="3870" t="s">
        <v>3646</v>
      </c>
      <c r="AR28" s="3884"/>
      <c r="AS28" s="3884"/>
      <c r="AT28" s="3884"/>
      <c r="AU28" s="3884"/>
      <c r="AV28" s="3884"/>
      <c r="AW28" s="3884" t="s">
        <v>3648</v>
      </c>
      <c r="AX28" s="3884" t="s">
        <v>3700</v>
      </c>
      <c r="AY28" s="3886" t="s">
        <v>3701</v>
      </c>
      <c r="AZ28" s="3870" t="s">
        <v>3689</v>
      </c>
      <c r="BA28" s="3884"/>
      <c r="BB28" s="3886"/>
      <c r="BC28" s="3884"/>
      <c r="BD28" s="3887"/>
      <c r="BE28" s="3884"/>
      <c r="BF28" s="3888"/>
      <c r="BG28" s="3890">
        <v>41349</v>
      </c>
      <c r="BH28" s="3897"/>
      <c r="BI28" s="3884" t="s">
        <v>3702</v>
      </c>
      <c r="BJ28" s="3890"/>
      <c r="BK28" s="3890"/>
      <c r="BL28" s="3870" t="s">
        <v>3652</v>
      </c>
      <c r="BM28" s="3884"/>
      <c r="BN28" s="3884" t="s">
        <v>3677</v>
      </c>
      <c r="BO28" s="3884"/>
      <c r="BP28" s="3884"/>
      <c r="BQ28" s="3884" t="e">
        <v>#DIV/0!</v>
      </c>
      <c r="BR28" s="3884" t="e">
        <v>#DIV/0!</v>
      </c>
      <c r="BS28" s="3891" t="s">
        <v>3703</v>
      </c>
      <c r="BT28" s="3891" t="s">
        <v>3653</v>
      </c>
    </row>
    <row r="29" spans="1:75" s="3893" customFormat="1" ht="12" customHeight="1">
      <c r="A29" s="3870" t="s">
        <v>3704</v>
      </c>
      <c r="B29" s="3870" t="s">
        <v>3705</v>
      </c>
      <c r="C29" s="3871" t="s">
        <v>3706</v>
      </c>
      <c r="D29" s="3870">
        <v>13693166241</v>
      </c>
      <c r="E29" s="3870" t="s">
        <v>3684</v>
      </c>
      <c r="F29" s="3870" t="s">
        <v>3707</v>
      </c>
      <c r="G29" s="3870"/>
      <c r="H29" s="3870" t="s">
        <v>3708</v>
      </c>
      <c r="I29" s="3870" t="s">
        <v>3709</v>
      </c>
      <c r="J29" s="3870" t="s">
        <v>3710</v>
      </c>
      <c r="K29" s="3870" t="s">
        <v>3705</v>
      </c>
      <c r="L29" s="3873">
        <v>43.79</v>
      </c>
      <c r="M29" s="3870">
        <v>7</v>
      </c>
      <c r="N29" s="3870" t="s">
        <v>3711</v>
      </c>
      <c r="O29" s="3870"/>
      <c r="P29" s="3870" t="s">
        <v>3638</v>
      </c>
      <c r="Q29" s="3874">
        <v>1150000</v>
      </c>
      <c r="R29" s="3873">
        <v>26262</v>
      </c>
      <c r="S29" s="3875">
        <v>179.22</v>
      </c>
      <c r="T29" s="3876">
        <v>1792200</v>
      </c>
      <c r="U29" s="3873">
        <v>40928</v>
      </c>
      <c r="V29" s="3877">
        <v>0.2</v>
      </c>
      <c r="W29" s="3878">
        <v>143.37</v>
      </c>
      <c r="X29" s="3876">
        <v>1433700</v>
      </c>
      <c r="Y29" s="3873">
        <v>2013</v>
      </c>
      <c r="Z29" s="3879">
        <v>3</v>
      </c>
      <c r="AA29" s="3873">
        <v>15</v>
      </c>
      <c r="AB29" s="3873">
        <v>1500</v>
      </c>
      <c r="AC29" s="3870" t="s">
        <v>3712</v>
      </c>
      <c r="AD29" s="3870"/>
      <c r="AE29" s="3870" t="s">
        <v>3666</v>
      </c>
      <c r="AF29" s="3870" t="s">
        <v>3695</v>
      </c>
      <c r="AG29" s="3870" t="s">
        <v>3642</v>
      </c>
      <c r="AH29" s="3870">
        <v>47042</v>
      </c>
      <c r="AI29" s="3870" t="s">
        <v>3668</v>
      </c>
      <c r="AJ29" s="3870"/>
      <c r="AK29" s="3898" t="s">
        <v>3713</v>
      </c>
      <c r="AL29" s="3870">
        <v>40</v>
      </c>
      <c r="AM29" s="3870"/>
      <c r="AN29" s="3870" t="s">
        <v>3714</v>
      </c>
      <c r="AO29" s="3870"/>
      <c r="AP29" s="3870" t="s">
        <v>3715</v>
      </c>
      <c r="AQ29" s="3870" t="s">
        <v>3716</v>
      </c>
      <c r="AR29" s="3870"/>
      <c r="AS29" s="3870"/>
      <c r="AT29" s="3870"/>
      <c r="AU29" s="3870"/>
      <c r="AV29" s="3870"/>
      <c r="AW29" s="3870" t="s">
        <v>3648</v>
      </c>
      <c r="AX29" s="3871" t="s">
        <v>409</v>
      </c>
      <c r="AY29" s="3870">
        <v>700722</v>
      </c>
      <c r="AZ29" s="3870" t="s">
        <v>3717</v>
      </c>
      <c r="BA29" s="3870"/>
      <c r="BB29" s="3870"/>
      <c r="BC29" s="3870"/>
      <c r="BD29" s="3870"/>
      <c r="BE29" s="3870"/>
      <c r="BF29" s="3870"/>
      <c r="BG29" s="3899">
        <v>41305</v>
      </c>
      <c r="BH29" s="3870"/>
      <c r="BI29" s="3870" t="s">
        <v>3718</v>
      </c>
      <c r="BJ29" s="3899">
        <v>41309</v>
      </c>
      <c r="BK29" s="3899"/>
      <c r="BL29" s="3870" t="s">
        <v>3719</v>
      </c>
      <c r="BM29" s="3870" t="s">
        <v>3720</v>
      </c>
      <c r="BN29" s="3870" t="s">
        <v>3721</v>
      </c>
      <c r="BO29" s="3870" t="s">
        <v>3678</v>
      </c>
      <c r="BP29" s="3870"/>
      <c r="BQ29" s="3884" t="e">
        <v>#DIV/0!</v>
      </c>
      <c r="BR29" s="3884" t="e">
        <v>#DIV/0!</v>
      </c>
      <c r="BS29" s="3891" t="s">
        <v>3722</v>
      </c>
      <c r="BT29" s="3891" t="s">
        <v>3665</v>
      </c>
      <c r="BU29" s="3892"/>
    </row>
    <row r="30" spans="1:75" s="3903" customFormat="1" ht="12" customHeight="1">
      <c r="A30" s="3889" t="s">
        <v>3723</v>
      </c>
      <c r="B30" s="3889" t="s">
        <v>3724</v>
      </c>
      <c r="C30" s="3900" t="s">
        <v>3725</v>
      </c>
      <c r="D30" s="3900" t="s">
        <v>3726</v>
      </c>
      <c r="E30" s="3889" t="s">
        <v>3727</v>
      </c>
      <c r="F30" s="3889" t="s">
        <v>3728</v>
      </c>
      <c r="G30" s="3889"/>
      <c r="H30" s="3889" t="s">
        <v>3729</v>
      </c>
      <c r="I30" s="3900" t="s">
        <v>3730</v>
      </c>
      <c r="J30" s="3900" t="s">
        <v>3731</v>
      </c>
      <c r="K30" s="3889" t="s">
        <v>3724</v>
      </c>
      <c r="L30" s="3873">
        <v>126.87</v>
      </c>
      <c r="M30" s="3871" t="s">
        <v>3732</v>
      </c>
      <c r="N30" s="3889" t="s">
        <v>3733</v>
      </c>
      <c r="O30" s="3889">
        <v>101.34</v>
      </c>
      <c r="P30" s="3889" t="s">
        <v>3734</v>
      </c>
      <c r="Q30" s="3874">
        <v>3550000</v>
      </c>
      <c r="R30" s="3873">
        <v>27981</v>
      </c>
      <c r="S30" s="3875">
        <v>509.09</v>
      </c>
      <c r="T30" s="3876">
        <v>5090900</v>
      </c>
      <c r="U30" s="3873">
        <v>40127</v>
      </c>
      <c r="V30" s="3877">
        <v>0.2</v>
      </c>
      <c r="W30" s="3878">
        <v>407.27</v>
      </c>
      <c r="X30" s="3876">
        <v>4072700</v>
      </c>
      <c r="Y30" s="3873">
        <v>2013</v>
      </c>
      <c r="Z30" s="3879">
        <v>3</v>
      </c>
      <c r="AA30" s="3879">
        <v>7</v>
      </c>
      <c r="AB30" s="3873">
        <v>1500</v>
      </c>
      <c r="AC30" s="3889" t="s">
        <v>3712</v>
      </c>
      <c r="AD30" s="3889"/>
      <c r="AE30" s="3889" t="s">
        <v>3735</v>
      </c>
      <c r="AF30" s="3889" t="s">
        <v>3652</v>
      </c>
      <c r="AG30" s="3889" t="s">
        <v>3642</v>
      </c>
      <c r="AH30" s="3889"/>
      <c r="AI30" s="3889" t="s">
        <v>3643</v>
      </c>
      <c r="AJ30" s="3889"/>
      <c r="AK30" s="3870" t="s">
        <v>3713</v>
      </c>
      <c r="AL30" s="3889">
        <v>52</v>
      </c>
      <c r="AM30" s="3889"/>
      <c r="AN30" s="3889"/>
      <c r="AO30" s="3889"/>
      <c r="AP30" s="3870" t="s">
        <v>3736</v>
      </c>
      <c r="AQ30" s="3870" t="s">
        <v>3716</v>
      </c>
      <c r="AR30" s="3889"/>
      <c r="AS30" s="3889"/>
      <c r="AT30" s="3889"/>
      <c r="AU30" s="3889"/>
      <c r="AV30" s="3889"/>
      <c r="AW30" s="3889" t="s">
        <v>3737</v>
      </c>
      <c r="AX30" s="3889" t="s">
        <v>3738</v>
      </c>
      <c r="AY30" s="3889">
        <v>691541</v>
      </c>
      <c r="AZ30" s="3889" t="s">
        <v>3739</v>
      </c>
      <c r="BA30" s="3889"/>
      <c r="BB30" s="3889"/>
      <c r="BC30" s="3889"/>
      <c r="BD30" s="3889"/>
      <c r="BE30" s="3900"/>
      <c r="BF30" s="3889"/>
      <c r="BG30" s="3901">
        <v>41292</v>
      </c>
      <c r="BH30" s="3889"/>
      <c r="BI30" s="3870" t="s">
        <v>3736</v>
      </c>
      <c r="BJ30" s="3901">
        <v>41298</v>
      </c>
      <c r="BK30" s="3902"/>
      <c r="BL30" s="3889" t="s">
        <v>3695</v>
      </c>
      <c r="BM30" s="3889"/>
      <c r="BN30" s="3889"/>
      <c r="BO30" s="3889"/>
      <c r="BP30" s="3889"/>
      <c r="BQ30" s="3884">
        <v>50236</v>
      </c>
      <c r="BR30" s="3884">
        <v>35031</v>
      </c>
      <c r="BS30" s="3891" t="s">
        <v>3740</v>
      </c>
      <c r="BT30" s="3891" t="s">
        <v>3665</v>
      </c>
      <c r="BU30" s="3892"/>
    </row>
    <row r="31" spans="1:75" s="3892" customFormat="1" ht="12" customHeight="1">
      <c r="A31" s="3870" t="s">
        <v>3741</v>
      </c>
      <c r="B31" s="3870" t="s">
        <v>3742</v>
      </c>
      <c r="C31" s="3871" t="s">
        <v>3743</v>
      </c>
      <c r="D31" s="3871">
        <v>13581738726</v>
      </c>
      <c r="E31" s="3870" t="s">
        <v>3658</v>
      </c>
      <c r="F31" s="3870" t="s">
        <v>3744</v>
      </c>
      <c r="G31" s="3870" t="s">
        <v>3745</v>
      </c>
      <c r="H31" s="3870" t="s">
        <v>3746</v>
      </c>
      <c r="I31" s="3870" t="s">
        <v>3747</v>
      </c>
      <c r="J31" s="3871" t="s">
        <v>3748</v>
      </c>
      <c r="K31" s="3870" t="s">
        <v>3749</v>
      </c>
      <c r="L31" s="3873">
        <v>58.52</v>
      </c>
      <c r="M31" s="3871">
        <v>1</v>
      </c>
      <c r="N31" s="3870" t="s">
        <v>3750</v>
      </c>
      <c r="O31" s="3870"/>
      <c r="P31" s="3870" t="s">
        <v>3751</v>
      </c>
      <c r="Q31" s="3874">
        <v>1290000</v>
      </c>
      <c r="R31" s="3873">
        <v>22044</v>
      </c>
      <c r="S31" s="3875">
        <v>215.09</v>
      </c>
      <c r="T31" s="3876">
        <v>2150900</v>
      </c>
      <c r="U31" s="3873">
        <v>36756</v>
      </c>
      <c r="V31" s="3877">
        <v>0.2</v>
      </c>
      <c r="W31" s="3878">
        <v>172.07</v>
      </c>
      <c r="X31" s="3876">
        <v>1720700</v>
      </c>
      <c r="Y31" s="3879">
        <v>2013</v>
      </c>
      <c r="Z31" s="3879">
        <v>4</v>
      </c>
      <c r="AA31" s="3879">
        <v>8</v>
      </c>
      <c r="AB31" s="3873">
        <v>1500</v>
      </c>
      <c r="AC31" s="3870" t="s">
        <v>3665</v>
      </c>
      <c r="AD31" s="3881"/>
      <c r="AE31" s="3884" t="s">
        <v>3752</v>
      </c>
      <c r="AF31" s="3870" t="s">
        <v>3695</v>
      </c>
      <c r="AG31" s="3870" t="s">
        <v>3642</v>
      </c>
      <c r="AH31" s="3881">
        <v>40840</v>
      </c>
      <c r="AI31" s="3870" t="s">
        <v>3643</v>
      </c>
      <c r="AJ31" s="3882"/>
      <c r="AK31" s="3883" t="s">
        <v>3644</v>
      </c>
      <c r="AL31" s="3879">
        <v>32</v>
      </c>
      <c r="AM31" s="3870"/>
      <c r="AN31" s="3884"/>
      <c r="AO31" s="3884"/>
      <c r="AP31" s="3884" t="s">
        <v>3702</v>
      </c>
      <c r="AQ31" s="3870" t="s">
        <v>3716</v>
      </c>
      <c r="AR31" s="3884"/>
      <c r="AS31" s="3884"/>
      <c r="AT31" s="3884"/>
      <c r="AU31" s="3884"/>
      <c r="AV31" s="3884"/>
      <c r="AW31" s="3884" t="s">
        <v>3648</v>
      </c>
      <c r="AX31" s="3884" t="s">
        <v>3649</v>
      </c>
      <c r="AY31" s="3886" t="s">
        <v>3753</v>
      </c>
      <c r="AZ31" s="3870" t="s">
        <v>3754</v>
      </c>
      <c r="BA31" s="3884"/>
      <c r="BB31" s="3886"/>
      <c r="BC31" s="3884"/>
      <c r="BD31" s="3887"/>
      <c r="BE31" s="3884"/>
      <c r="BF31" s="3888"/>
      <c r="BG31" s="3890">
        <v>41348</v>
      </c>
      <c r="BH31" s="3897"/>
      <c r="BI31" s="3884" t="s">
        <v>3699</v>
      </c>
      <c r="BJ31" s="3890">
        <v>41348</v>
      </c>
      <c r="BK31" s="3890"/>
      <c r="BL31" s="3870" t="s">
        <v>3652</v>
      </c>
      <c r="BM31" s="3884" t="s">
        <v>3395</v>
      </c>
      <c r="BN31" s="3884" t="s">
        <v>3755</v>
      </c>
      <c r="BO31" s="3884" t="s">
        <v>3756</v>
      </c>
      <c r="BP31" s="3884"/>
      <c r="BQ31" s="3884" t="e">
        <v>#DIV/0!</v>
      </c>
      <c r="BR31" s="3884" t="e">
        <v>#DIV/0!</v>
      </c>
      <c r="BS31" s="3891" t="s">
        <v>3703</v>
      </c>
      <c r="BT31" s="3891" t="s">
        <v>3665</v>
      </c>
    </row>
    <row r="32" spans="1:75" s="3917" customFormat="1" ht="12" customHeight="1">
      <c r="A32" s="3904" t="s">
        <v>3758</v>
      </c>
      <c r="B32" s="3904" t="s">
        <v>3759</v>
      </c>
      <c r="C32" s="3905" t="s">
        <v>3760</v>
      </c>
      <c r="D32" s="3905">
        <v>13521167749</v>
      </c>
      <c r="E32" s="3904" t="s">
        <v>3684</v>
      </c>
      <c r="F32" s="3904" t="s">
        <v>3761</v>
      </c>
      <c r="G32" s="3904"/>
      <c r="H32" s="3904" t="s">
        <v>3729</v>
      </c>
      <c r="I32" s="3905" t="s">
        <v>3762</v>
      </c>
      <c r="J32" s="3905" t="s">
        <v>3763</v>
      </c>
      <c r="K32" s="3904" t="s">
        <v>3759</v>
      </c>
      <c r="L32" s="3906">
        <v>36.31</v>
      </c>
      <c r="M32" s="3907">
        <v>9</v>
      </c>
      <c r="N32" s="3904" t="s">
        <v>3764</v>
      </c>
      <c r="O32" s="3904"/>
      <c r="P32" s="3904" t="s">
        <v>3638</v>
      </c>
      <c r="Q32" s="3908">
        <v>880000</v>
      </c>
      <c r="R32" s="3906">
        <v>24236</v>
      </c>
      <c r="S32" s="3909">
        <v>113.59</v>
      </c>
      <c r="T32" s="3910">
        <v>1135900</v>
      </c>
      <c r="U32" s="3906">
        <v>31285</v>
      </c>
      <c r="V32" s="3911">
        <v>0.2</v>
      </c>
      <c r="W32" s="3912">
        <v>90.87</v>
      </c>
      <c r="X32" s="3910">
        <v>908700</v>
      </c>
      <c r="Y32" s="3906">
        <v>2013</v>
      </c>
      <c r="Z32" s="3906">
        <v>1</v>
      </c>
      <c r="AA32" s="3906">
        <v>6</v>
      </c>
      <c r="AB32" s="3906">
        <v>1500</v>
      </c>
      <c r="AC32" s="3904" t="s">
        <v>3765</v>
      </c>
      <c r="AD32" s="3904"/>
      <c r="AE32" s="3904" t="s">
        <v>3766</v>
      </c>
      <c r="AF32" s="3904" t="s">
        <v>3652</v>
      </c>
      <c r="AG32" s="3904" t="s">
        <v>3642</v>
      </c>
      <c r="AH32" s="3904">
        <v>39107</v>
      </c>
      <c r="AI32" s="3904" t="s">
        <v>3668</v>
      </c>
      <c r="AJ32" s="3913"/>
      <c r="AK32" s="3904" t="s">
        <v>3767</v>
      </c>
      <c r="AL32" s="3904">
        <v>54</v>
      </c>
      <c r="AM32" s="3904"/>
      <c r="AN32" s="3904"/>
      <c r="AO32" s="3904"/>
      <c r="AP32" s="3904" t="s">
        <v>3768</v>
      </c>
      <c r="AQ32" s="3904" t="s">
        <v>3716</v>
      </c>
      <c r="AR32" s="3904"/>
      <c r="AS32" s="3904"/>
      <c r="AT32" s="3904"/>
      <c r="AU32" s="3904"/>
      <c r="AV32" s="3904"/>
      <c r="AW32" s="3904" t="s">
        <v>3769</v>
      </c>
      <c r="AX32" s="3904" t="s">
        <v>3770</v>
      </c>
      <c r="AY32" s="3905" t="s">
        <v>3771</v>
      </c>
      <c r="AZ32" s="3904" t="s">
        <v>3772</v>
      </c>
      <c r="BA32" s="3904"/>
      <c r="BB32" s="3905"/>
      <c r="BC32" s="3904"/>
      <c r="BD32" s="3914"/>
      <c r="BE32" s="3904"/>
      <c r="BF32" s="3915"/>
      <c r="BG32" s="3913">
        <v>41253</v>
      </c>
      <c r="BH32" s="3904"/>
      <c r="BI32" s="3904" t="s">
        <v>3768</v>
      </c>
      <c r="BJ32" s="3913">
        <v>41254</v>
      </c>
      <c r="BK32" s="3913"/>
      <c r="BL32" s="3904" t="s">
        <v>3773</v>
      </c>
      <c r="BM32" s="3904" t="s">
        <v>3676</v>
      </c>
      <c r="BN32" s="3904" t="s">
        <v>3774</v>
      </c>
      <c r="BO32" s="3904" t="s">
        <v>3775</v>
      </c>
      <c r="BP32" s="3904"/>
      <c r="BQ32" s="3855" t="e">
        <v>#DIV/0!</v>
      </c>
      <c r="BR32" s="3855" t="e">
        <v>#DIV/0!</v>
      </c>
      <c r="BS32" s="3891" t="s">
        <v>3776</v>
      </c>
      <c r="BT32" s="3891" t="s">
        <v>3665</v>
      </c>
      <c r="BU32" s="3916"/>
    </row>
    <row r="33" spans="1:74" s="3923" customFormat="1" ht="12" customHeight="1">
      <c r="A33" s="3918" t="s">
        <v>3777</v>
      </c>
      <c r="B33" s="3918" t="s">
        <v>3778</v>
      </c>
      <c r="C33" s="3907" t="s">
        <v>3779</v>
      </c>
      <c r="D33" s="3904">
        <v>13810030353</v>
      </c>
      <c r="E33" s="3918" t="s">
        <v>3684</v>
      </c>
      <c r="F33" s="3918" t="s">
        <v>3780</v>
      </c>
      <c r="G33" s="3918"/>
      <c r="H33" s="3918" t="s">
        <v>3781</v>
      </c>
      <c r="I33" s="3918"/>
      <c r="J33" s="3918" t="s">
        <v>3782</v>
      </c>
      <c r="K33" s="3918" t="s">
        <v>3783</v>
      </c>
      <c r="L33" s="3906">
        <v>36.31</v>
      </c>
      <c r="M33" s="3918">
        <v>12</v>
      </c>
      <c r="N33" s="3918" t="s">
        <v>3784</v>
      </c>
      <c r="O33" s="3918"/>
      <c r="P33" s="3918" t="s">
        <v>3692</v>
      </c>
      <c r="Q33" s="3908">
        <v>1150000</v>
      </c>
      <c r="R33" s="3919">
        <v>31672</v>
      </c>
      <c r="S33" s="3909">
        <v>122.39</v>
      </c>
      <c r="T33" s="3910">
        <v>1223900</v>
      </c>
      <c r="U33" s="3906">
        <v>33709</v>
      </c>
      <c r="V33" s="3911">
        <v>0.2</v>
      </c>
      <c r="W33" s="3912">
        <v>97.91</v>
      </c>
      <c r="X33" s="3910">
        <v>979100</v>
      </c>
      <c r="Y33" s="3906">
        <v>2013</v>
      </c>
      <c r="Z33" s="3906">
        <v>1</v>
      </c>
      <c r="AA33" s="3906">
        <v>15</v>
      </c>
      <c r="AB33" s="3906">
        <v>1500</v>
      </c>
      <c r="AC33" s="3918" t="s">
        <v>3653</v>
      </c>
      <c r="AD33" s="3918"/>
      <c r="AE33" s="3918" t="s">
        <v>3785</v>
      </c>
      <c r="AF33" s="3918" t="s">
        <v>3667</v>
      </c>
      <c r="AG33" s="3918" t="s">
        <v>3642</v>
      </c>
      <c r="AH33" s="3918"/>
      <c r="AI33" s="3920" t="s">
        <v>3786</v>
      </c>
      <c r="AJ33" s="3921"/>
      <c r="AK33" s="3918" t="s">
        <v>3787</v>
      </c>
      <c r="AL33" s="3918">
        <v>52</v>
      </c>
      <c r="AM33" s="3918"/>
      <c r="AN33" s="3920"/>
      <c r="AO33" s="3918"/>
      <c r="AP33" s="3918" t="s">
        <v>3788</v>
      </c>
      <c r="AQ33" s="3904" t="s">
        <v>3789</v>
      </c>
      <c r="AR33" s="3918"/>
      <c r="AS33" s="3918"/>
      <c r="AT33" s="3918"/>
      <c r="AU33" s="3918"/>
      <c r="AV33" s="3918"/>
      <c r="AW33" s="3904" t="s">
        <v>3648</v>
      </c>
      <c r="AX33" s="3855" t="s">
        <v>3770</v>
      </c>
      <c r="AY33" s="3904">
        <v>683882</v>
      </c>
      <c r="AZ33" s="3918" t="s">
        <v>3790</v>
      </c>
      <c r="BA33" s="3918"/>
      <c r="BB33" s="3918"/>
      <c r="BC33" s="3918"/>
      <c r="BD33" s="3918"/>
      <c r="BE33" s="3918"/>
      <c r="BF33" s="3918"/>
      <c r="BG33" s="3922">
        <v>41281</v>
      </c>
      <c r="BH33" s="3918"/>
      <c r="BI33" s="3918" t="s">
        <v>3788</v>
      </c>
      <c r="BJ33" s="3922"/>
      <c r="BK33" s="3922"/>
      <c r="BL33" s="3918"/>
      <c r="BM33" s="3918"/>
      <c r="BN33" s="3918"/>
      <c r="BO33" s="3918"/>
      <c r="BP33" s="3918"/>
      <c r="BQ33" s="3855" t="e">
        <v>#DIV/0!</v>
      </c>
      <c r="BR33" s="3855" t="e">
        <v>#DIV/0!</v>
      </c>
      <c r="BS33" s="3891" t="s">
        <v>3722</v>
      </c>
      <c r="BT33" s="3891" t="s">
        <v>3653</v>
      </c>
      <c r="BU33" s="3916"/>
    </row>
    <row r="34" spans="1:74" s="3952" customFormat="1" ht="12" customHeight="1">
      <c r="A34" s="3924" t="s">
        <v>3791</v>
      </c>
      <c r="B34" s="3924" t="s">
        <v>3792</v>
      </c>
      <c r="C34" s="3927" t="s">
        <v>3793</v>
      </c>
      <c r="D34" s="3927" t="s">
        <v>3794</v>
      </c>
      <c r="E34" s="3924" t="s">
        <v>3795</v>
      </c>
      <c r="F34" s="3924" t="s">
        <v>3761</v>
      </c>
      <c r="G34" s="3924"/>
      <c r="H34" s="3924" t="s">
        <v>3796</v>
      </c>
      <c r="I34" s="3924" t="s">
        <v>3797</v>
      </c>
      <c r="J34" s="3925" t="s">
        <v>3798</v>
      </c>
      <c r="K34" s="3924" t="s">
        <v>3792</v>
      </c>
      <c r="L34" s="3928">
        <v>98.56</v>
      </c>
      <c r="M34" s="3924">
        <v>15</v>
      </c>
      <c r="N34" s="3924" t="s">
        <v>3691</v>
      </c>
      <c r="O34" s="3924"/>
      <c r="P34" s="3924" t="s">
        <v>3638</v>
      </c>
      <c r="Q34" s="3929">
        <v>2600000</v>
      </c>
      <c r="R34" s="3928">
        <v>26380</v>
      </c>
      <c r="S34" s="3930">
        <v>412.24</v>
      </c>
      <c r="T34" s="3931">
        <v>4122400</v>
      </c>
      <c r="U34" s="3928">
        <v>41827</v>
      </c>
      <c r="V34" s="3932">
        <v>0.2</v>
      </c>
      <c r="W34" s="3933">
        <v>329.79</v>
      </c>
      <c r="X34" s="3931">
        <v>3297900</v>
      </c>
      <c r="Y34" s="3934">
        <v>2013</v>
      </c>
      <c r="Z34" s="3934">
        <v>3</v>
      </c>
      <c r="AA34" s="3928">
        <v>5</v>
      </c>
      <c r="AB34" s="3928">
        <v>1500</v>
      </c>
      <c r="AC34" s="3924" t="s">
        <v>3765</v>
      </c>
      <c r="AD34" s="3927"/>
      <c r="AE34" s="3924" t="s">
        <v>3666</v>
      </c>
      <c r="AF34" s="3924" t="s">
        <v>3652</v>
      </c>
      <c r="AG34" s="3924" t="s">
        <v>3642</v>
      </c>
      <c r="AH34" s="3924">
        <v>48701</v>
      </c>
      <c r="AI34" s="3924" t="s">
        <v>3643</v>
      </c>
      <c r="AJ34" s="3953"/>
      <c r="AK34" s="3939" t="s">
        <v>3799</v>
      </c>
      <c r="AL34" s="3924">
        <v>52</v>
      </c>
      <c r="AM34" s="3924"/>
      <c r="AN34" s="3936"/>
      <c r="AO34" s="3924"/>
      <c r="AP34" s="3924" t="s">
        <v>3800</v>
      </c>
      <c r="AQ34" s="3940" t="s">
        <v>3716</v>
      </c>
      <c r="AR34" s="3924"/>
      <c r="AS34" s="3924"/>
      <c r="AT34" s="3924"/>
      <c r="AU34" s="3924"/>
      <c r="AV34" s="3924" t="s">
        <v>3647</v>
      </c>
      <c r="AW34" s="3924" t="s">
        <v>3769</v>
      </c>
      <c r="AX34" s="3924" t="s">
        <v>3770</v>
      </c>
      <c r="AY34" s="3925" t="s">
        <v>3801</v>
      </c>
      <c r="AZ34" s="3924" t="s">
        <v>3802</v>
      </c>
      <c r="BA34" s="3924"/>
      <c r="BB34" s="3925"/>
      <c r="BC34" s="3924"/>
      <c r="BD34" s="3954"/>
      <c r="BE34" s="3924"/>
      <c r="BF34" s="3955"/>
      <c r="BG34" s="3953">
        <v>41299</v>
      </c>
      <c r="BH34" s="3925"/>
      <c r="BI34" s="3940" t="s">
        <v>3800</v>
      </c>
      <c r="BJ34" s="3949">
        <v>41325</v>
      </c>
      <c r="BK34" s="3953"/>
      <c r="BL34" s="3940" t="s">
        <v>3652</v>
      </c>
      <c r="BM34" s="3940"/>
      <c r="BN34" s="3940"/>
      <c r="BO34" s="3924"/>
      <c r="BP34" s="3924" t="s">
        <v>3803</v>
      </c>
      <c r="BQ34" s="3940" t="e">
        <v>#DIV/0!</v>
      </c>
      <c r="BR34" s="3940" t="e">
        <v>#DIV/0!</v>
      </c>
      <c r="BS34" s="3950" t="s">
        <v>3804</v>
      </c>
      <c r="BT34" s="3950" t="s">
        <v>3665</v>
      </c>
      <c r="BU34" s="3951"/>
      <c r="BV34" s="3956"/>
    </row>
    <row r="35" spans="1:74" s="3952" customFormat="1" ht="12" customHeight="1">
      <c r="A35" s="3924" t="s">
        <v>3836</v>
      </c>
      <c r="B35" s="3925" t="s">
        <v>3805</v>
      </c>
      <c r="C35" s="3925" t="s">
        <v>3806</v>
      </c>
      <c r="D35" s="3925" t="s">
        <v>3807</v>
      </c>
      <c r="E35" s="3926" t="s">
        <v>3684</v>
      </c>
      <c r="F35" s="3926" t="s">
        <v>3761</v>
      </c>
      <c r="G35" s="3924"/>
      <c r="H35" s="3924" t="s">
        <v>3808</v>
      </c>
      <c r="I35" s="3926" t="s">
        <v>3809</v>
      </c>
      <c r="J35" s="3927" t="s">
        <v>3810</v>
      </c>
      <c r="K35" s="3925" t="s">
        <v>3811</v>
      </c>
      <c r="L35" s="3957">
        <v>85.46</v>
      </c>
      <c r="M35" s="3925" t="s">
        <v>3812</v>
      </c>
      <c r="N35" s="3924" t="s">
        <v>3691</v>
      </c>
      <c r="O35" s="3924"/>
      <c r="P35" s="3924" t="s">
        <v>3638</v>
      </c>
      <c r="Q35" s="3929">
        <v>1920000</v>
      </c>
      <c r="R35" s="3928">
        <v>22467</v>
      </c>
      <c r="S35" s="3930">
        <v>348.48</v>
      </c>
      <c r="T35" s="3931">
        <v>3484800</v>
      </c>
      <c r="U35" s="3928">
        <v>40778</v>
      </c>
      <c r="V35" s="3932">
        <v>0.2</v>
      </c>
      <c r="W35" s="3933">
        <v>278.77999999999997</v>
      </c>
      <c r="X35" s="3931">
        <v>2787799.9999999995</v>
      </c>
      <c r="Y35" s="3928">
        <v>2013</v>
      </c>
      <c r="Z35" s="3934">
        <v>4</v>
      </c>
      <c r="AA35" s="3934">
        <v>24</v>
      </c>
      <c r="AB35" s="3928">
        <v>1500</v>
      </c>
      <c r="AC35" s="3924" t="s">
        <v>3665</v>
      </c>
      <c r="AD35" s="3935"/>
      <c r="AE35" s="3924" t="s">
        <v>3813</v>
      </c>
      <c r="AF35" s="3924" t="s">
        <v>3773</v>
      </c>
      <c r="AG35" s="3936" t="s">
        <v>3642</v>
      </c>
      <c r="AH35" s="3937">
        <v>47975</v>
      </c>
      <c r="AI35" s="3936" t="s">
        <v>3643</v>
      </c>
      <c r="AJ35" s="3938"/>
      <c r="AK35" s="3939" t="s">
        <v>3644</v>
      </c>
      <c r="AL35" s="3928">
        <v>52</v>
      </c>
      <c r="AM35" s="3958">
        <v>41349</v>
      </c>
      <c r="AN35" s="3936"/>
      <c r="AO35" s="3924"/>
      <c r="AP35" s="3924" t="s">
        <v>3814</v>
      </c>
      <c r="AQ35" s="3924" t="s">
        <v>3716</v>
      </c>
      <c r="AR35" s="3924"/>
      <c r="AS35" s="3924"/>
      <c r="AT35" s="3924"/>
      <c r="AU35" s="3940"/>
      <c r="AV35" s="3940" t="s">
        <v>3647</v>
      </c>
      <c r="AW35" s="3940" t="s">
        <v>3769</v>
      </c>
      <c r="AX35" s="3940" t="s">
        <v>3649</v>
      </c>
      <c r="AY35" s="3943" t="s">
        <v>3815</v>
      </c>
      <c r="AZ35" s="3924" t="s">
        <v>3816</v>
      </c>
      <c r="BA35" s="3942"/>
      <c r="BB35" s="3943"/>
      <c r="BC35" s="3940"/>
      <c r="BD35" s="3944"/>
      <c r="BE35" s="3940"/>
      <c r="BF35" s="3945"/>
      <c r="BG35" s="3946">
        <v>41348</v>
      </c>
      <c r="BH35" s="3959"/>
      <c r="BI35" s="3947" t="s">
        <v>3817</v>
      </c>
      <c r="BJ35" s="3948">
        <v>41352</v>
      </c>
      <c r="BK35" s="3924"/>
      <c r="BL35" s="3940" t="s">
        <v>3652</v>
      </c>
      <c r="BM35" s="3924"/>
      <c r="BN35" s="3924"/>
      <c r="BO35" s="3924"/>
      <c r="BP35" s="3943" t="s">
        <v>3818</v>
      </c>
      <c r="BQ35" s="3940" t="e">
        <v>#DIV/0!</v>
      </c>
      <c r="BR35" s="3940" t="e">
        <v>#DIV/0!</v>
      </c>
      <c r="BS35" s="3950" t="s">
        <v>3819</v>
      </c>
      <c r="BT35" s="3950" t="s">
        <v>3665</v>
      </c>
      <c r="BU35" s="3951"/>
    </row>
    <row r="36" spans="1:74" s="3903" customFormat="1" ht="12" customHeight="1">
      <c r="A36" s="3889" t="s">
        <v>3820</v>
      </c>
      <c r="B36" s="3889" t="s">
        <v>3821</v>
      </c>
      <c r="C36" s="3900" t="s">
        <v>3822</v>
      </c>
      <c r="D36" s="3900" t="s">
        <v>3823</v>
      </c>
      <c r="E36" s="3889" t="s">
        <v>3684</v>
      </c>
      <c r="F36" s="3889" t="s">
        <v>3761</v>
      </c>
      <c r="G36" s="3889"/>
      <c r="H36" s="3889" t="s">
        <v>3824</v>
      </c>
      <c r="I36" s="3900" t="s">
        <v>3825</v>
      </c>
      <c r="J36" s="3900" t="s">
        <v>3826</v>
      </c>
      <c r="K36" s="3889" t="s">
        <v>3827</v>
      </c>
      <c r="L36" s="3873">
        <v>36.31</v>
      </c>
      <c r="M36" s="3871" t="s">
        <v>3828</v>
      </c>
      <c r="N36" s="3889" t="s">
        <v>3764</v>
      </c>
      <c r="O36" s="3889"/>
      <c r="P36" s="3889" t="s">
        <v>3692</v>
      </c>
      <c r="Q36" s="3873">
        <v>1000000</v>
      </c>
      <c r="R36" s="3873">
        <v>27541</v>
      </c>
      <c r="S36" s="3875">
        <v>154.74</v>
      </c>
      <c r="T36" s="3876">
        <v>1547400</v>
      </c>
      <c r="U36" s="3873">
        <v>42617</v>
      </c>
      <c r="V36" s="3877">
        <v>0.2</v>
      </c>
      <c r="W36" s="3878">
        <v>123.79</v>
      </c>
      <c r="X36" s="3876">
        <v>1237900</v>
      </c>
      <c r="Y36" s="3873">
        <v>2013</v>
      </c>
      <c r="Z36" s="3873">
        <v>5</v>
      </c>
      <c r="AA36" s="3873">
        <v>30</v>
      </c>
      <c r="AB36" s="3873">
        <v>1500</v>
      </c>
      <c r="AC36" s="3889" t="s">
        <v>3829</v>
      </c>
      <c r="AD36" s="3889"/>
      <c r="AE36" s="3889"/>
      <c r="AF36" s="3889" t="s">
        <v>3652</v>
      </c>
      <c r="AG36" s="3889" t="s">
        <v>3642</v>
      </c>
      <c r="AH36" s="3889">
        <v>45112</v>
      </c>
      <c r="AI36" s="3889" t="s">
        <v>3643</v>
      </c>
      <c r="AJ36" s="3889"/>
      <c r="AK36" s="3889" t="s">
        <v>3830</v>
      </c>
      <c r="AL36" s="3889">
        <v>52</v>
      </c>
      <c r="AM36" s="3889"/>
      <c r="AN36" s="3889"/>
      <c r="AO36" s="3889"/>
      <c r="AP36" s="3889" t="s">
        <v>3675</v>
      </c>
      <c r="AQ36" s="3889" t="s">
        <v>3716</v>
      </c>
      <c r="AR36" s="3889">
        <v>2013</v>
      </c>
      <c r="AS36" s="3889">
        <v>5</v>
      </c>
      <c r="AT36" s="3889">
        <v>30</v>
      </c>
      <c r="AU36" s="3889"/>
      <c r="AV36" s="3889"/>
      <c r="AW36" s="3889" t="s">
        <v>3648</v>
      </c>
      <c r="AX36" s="3889" t="s">
        <v>3649</v>
      </c>
      <c r="AY36" s="3889">
        <v>724026</v>
      </c>
      <c r="AZ36" s="3889" t="s">
        <v>3831</v>
      </c>
      <c r="BA36" s="3889"/>
      <c r="BB36" s="3889"/>
      <c r="BC36" s="3889"/>
      <c r="BD36" s="3889"/>
      <c r="BE36" s="3900"/>
      <c r="BF36" s="3889"/>
      <c r="BG36" s="3901">
        <v>41344</v>
      </c>
      <c r="BH36" s="3889"/>
      <c r="BI36" s="3889" t="s">
        <v>3675</v>
      </c>
      <c r="BJ36" s="3901">
        <v>41403</v>
      </c>
      <c r="BK36" s="3902"/>
      <c r="BL36" s="3889" t="s">
        <v>3652</v>
      </c>
      <c r="BM36" s="3889"/>
      <c r="BN36" s="3889"/>
      <c r="BO36" s="3889"/>
      <c r="BP36" s="3889"/>
      <c r="BQ36" s="3885" t="e">
        <v>#DIV/0!</v>
      </c>
      <c r="BR36" s="3885" t="e">
        <v>#DIV/0!</v>
      </c>
      <c r="BS36" s="3891" t="s">
        <v>3679</v>
      </c>
      <c r="BT36" s="3891" t="s">
        <v>3665</v>
      </c>
      <c r="BU36" s="3893"/>
    </row>
    <row r="37" spans="1:74" s="3923" customFormat="1" ht="12" customHeight="1">
      <c r="A37" s="3918" t="s">
        <v>3837</v>
      </c>
      <c r="B37" s="3918" t="s">
        <v>3838</v>
      </c>
      <c r="C37" s="3960" t="s">
        <v>3839</v>
      </c>
      <c r="D37" s="3960" t="s">
        <v>3840</v>
      </c>
      <c r="E37" s="3918" t="s">
        <v>3684</v>
      </c>
      <c r="F37" s="3918" t="s">
        <v>3841</v>
      </c>
      <c r="G37" s="3918"/>
      <c r="H37" s="3918" t="s">
        <v>3842</v>
      </c>
      <c r="I37" s="3918" t="s">
        <v>3843</v>
      </c>
      <c r="J37" s="3918" t="s">
        <v>3844</v>
      </c>
      <c r="K37" s="3918" t="s">
        <v>3845</v>
      </c>
      <c r="L37" s="3918">
        <v>53.95</v>
      </c>
      <c r="M37" s="3918" t="s">
        <v>3846</v>
      </c>
      <c r="N37" s="3918" t="s">
        <v>3847</v>
      </c>
      <c r="O37" s="3918"/>
      <c r="P37" s="3918" t="s">
        <v>3848</v>
      </c>
      <c r="Q37" s="3961">
        <v>1180000</v>
      </c>
      <c r="R37" s="3918">
        <v>21872</v>
      </c>
      <c r="S37" s="3909">
        <v>152.65</v>
      </c>
      <c r="T37" s="3962">
        <v>1526500</v>
      </c>
      <c r="U37" s="3918">
        <v>28295</v>
      </c>
      <c r="V37" s="3963">
        <v>0.2</v>
      </c>
      <c r="W37" s="3912">
        <v>122.12</v>
      </c>
      <c r="X37" s="3910">
        <v>1221200</v>
      </c>
      <c r="Y37" s="3855">
        <v>2012</v>
      </c>
      <c r="Z37" s="3855">
        <v>3</v>
      </c>
      <c r="AA37" s="3918">
        <v>21</v>
      </c>
      <c r="AB37" s="3918">
        <v>1500</v>
      </c>
      <c r="AC37" s="3918" t="s">
        <v>3665</v>
      </c>
      <c r="AD37" s="3960" t="s">
        <v>3849</v>
      </c>
      <c r="AE37" s="3918" t="s">
        <v>3850</v>
      </c>
      <c r="AF37" s="3918" t="s">
        <v>3851</v>
      </c>
      <c r="AG37" s="3918" t="s">
        <v>3642</v>
      </c>
      <c r="AH37" s="3918">
        <v>31974</v>
      </c>
      <c r="AI37" s="3918" t="s">
        <v>3852</v>
      </c>
      <c r="AJ37" s="3964"/>
      <c r="AK37" s="3965" t="s">
        <v>3853</v>
      </c>
      <c r="AL37" s="3918">
        <v>44</v>
      </c>
      <c r="AM37" s="3918"/>
      <c r="AN37" s="3920" t="s">
        <v>3854</v>
      </c>
      <c r="AO37" s="3918"/>
      <c r="AP37" s="3918" t="s">
        <v>3855</v>
      </c>
      <c r="AQ37" s="3855" t="s">
        <v>3856</v>
      </c>
      <c r="AR37" s="3918"/>
      <c r="AS37" s="3918"/>
      <c r="AT37" s="3918"/>
      <c r="AU37" s="3918"/>
      <c r="AV37" s="3918" t="s">
        <v>3647</v>
      </c>
      <c r="AW37" s="3918" t="s">
        <v>3648</v>
      </c>
      <c r="AX37" s="3907" t="s">
        <v>3649</v>
      </c>
      <c r="AY37" s="3907" t="s">
        <v>3857</v>
      </c>
      <c r="AZ37" s="3918" t="s">
        <v>3845</v>
      </c>
      <c r="BA37" s="3918"/>
      <c r="BB37" s="3907"/>
      <c r="BC37" s="3918"/>
      <c r="BD37" s="3966"/>
      <c r="BE37" s="3918"/>
      <c r="BF37" s="3967"/>
      <c r="BG37" s="3964">
        <v>40966</v>
      </c>
      <c r="BH37" s="3918"/>
      <c r="BI37" s="3855" t="s">
        <v>3855</v>
      </c>
      <c r="BJ37" s="3968">
        <v>40973</v>
      </c>
      <c r="BK37" s="3964"/>
      <c r="BL37" s="3855" t="s">
        <v>3652</v>
      </c>
      <c r="BM37" s="3855"/>
      <c r="BN37" s="3855"/>
      <c r="BO37" s="3918"/>
      <c r="BP37" s="3918"/>
      <c r="BQ37" s="3855" t="e">
        <v>#DIV/0!</v>
      </c>
      <c r="BR37" s="3855" t="e">
        <v>#DIV/0!</v>
      </c>
      <c r="BS37" s="3891" t="s">
        <v>3804</v>
      </c>
      <c r="BT37" s="3891" t="s">
        <v>3665</v>
      </c>
      <c r="BU37" s="3969"/>
      <c r="BV37" s="3970"/>
    </row>
    <row r="38" spans="1:74" s="3923" customFormat="1" ht="12" customHeight="1">
      <c r="A38" s="3918" t="s">
        <v>3858</v>
      </c>
      <c r="B38" s="3918" t="s">
        <v>3859</v>
      </c>
      <c r="C38" s="3960" t="s">
        <v>3860</v>
      </c>
      <c r="D38" s="3960" t="s">
        <v>3861</v>
      </c>
      <c r="E38" s="3918" t="s">
        <v>3684</v>
      </c>
      <c r="F38" s="3918" t="s">
        <v>3632</v>
      </c>
      <c r="G38" s="3918"/>
      <c r="H38" s="3918" t="s">
        <v>3862</v>
      </c>
      <c r="I38" s="3918" t="s">
        <v>3863</v>
      </c>
      <c r="J38" s="3918" t="s">
        <v>3864</v>
      </c>
      <c r="K38" s="3918" t="s">
        <v>3859</v>
      </c>
      <c r="L38" s="3918">
        <v>53.33</v>
      </c>
      <c r="M38" s="3918">
        <v>6</v>
      </c>
      <c r="N38" s="3918" t="s">
        <v>3691</v>
      </c>
      <c r="O38" s="3918"/>
      <c r="P38" s="3918" t="s">
        <v>3638</v>
      </c>
      <c r="Q38" s="3961">
        <v>1200000</v>
      </c>
      <c r="R38" s="3918">
        <v>22501</v>
      </c>
      <c r="S38" s="3909">
        <v>145.71</v>
      </c>
      <c r="T38" s="3962">
        <v>1457100</v>
      </c>
      <c r="U38" s="3918">
        <v>27324</v>
      </c>
      <c r="V38" s="3963">
        <v>0.2</v>
      </c>
      <c r="W38" s="3912">
        <v>116.56</v>
      </c>
      <c r="X38" s="3910">
        <v>1165600</v>
      </c>
      <c r="Y38" s="3855">
        <v>2012</v>
      </c>
      <c r="Z38" s="3855">
        <v>3</v>
      </c>
      <c r="AA38" s="3918">
        <v>27</v>
      </c>
      <c r="AB38" s="3918">
        <v>1500</v>
      </c>
      <c r="AC38" s="3918" t="s">
        <v>3665</v>
      </c>
      <c r="AD38" s="3960" t="s">
        <v>3865</v>
      </c>
      <c r="AE38" s="3918" t="s">
        <v>3866</v>
      </c>
      <c r="AF38" s="3918" t="s">
        <v>3667</v>
      </c>
      <c r="AG38" s="3918" t="s">
        <v>3642</v>
      </c>
      <c r="AH38" s="3918">
        <v>30564</v>
      </c>
      <c r="AI38" s="3918" t="s">
        <v>3668</v>
      </c>
      <c r="AJ38" s="3964"/>
      <c r="AK38" s="3965" t="s">
        <v>3713</v>
      </c>
      <c r="AL38" s="3918">
        <v>31</v>
      </c>
      <c r="AM38" s="3918"/>
      <c r="AN38" s="3920" t="s">
        <v>3830</v>
      </c>
      <c r="AO38" s="3918"/>
      <c r="AP38" s="3918" t="s">
        <v>3867</v>
      </c>
      <c r="AQ38" s="3855" t="s">
        <v>3716</v>
      </c>
      <c r="AR38" s="3918"/>
      <c r="AS38" s="3918"/>
      <c r="AT38" s="3918"/>
      <c r="AU38" s="3918"/>
      <c r="AV38" s="3918"/>
      <c r="AW38" s="3918" t="s">
        <v>3648</v>
      </c>
      <c r="AX38" s="3918" t="s">
        <v>3649</v>
      </c>
      <c r="AY38" s="3907" t="s">
        <v>3868</v>
      </c>
      <c r="AZ38" s="3918" t="s">
        <v>3869</v>
      </c>
      <c r="BA38" s="3918"/>
      <c r="BB38" s="3907" t="s">
        <v>3647</v>
      </c>
      <c r="BC38" s="3918" t="s">
        <v>3647</v>
      </c>
      <c r="BD38" s="3966"/>
      <c r="BE38" s="3918"/>
      <c r="BF38" s="3967"/>
      <c r="BG38" s="3964">
        <v>40973</v>
      </c>
      <c r="BH38" s="3918"/>
      <c r="BI38" s="3855" t="s">
        <v>3867</v>
      </c>
      <c r="BJ38" s="3968">
        <v>40975</v>
      </c>
      <c r="BK38" s="3964"/>
      <c r="BL38" s="3855" t="s">
        <v>3652</v>
      </c>
      <c r="BM38" s="3855" t="s">
        <v>3676</v>
      </c>
      <c r="BN38" s="3855" t="s">
        <v>3677</v>
      </c>
      <c r="BO38" s="3918" t="s">
        <v>3678</v>
      </c>
      <c r="BP38" s="3918"/>
      <c r="BQ38" s="3855" t="e">
        <v>#DIV/0!</v>
      </c>
      <c r="BR38" s="3855" t="e">
        <v>#DIV/0!</v>
      </c>
      <c r="BS38" s="3891" t="s">
        <v>3804</v>
      </c>
      <c r="BT38" s="3891" t="s">
        <v>3665</v>
      </c>
      <c r="BU38" s="3969"/>
      <c r="BV38" s="3970"/>
    </row>
    <row r="39" spans="1:74" s="3923" customFormat="1" ht="12" customHeight="1">
      <c r="A39" s="3918" t="s">
        <v>3870</v>
      </c>
      <c r="B39" s="3918" t="s">
        <v>3871</v>
      </c>
      <c r="C39" s="3960" t="s">
        <v>3872</v>
      </c>
      <c r="D39" s="3960" t="s">
        <v>3873</v>
      </c>
      <c r="E39" s="3918" t="s">
        <v>3684</v>
      </c>
      <c r="F39" s="3918" t="s">
        <v>3841</v>
      </c>
      <c r="G39" s="3918"/>
      <c r="H39" s="3918" t="s">
        <v>3874</v>
      </c>
      <c r="I39" s="3918"/>
      <c r="J39" s="3905" t="s">
        <v>3875</v>
      </c>
      <c r="K39" s="3918" t="s">
        <v>3876</v>
      </c>
      <c r="L39" s="3918">
        <v>77.849999999999994</v>
      </c>
      <c r="M39" s="3918">
        <v>13</v>
      </c>
      <c r="N39" s="3918" t="s">
        <v>3691</v>
      </c>
      <c r="O39" s="3918"/>
      <c r="P39" s="3918" t="s">
        <v>3638</v>
      </c>
      <c r="Q39" s="3961">
        <v>1720000</v>
      </c>
      <c r="R39" s="3918">
        <v>22094</v>
      </c>
      <c r="S39" s="3909">
        <v>230.1</v>
      </c>
      <c r="T39" s="3962">
        <v>2301000</v>
      </c>
      <c r="U39" s="3918">
        <v>29558</v>
      </c>
      <c r="V39" s="3963">
        <v>0.2</v>
      </c>
      <c r="W39" s="3912">
        <v>184.08</v>
      </c>
      <c r="X39" s="3910">
        <v>1840800.0000000002</v>
      </c>
      <c r="Y39" s="3855">
        <v>2012</v>
      </c>
      <c r="Z39" s="3855">
        <v>4</v>
      </c>
      <c r="AA39" s="3855">
        <v>26</v>
      </c>
      <c r="AB39" s="3918">
        <v>1500</v>
      </c>
      <c r="AC39" s="3918" t="s">
        <v>3653</v>
      </c>
      <c r="AD39" s="3960"/>
      <c r="AE39" s="3960" t="s">
        <v>3666</v>
      </c>
      <c r="AF39" s="3904" t="s">
        <v>3667</v>
      </c>
      <c r="AG39" s="3918" t="s">
        <v>3642</v>
      </c>
      <c r="AH39" s="3918">
        <v>32793</v>
      </c>
      <c r="AI39" s="3920" t="s">
        <v>3643</v>
      </c>
      <c r="AJ39" s="3964"/>
      <c r="AK39" s="3965" t="s">
        <v>3644</v>
      </c>
      <c r="AL39" s="3918">
        <v>44</v>
      </c>
      <c r="AM39" s="3918"/>
      <c r="AN39" s="3920" t="s">
        <v>3644</v>
      </c>
      <c r="AO39" s="3918"/>
      <c r="AP39" s="3918" t="s">
        <v>3645</v>
      </c>
      <c r="AQ39" s="3918" t="s">
        <v>3646</v>
      </c>
      <c r="AR39" s="3918"/>
      <c r="AS39" s="3918"/>
      <c r="AT39" s="3918"/>
      <c r="AU39" s="3918"/>
      <c r="AV39" s="3918"/>
      <c r="AW39" s="3918" t="s">
        <v>3648</v>
      </c>
      <c r="AX39" s="3855" t="s">
        <v>3649</v>
      </c>
      <c r="AY39" s="3905" t="s">
        <v>3877</v>
      </c>
      <c r="AZ39" s="3918" t="s">
        <v>3878</v>
      </c>
      <c r="BA39" s="3918"/>
      <c r="BB39" s="3907" t="s">
        <v>3647</v>
      </c>
      <c r="BC39" s="3918" t="s">
        <v>3647</v>
      </c>
      <c r="BD39" s="3966"/>
      <c r="BE39" s="3918"/>
      <c r="BF39" s="3967"/>
      <c r="BG39" s="3964">
        <v>41018</v>
      </c>
      <c r="BH39" s="3918"/>
      <c r="BI39" s="3904" t="s">
        <v>3879</v>
      </c>
      <c r="BJ39" s="3968"/>
      <c r="BK39" s="3964"/>
      <c r="BL39" s="3855" t="s">
        <v>3851</v>
      </c>
      <c r="BM39" s="3918" t="s">
        <v>3676</v>
      </c>
      <c r="BN39" s="3918" t="s">
        <v>3677</v>
      </c>
      <c r="BO39" s="3918" t="s">
        <v>3678</v>
      </c>
      <c r="BP39" s="3918"/>
      <c r="BQ39" s="3855" t="e">
        <v>#DIV/0!</v>
      </c>
      <c r="BR39" s="3855" t="e">
        <v>#DIV/0!</v>
      </c>
      <c r="BS39" s="3891" t="s">
        <v>3651</v>
      </c>
      <c r="BT39" s="3891" t="s">
        <v>3653</v>
      </c>
      <c r="BV39" s="3970"/>
    </row>
    <row r="40" spans="1:74" s="3923" customFormat="1" ht="12" customHeight="1">
      <c r="A40" s="3918" t="s">
        <v>3880</v>
      </c>
      <c r="B40" s="3918" t="s">
        <v>3881</v>
      </c>
      <c r="C40" s="3960" t="s">
        <v>3882</v>
      </c>
      <c r="D40" s="3960" t="s">
        <v>3883</v>
      </c>
      <c r="E40" s="3918" t="s">
        <v>3684</v>
      </c>
      <c r="F40" s="3918" t="s">
        <v>3632</v>
      </c>
      <c r="G40" s="3918"/>
      <c r="H40" s="3918" t="s">
        <v>3884</v>
      </c>
      <c r="I40" s="3918"/>
      <c r="J40" s="3907" t="s">
        <v>3885</v>
      </c>
      <c r="K40" s="3918" t="s">
        <v>3886</v>
      </c>
      <c r="L40" s="3918">
        <v>120.97</v>
      </c>
      <c r="M40" s="3918">
        <v>4</v>
      </c>
      <c r="N40" s="3918" t="s">
        <v>3887</v>
      </c>
      <c r="O40" s="3918"/>
      <c r="P40" s="3918" t="s">
        <v>3848</v>
      </c>
      <c r="Q40" s="3961">
        <v>2780000</v>
      </c>
      <c r="R40" s="3918">
        <v>22981</v>
      </c>
      <c r="S40" s="3909">
        <v>380.69</v>
      </c>
      <c r="T40" s="3962">
        <v>3806900</v>
      </c>
      <c r="U40" s="3918">
        <v>31470</v>
      </c>
      <c r="V40" s="3963">
        <v>0.2</v>
      </c>
      <c r="W40" s="3912">
        <v>304.55</v>
      </c>
      <c r="X40" s="3910">
        <v>3045500</v>
      </c>
      <c r="Y40" s="3855">
        <v>2012</v>
      </c>
      <c r="Z40" s="3855">
        <v>8</v>
      </c>
      <c r="AA40" s="3918">
        <v>6</v>
      </c>
      <c r="AB40" s="3918">
        <v>1500</v>
      </c>
      <c r="AC40" s="3918" t="s">
        <v>3693</v>
      </c>
      <c r="AD40" s="3960"/>
      <c r="AE40" s="3918" t="s">
        <v>3888</v>
      </c>
      <c r="AF40" s="3918" t="s">
        <v>3667</v>
      </c>
      <c r="AG40" s="3918" t="s">
        <v>3642</v>
      </c>
      <c r="AH40" s="3918">
        <v>34967</v>
      </c>
      <c r="AI40" s="3918" t="s">
        <v>3668</v>
      </c>
      <c r="AJ40" s="3964"/>
      <c r="AK40" s="3965" t="s">
        <v>3889</v>
      </c>
      <c r="AL40" s="3918">
        <v>46</v>
      </c>
      <c r="AM40" s="3855"/>
      <c r="AN40" s="3920" t="s">
        <v>3890</v>
      </c>
      <c r="AO40" s="3918"/>
      <c r="AP40" s="3918" t="s">
        <v>3867</v>
      </c>
      <c r="AQ40" s="3918" t="s">
        <v>3646</v>
      </c>
      <c r="AR40" s="3918">
        <v>2012</v>
      </c>
      <c r="AS40" s="3918">
        <v>8</v>
      </c>
      <c r="AT40" s="3918">
        <v>6</v>
      </c>
      <c r="AU40" s="3918"/>
      <c r="AV40" s="3918"/>
      <c r="AW40" s="3918" t="s">
        <v>3648</v>
      </c>
      <c r="AX40" s="3918" t="s">
        <v>3649</v>
      </c>
      <c r="AY40" s="3907" t="s">
        <v>3891</v>
      </c>
      <c r="AZ40" s="3918" t="s">
        <v>3892</v>
      </c>
      <c r="BA40" s="3918"/>
      <c r="BB40" s="3907" t="s">
        <v>3647</v>
      </c>
      <c r="BC40" s="3918" t="s">
        <v>3647</v>
      </c>
      <c r="BD40" s="3966"/>
      <c r="BE40" s="3918"/>
      <c r="BF40" s="3967"/>
      <c r="BG40" s="3964">
        <v>41109</v>
      </c>
      <c r="BH40" s="3918"/>
      <c r="BI40" s="3855" t="s">
        <v>3804</v>
      </c>
      <c r="BJ40" s="3968"/>
      <c r="BK40" s="3964"/>
      <c r="BL40" s="3855" t="s">
        <v>3851</v>
      </c>
      <c r="BM40" s="3855"/>
      <c r="BN40" s="3855"/>
      <c r="BO40" s="3918"/>
      <c r="BP40" s="3918"/>
      <c r="BQ40" s="3855" t="e">
        <v>#DIV/0!</v>
      </c>
      <c r="BR40" s="3855" t="e">
        <v>#DIV/0!</v>
      </c>
      <c r="BS40" s="3891" t="s">
        <v>3804</v>
      </c>
      <c r="BT40" s="3891" t="s">
        <v>3653</v>
      </c>
    </row>
    <row r="41" spans="1:74" s="3917" customFormat="1" ht="12" customHeight="1">
      <c r="A41" s="3918" t="s">
        <v>3893</v>
      </c>
      <c r="B41" s="3904" t="s">
        <v>3894</v>
      </c>
      <c r="C41" s="3905" t="s">
        <v>3895</v>
      </c>
      <c r="D41" s="3971" t="s">
        <v>3896</v>
      </c>
      <c r="E41" s="3904" t="s">
        <v>3684</v>
      </c>
      <c r="F41" s="3904" t="s">
        <v>3841</v>
      </c>
      <c r="G41" s="3904"/>
      <c r="H41" s="3904" t="s">
        <v>3897</v>
      </c>
      <c r="I41" s="3904" t="s">
        <v>3898</v>
      </c>
      <c r="J41" s="3905" t="s">
        <v>3899</v>
      </c>
      <c r="K41" s="3904" t="s">
        <v>3894</v>
      </c>
      <c r="L41" s="3904">
        <v>63.95</v>
      </c>
      <c r="M41" s="3905" t="s">
        <v>3900</v>
      </c>
      <c r="N41" s="3918" t="s">
        <v>3901</v>
      </c>
      <c r="O41" s="3904"/>
      <c r="P41" s="3904" t="s">
        <v>3638</v>
      </c>
      <c r="Q41" s="3904">
        <v>1350000</v>
      </c>
      <c r="R41" s="3904">
        <v>21110</v>
      </c>
      <c r="S41" s="3972">
        <v>185.02</v>
      </c>
      <c r="T41" s="3973">
        <v>1850200</v>
      </c>
      <c r="U41" s="3906">
        <v>28932</v>
      </c>
      <c r="V41" s="3911">
        <v>0.2</v>
      </c>
      <c r="W41" s="3974">
        <v>148.01</v>
      </c>
      <c r="X41" s="3962">
        <v>1480100</v>
      </c>
      <c r="Y41" s="3906">
        <v>2012</v>
      </c>
      <c r="Z41" s="3918">
        <v>9</v>
      </c>
      <c r="AA41" s="3906">
        <v>25</v>
      </c>
      <c r="AB41" s="3906">
        <v>1500</v>
      </c>
      <c r="AC41" s="3904" t="s">
        <v>3902</v>
      </c>
      <c r="AD41" s="3904"/>
      <c r="AE41" s="3904" t="s">
        <v>3903</v>
      </c>
      <c r="AF41" s="3904" t="s">
        <v>3652</v>
      </c>
      <c r="AG41" s="3904" t="s">
        <v>3642</v>
      </c>
      <c r="AH41" s="3904">
        <v>33933</v>
      </c>
      <c r="AI41" s="3918" t="s">
        <v>3668</v>
      </c>
      <c r="AJ41" s="3904"/>
      <c r="AK41" s="3975" t="s">
        <v>3904</v>
      </c>
      <c r="AL41" s="3904">
        <v>43</v>
      </c>
      <c r="AM41" s="3904"/>
      <c r="AN41" s="3904" t="s">
        <v>3905</v>
      </c>
      <c r="AO41" s="3904"/>
      <c r="AP41" s="3918" t="s">
        <v>3906</v>
      </c>
      <c r="AQ41" s="3918" t="s">
        <v>3856</v>
      </c>
      <c r="AR41" s="3904"/>
      <c r="AS41" s="3904"/>
      <c r="AT41" s="3904"/>
      <c r="AU41" s="3904"/>
      <c r="AV41" s="3904"/>
      <c r="AW41" s="3904" t="s">
        <v>3907</v>
      </c>
      <c r="AX41" s="3918" t="s">
        <v>409</v>
      </c>
      <c r="AY41" s="3904">
        <v>613799</v>
      </c>
      <c r="AZ41" s="3904" t="s">
        <v>3908</v>
      </c>
      <c r="BA41" s="3904"/>
      <c r="BB41" s="3904"/>
      <c r="BC41" s="3904"/>
      <c r="BD41" s="3904"/>
      <c r="BE41" s="3904"/>
      <c r="BF41" s="3904"/>
      <c r="BG41" s="3976">
        <v>41127</v>
      </c>
      <c r="BH41" s="3904"/>
      <c r="BI41" s="3918" t="s">
        <v>3906</v>
      </c>
      <c r="BJ41" s="3976">
        <v>41136</v>
      </c>
      <c r="BK41" s="3976"/>
      <c r="BL41" s="3904" t="s">
        <v>3652</v>
      </c>
      <c r="BM41" s="3904" t="s">
        <v>3909</v>
      </c>
      <c r="BN41" s="3904" t="s">
        <v>3910</v>
      </c>
      <c r="BO41" s="3904" t="s">
        <v>3678</v>
      </c>
      <c r="BP41" s="3904"/>
      <c r="BQ41" s="3977" t="e">
        <v>#DIV/0!</v>
      </c>
      <c r="BR41" s="3977" t="e">
        <v>#DIV/0!</v>
      </c>
      <c r="BS41" s="3891" t="s">
        <v>3740</v>
      </c>
      <c r="BT41" s="3891" t="s">
        <v>3665</v>
      </c>
      <c r="BU41" s="3978"/>
    </row>
    <row r="42" spans="1:74" s="3923" customFormat="1" ht="12" customHeight="1">
      <c r="A42" s="3918" t="s">
        <v>3911</v>
      </c>
      <c r="B42" s="3918" t="s">
        <v>3912</v>
      </c>
      <c r="C42" s="3907" t="s">
        <v>3913</v>
      </c>
      <c r="D42" s="3904">
        <v>13552054085</v>
      </c>
      <c r="E42" s="3918" t="s">
        <v>3914</v>
      </c>
      <c r="F42" s="3918" t="s">
        <v>3915</v>
      </c>
      <c r="G42" s="3918"/>
      <c r="H42" s="3918" t="s">
        <v>3916</v>
      </c>
      <c r="I42" s="3918" t="s">
        <v>3917</v>
      </c>
      <c r="J42" s="3918" t="s">
        <v>3918</v>
      </c>
      <c r="K42" s="3918" t="s">
        <v>3912</v>
      </c>
      <c r="L42" s="3918">
        <v>45.96</v>
      </c>
      <c r="M42" s="3918">
        <v>4</v>
      </c>
      <c r="N42" s="3918" t="s">
        <v>3919</v>
      </c>
      <c r="O42" s="3918"/>
      <c r="P42" s="3918" t="s">
        <v>3692</v>
      </c>
      <c r="Q42" s="3918">
        <v>880000</v>
      </c>
      <c r="R42" s="3906">
        <v>19147</v>
      </c>
      <c r="S42" s="3909">
        <v>144.88999999999999</v>
      </c>
      <c r="T42" s="3962">
        <v>1448899.9999999998</v>
      </c>
      <c r="U42" s="3918">
        <v>31527</v>
      </c>
      <c r="V42" s="3963">
        <v>0.2</v>
      </c>
      <c r="W42" s="3912">
        <v>115.91</v>
      </c>
      <c r="X42" s="3979">
        <v>1159100</v>
      </c>
      <c r="Y42" s="3918">
        <v>2012</v>
      </c>
      <c r="Z42" s="3904">
        <v>10</v>
      </c>
      <c r="AA42" s="3920">
        <v>29</v>
      </c>
      <c r="AB42" s="3918">
        <v>1500</v>
      </c>
      <c r="AC42" s="3918" t="s">
        <v>3665</v>
      </c>
      <c r="AD42" s="3918"/>
      <c r="AE42" s="3918" t="s">
        <v>3530</v>
      </c>
      <c r="AF42" s="3918" t="s">
        <v>3667</v>
      </c>
      <c r="AG42" s="3918" t="s">
        <v>3642</v>
      </c>
      <c r="AH42" s="3918">
        <v>35030</v>
      </c>
      <c r="AI42" s="3918" t="s">
        <v>3668</v>
      </c>
      <c r="AJ42" s="3918"/>
      <c r="AK42" s="3918" t="s">
        <v>3920</v>
      </c>
      <c r="AL42" s="3918">
        <v>41</v>
      </c>
      <c r="AM42" s="3918"/>
      <c r="AN42" s="3918"/>
      <c r="AO42" s="3918"/>
      <c r="AP42" s="3918" t="s">
        <v>3921</v>
      </c>
      <c r="AQ42" s="3918" t="s">
        <v>3856</v>
      </c>
      <c r="AR42" s="3918"/>
      <c r="AS42" s="3918"/>
      <c r="AT42" s="3918"/>
      <c r="AU42" s="3918"/>
      <c r="AV42" s="3918"/>
      <c r="AW42" s="3918" t="s">
        <v>3922</v>
      </c>
      <c r="AX42" s="3907" t="s">
        <v>409</v>
      </c>
      <c r="AY42" s="3918">
        <v>631384</v>
      </c>
      <c r="AZ42" s="3918" t="s">
        <v>3923</v>
      </c>
      <c r="BA42" s="3918"/>
      <c r="BB42" s="3918"/>
      <c r="BC42" s="3918"/>
      <c r="BD42" s="3918"/>
      <c r="BE42" s="3918"/>
      <c r="BF42" s="3918"/>
      <c r="BG42" s="3922">
        <v>41169</v>
      </c>
      <c r="BH42" s="3918"/>
      <c r="BI42" s="3918" t="s">
        <v>3921</v>
      </c>
      <c r="BJ42" s="3922">
        <v>41191</v>
      </c>
      <c r="BK42" s="3922"/>
      <c r="BL42" s="3918" t="s">
        <v>3667</v>
      </c>
      <c r="BM42" s="3918" t="s">
        <v>3395</v>
      </c>
      <c r="BN42" s="3918" t="s">
        <v>3755</v>
      </c>
      <c r="BO42" s="3918" t="s">
        <v>3745</v>
      </c>
      <c r="BP42" s="3918"/>
      <c r="BQ42" s="3918" t="e">
        <v>#DIV/0!</v>
      </c>
      <c r="BR42" s="3918" t="e">
        <v>#DIV/0!</v>
      </c>
      <c r="BS42" s="3891" t="s">
        <v>3722</v>
      </c>
      <c r="BT42" s="3891" t="s">
        <v>3665</v>
      </c>
    </row>
    <row r="43" spans="1:74" s="3923" customFormat="1" ht="12" customHeight="1">
      <c r="A43" s="3904" t="s">
        <v>3924</v>
      </c>
      <c r="B43" s="3918" t="s">
        <v>3925</v>
      </c>
      <c r="C43" s="3907" t="s">
        <v>3926</v>
      </c>
      <c r="D43" s="3918">
        <v>18801090969</v>
      </c>
      <c r="E43" s="3918" t="s">
        <v>3927</v>
      </c>
      <c r="F43" s="3918" t="s">
        <v>3632</v>
      </c>
      <c r="G43" s="3918"/>
      <c r="H43" s="3918" t="s">
        <v>3928</v>
      </c>
      <c r="I43" s="3918" t="s">
        <v>3929</v>
      </c>
      <c r="J43" s="3904" t="s">
        <v>3930</v>
      </c>
      <c r="K43" s="3918" t="s">
        <v>3925</v>
      </c>
      <c r="L43" s="3918">
        <v>129.47999999999999</v>
      </c>
      <c r="M43" s="3918">
        <v>2</v>
      </c>
      <c r="N43" s="3920" t="s">
        <v>3887</v>
      </c>
      <c r="O43" s="3918">
        <v>94.33</v>
      </c>
      <c r="P43" s="3920" t="s">
        <v>3638</v>
      </c>
      <c r="Q43" s="3918">
        <v>2720000</v>
      </c>
      <c r="R43" s="3918">
        <v>21007</v>
      </c>
      <c r="S43" s="3909">
        <v>350.99</v>
      </c>
      <c r="T43" s="3962">
        <v>3509900</v>
      </c>
      <c r="U43" s="3918">
        <v>27108</v>
      </c>
      <c r="V43" s="3963">
        <v>0.2</v>
      </c>
      <c r="W43" s="3912">
        <v>280.79000000000002</v>
      </c>
      <c r="X43" s="3910">
        <v>2807900</v>
      </c>
      <c r="Y43" s="3918">
        <v>2012</v>
      </c>
      <c r="Z43" s="3918">
        <v>12</v>
      </c>
      <c r="AA43" s="3918">
        <v>21</v>
      </c>
      <c r="AB43" s="3918">
        <v>1500</v>
      </c>
      <c r="AC43" s="3918" t="s">
        <v>3765</v>
      </c>
      <c r="AD43" s="3918"/>
      <c r="AE43" s="3918" t="s">
        <v>3785</v>
      </c>
      <c r="AF43" s="3918" t="s">
        <v>3851</v>
      </c>
      <c r="AG43" s="3918" t="s">
        <v>3696</v>
      </c>
      <c r="AH43" s="3918">
        <v>30120</v>
      </c>
      <c r="AI43" s="3918" t="s">
        <v>3852</v>
      </c>
      <c r="AJ43" s="3918"/>
      <c r="AK43" s="3918" t="s">
        <v>3931</v>
      </c>
      <c r="AL43" s="3918">
        <v>50</v>
      </c>
      <c r="AM43" s="3918"/>
      <c r="AN43" s="3918"/>
      <c r="AO43" s="3918"/>
      <c r="AP43" s="3918" t="s">
        <v>3932</v>
      </c>
      <c r="AQ43" s="3918" t="s">
        <v>3856</v>
      </c>
      <c r="AR43" s="3918"/>
      <c r="AS43" s="3918"/>
      <c r="AT43" s="3918"/>
      <c r="AU43" s="3918"/>
      <c r="AV43" s="3918"/>
      <c r="AW43" s="3918" t="s">
        <v>3907</v>
      </c>
      <c r="AX43" s="3918" t="s">
        <v>3933</v>
      </c>
      <c r="AY43" s="3907" t="s">
        <v>3934</v>
      </c>
      <c r="AZ43" s="3906" t="s">
        <v>3935</v>
      </c>
      <c r="BA43" s="3918"/>
      <c r="BB43" s="3907"/>
      <c r="BC43" s="3918"/>
      <c r="BD43" s="3966"/>
      <c r="BE43" s="3918"/>
      <c r="BF43" s="3967"/>
      <c r="BG43" s="3964">
        <v>41178</v>
      </c>
      <c r="BH43" s="3918"/>
      <c r="BI43" s="3918" t="s">
        <v>3817</v>
      </c>
      <c r="BJ43" s="3922">
        <v>41207</v>
      </c>
      <c r="BK43" s="3922"/>
      <c r="BL43" s="3918" t="s">
        <v>3851</v>
      </c>
      <c r="BM43" s="3918" t="s">
        <v>3909</v>
      </c>
      <c r="BN43" s="3918" t="s">
        <v>3910</v>
      </c>
      <c r="BO43" s="3918"/>
      <c r="BP43" s="3918"/>
      <c r="BQ43" s="3855">
        <v>37209</v>
      </c>
      <c r="BR43" s="3855">
        <v>28835</v>
      </c>
      <c r="BS43" s="3891" t="s">
        <v>3819</v>
      </c>
      <c r="BT43" s="3891" t="s">
        <v>3665</v>
      </c>
      <c r="BU43" s="3978"/>
    </row>
    <row r="131" spans="1:63">
      <c r="A131" s="3983"/>
      <c r="B131" s="3984"/>
      <c r="C131" s="3985"/>
      <c r="D131" s="3985"/>
      <c r="E131" s="3985"/>
      <c r="F131" s="3985"/>
      <c r="G131" s="3985"/>
      <c r="H131" s="3985"/>
      <c r="I131" s="3985" t="s">
        <v>3945</v>
      </c>
      <c r="J131" s="3985" t="s">
        <v>3946</v>
      </c>
      <c r="K131" s="3985" t="s">
        <v>3947</v>
      </c>
      <c r="L131" s="3985" t="s">
        <v>3945</v>
      </c>
      <c r="M131" s="3985" t="s">
        <v>3946</v>
      </c>
      <c r="N131" s="3985" t="s">
        <v>3947</v>
      </c>
      <c r="O131" s="3985" t="s">
        <v>3945</v>
      </c>
      <c r="P131" s="3985" t="s">
        <v>3946</v>
      </c>
      <c r="Q131" s="3985" t="s">
        <v>3947</v>
      </c>
      <c r="R131" s="3985"/>
      <c r="S131" s="3985" t="s">
        <v>3945</v>
      </c>
      <c r="T131" s="3985" t="s">
        <v>3946</v>
      </c>
      <c r="U131" s="3985" t="s">
        <v>3947</v>
      </c>
      <c r="V131" s="3985"/>
      <c r="W131" s="3985" t="s">
        <v>3948</v>
      </c>
      <c r="X131" s="3985"/>
      <c r="Y131" s="3985"/>
      <c r="Z131" s="3985"/>
      <c r="AA131" s="3985"/>
      <c r="AB131" s="3985"/>
      <c r="AC131" s="3985"/>
      <c r="AD131" s="3985"/>
      <c r="AE131" s="3985"/>
      <c r="AF131" s="3985"/>
      <c r="AG131" s="3985"/>
      <c r="AH131" s="3985"/>
      <c r="AI131" s="3985"/>
      <c r="AJ131" s="3985"/>
      <c r="AK131" s="3985"/>
      <c r="AL131" s="3985"/>
      <c r="AM131" s="3985"/>
      <c r="AN131" s="3985"/>
      <c r="AO131" s="3985"/>
      <c r="AP131" s="3985"/>
      <c r="AQ131" s="3985"/>
      <c r="AR131" s="3985"/>
      <c r="AS131" s="3986"/>
      <c r="AT131" s="3985"/>
      <c r="AU131" s="3985"/>
      <c r="AV131" s="3985"/>
      <c r="AW131" s="3985"/>
      <c r="AX131" s="3985"/>
      <c r="AY131" s="3985"/>
      <c r="AZ131" s="3985"/>
      <c r="BA131" s="3985"/>
      <c r="BB131" s="3985"/>
      <c r="BC131" s="3987" t="s">
        <v>3949</v>
      </c>
      <c r="BD131" s="3987"/>
      <c r="BE131" s="3987"/>
      <c r="BF131" s="3987"/>
      <c r="BG131" s="3987"/>
      <c r="BH131" s="3987"/>
      <c r="BI131" s="3987"/>
      <c r="BJ131" s="3987"/>
      <c r="BK131" s="3987"/>
    </row>
    <row r="132" spans="1:63">
      <c r="A132" s="3988" t="s">
        <v>3430</v>
      </c>
      <c r="B132" s="3989" t="s">
        <v>3950</v>
      </c>
      <c r="C132" s="3990" t="s">
        <v>3565</v>
      </c>
      <c r="D132" s="3990" t="s">
        <v>3951</v>
      </c>
      <c r="E132" s="3990" t="s">
        <v>3952</v>
      </c>
      <c r="F132" s="3990" t="s">
        <v>3953</v>
      </c>
      <c r="G132" s="3990" t="s">
        <v>3954</v>
      </c>
      <c r="H132" s="3990" t="s">
        <v>3955</v>
      </c>
      <c r="I132" s="3990" t="s">
        <v>3956</v>
      </c>
      <c r="J132" s="3990" t="s">
        <v>3956</v>
      </c>
      <c r="K132" s="3990" t="s">
        <v>3956</v>
      </c>
      <c r="L132" s="3990" t="s">
        <v>3957</v>
      </c>
      <c r="M132" s="3990" t="s">
        <v>3957</v>
      </c>
      <c r="N132" s="3990" t="s">
        <v>3957</v>
      </c>
      <c r="O132" s="3990" t="s">
        <v>3958</v>
      </c>
      <c r="P132" s="3990" t="s">
        <v>3958</v>
      </c>
      <c r="Q132" s="3990" t="s">
        <v>3958</v>
      </c>
      <c r="R132" s="3990" t="s">
        <v>3959</v>
      </c>
      <c r="S132" s="3990" t="s">
        <v>3960</v>
      </c>
      <c r="T132" s="3990" t="s">
        <v>3960</v>
      </c>
      <c r="U132" s="3990" t="s">
        <v>3960</v>
      </c>
      <c r="V132" s="3990" t="s">
        <v>3961</v>
      </c>
      <c r="W132" s="3990" t="s">
        <v>3962</v>
      </c>
      <c r="X132" s="3990" t="s">
        <v>3963</v>
      </c>
      <c r="Y132" s="3990" t="s">
        <v>3964</v>
      </c>
      <c r="Z132" s="3990" t="s">
        <v>3965</v>
      </c>
      <c r="AA132" s="3990" t="s">
        <v>3966</v>
      </c>
      <c r="AB132" s="3990" t="s">
        <v>3967</v>
      </c>
      <c r="AC132" s="3990" t="s">
        <v>3968</v>
      </c>
      <c r="AD132" s="3990" t="s">
        <v>3969</v>
      </c>
      <c r="AE132" s="3990" t="s">
        <v>3970</v>
      </c>
      <c r="AF132" s="3990" t="s">
        <v>3971</v>
      </c>
      <c r="AG132" s="3990" t="s">
        <v>3972</v>
      </c>
      <c r="AH132" s="3990" t="s">
        <v>3973</v>
      </c>
      <c r="AI132" s="3990" t="s">
        <v>3974</v>
      </c>
      <c r="AJ132" s="3990" t="s">
        <v>3975</v>
      </c>
      <c r="AK132" s="3990" t="s">
        <v>3976</v>
      </c>
      <c r="AL132" s="3990" t="s">
        <v>3977</v>
      </c>
      <c r="AM132" s="3990" t="s">
        <v>3978</v>
      </c>
      <c r="AN132" s="3990" t="s">
        <v>3979</v>
      </c>
      <c r="AO132" s="3990" t="s">
        <v>3980</v>
      </c>
      <c r="AP132" s="3990" t="s">
        <v>3981</v>
      </c>
      <c r="AQ132" s="3990" t="s">
        <v>3982</v>
      </c>
      <c r="AR132" s="3990" t="s">
        <v>3983</v>
      </c>
      <c r="AS132" s="3991" t="s">
        <v>3984</v>
      </c>
      <c r="AT132" s="3990" t="s">
        <v>3985</v>
      </c>
      <c r="AU132" s="3990" t="s">
        <v>3986</v>
      </c>
      <c r="AV132" s="3990" t="s">
        <v>3987</v>
      </c>
      <c r="AW132" s="3990" t="s">
        <v>3988</v>
      </c>
      <c r="AX132" s="3990" t="s">
        <v>3989</v>
      </c>
      <c r="AY132" s="3990" t="s">
        <v>3990</v>
      </c>
      <c r="AZ132" s="3990" t="s">
        <v>3991</v>
      </c>
      <c r="BA132" s="3990" t="s">
        <v>3992</v>
      </c>
      <c r="BB132" s="3990" t="s">
        <v>3993</v>
      </c>
      <c r="BC132" s="3992" t="s">
        <v>3994</v>
      </c>
      <c r="BD132" s="3992" t="s">
        <v>3995</v>
      </c>
      <c r="BE132" s="3992" t="s">
        <v>3996</v>
      </c>
      <c r="BF132" s="3992" t="s">
        <v>3997</v>
      </c>
      <c r="BG132" s="3992" t="s">
        <v>3998</v>
      </c>
      <c r="BH132" s="3992" t="s">
        <v>3999</v>
      </c>
      <c r="BI132" s="3992" t="s">
        <v>4000</v>
      </c>
      <c r="BJ132" s="3992" t="s">
        <v>4001</v>
      </c>
      <c r="BK132" s="3992" t="s">
        <v>4002</v>
      </c>
    </row>
    <row r="133" spans="1:63">
      <c r="A133" s="3993" t="s">
        <v>3832</v>
      </c>
      <c r="B133" s="3993" t="s">
        <v>3915</v>
      </c>
      <c r="C133" s="3993" t="s">
        <v>3914</v>
      </c>
      <c r="D133" s="3993" t="s">
        <v>4003</v>
      </c>
      <c r="E133" s="3993"/>
      <c r="F133" s="3993"/>
      <c r="G133" s="3993" t="s">
        <v>4004</v>
      </c>
      <c r="H133" s="3993" t="s">
        <v>4005</v>
      </c>
      <c r="I133" s="3993" t="s">
        <v>4004</v>
      </c>
      <c r="J133" s="3993" t="s">
        <v>4006</v>
      </c>
      <c r="K133" s="3993" t="s">
        <v>4006</v>
      </c>
      <c r="L133" s="3993" t="s">
        <v>4004</v>
      </c>
      <c r="M133" s="3993" t="s">
        <v>4007</v>
      </c>
      <c r="N133" s="3993" t="s">
        <v>4007</v>
      </c>
      <c r="O133" s="3993" t="s">
        <v>4008</v>
      </c>
      <c r="P133" s="3993" t="s">
        <v>4009</v>
      </c>
      <c r="Q133" s="3993" t="s">
        <v>4009</v>
      </c>
      <c r="R133" s="3993" t="s">
        <v>4010</v>
      </c>
      <c r="S133" s="3993"/>
      <c r="T133" s="3993" t="s">
        <v>4011</v>
      </c>
      <c r="U133" s="3993" t="s">
        <v>4012</v>
      </c>
      <c r="V133" s="3993"/>
      <c r="W133" s="3993"/>
      <c r="X133" s="3993" t="s">
        <v>4013</v>
      </c>
      <c r="Y133" s="3993"/>
      <c r="Z133" s="3993" t="s">
        <v>4014</v>
      </c>
      <c r="AA133" s="3993" t="s">
        <v>4015</v>
      </c>
      <c r="AB133" s="3993" t="s">
        <v>4016</v>
      </c>
      <c r="AC133" s="3993" t="s">
        <v>4017</v>
      </c>
      <c r="AD133" s="3993" t="s">
        <v>4018</v>
      </c>
      <c r="AE133" s="3993" t="s">
        <v>4019</v>
      </c>
      <c r="AF133" s="3993"/>
      <c r="AG133" s="3993" t="s">
        <v>4020</v>
      </c>
      <c r="AH133" s="3993" t="s">
        <v>4021</v>
      </c>
      <c r="AI133" s="3993" t="s">
        <v>4022</v>
      </c>
      <c r="AJ133" s="3993" t="s">
        <v>4023</v>
      </c>
      <c r="AK133" s="3993" t="s">
        <v>4024</v>
      </c>
      <c r="AL133" s="3993" t="s">
        <v>4025</v>
      </c>
      <c r="AM133" s="3993" t="s">
        <v>4026</v>
      </c>
      <c r="AN133" s="3993" t="s">
        <v>4027</v>
      </c>
      <c r="AO133" s="3993" t="s">
        <v>4028</v>
      </c>
      <c r="AP133" s="3993" t="s">
        <v>4029</v>
      </c>
      <c r="AQ133" s="3993" t="s">
        <v>4030</v>
      </c>
      <c r="AR133" s="3993" t="s">
        <v>4031</v>
      </c>
      <c r="AS133" s="3993"/>
      <c r="AT133" s="3993"/>
      <c r="AU133" s="3993" t="s">
        <v>4032</v>
      </c>
      <c r="AV133" s="3993" t="s">
        <v>4033</v>
      </c>
      <c r="AW133" s="3993"/>
      <c r="AX133" s="3993" t="s">
        <v>4034</v>
      </c>
      <c r="AY133" s="3993" t="s">
        <v>4033</v>
      </c>
      <c r="AZ133" s="3993" t="s">
        <v>3418</v>
      </c>
      <c r="BA133" s="3993" t="s">
        <v>3651</v>
      </c>
      <c r="BB133" s="3993"/>
      <c r="BC133" s="3993">
        <v>2013</v>
      </c>
      <c r="BD133" s="3993">
        <v>4</v>
      </c>
      <c r="BE133" s="3993">
        <v>7</v>
      </c>
      <c r="BF133" s="3993" t="s">
        <v>3787</v>
      </c>
      <c r="BG133" s="3993" t="s">
        <v>3671</v>
      </c>
      <c r="BH133" s="3993">
        <v>1996</v>
      </c>
      <c r="BI133" s="3993" t="s">
        <v>4035</v>
      </c>
      <c r="BJ133" s="3993">
        <v>80</v>
      </c>
      <c r="BK133" s="3993">
        <v>20</v>
      </c>
    </row>
    <row r="134" spans="1:63">
      <c r="A134" s="3993" t="s">
        <v>3834</v>
      </c>
      <c r="B134" s="3993" t="s">
        <v>4036</v>
      </c>
      <c r="C134" s="3993" t="s">
        <v>3914</v>
      </c>
      <c r="D134" s="3993" t="s">
        <v>4037</v>
      </c>
      <c r="E134" s="3993"/>
      <c r="F134" s="3993"/>
      <c r="G134" s="3993" t="s">
        <v>4004</v>
      </c>
      <c r="H134" s="3993" t="s">
        <v>4005</v>
      </c>
      <c r="I134" s="3993" t="s">
        <v>4004</v>
      </c>
      <c r="J134" s="3993" t="s">
        <v>4038</v>
      </c>
      <c r="K134" s="3993" t="s">
        <v>4038</v>
      </c>
      <c r="L134" s="3993" t="s">
        <v>4004</v>
      </c>
      <c r="M134" s="3993" t="s">
        <v>4007</v>
      </c>
      <c r="N134" s="3993" t="s">
        <v>4007</v>
      </c>
      <c r="O134" s="3993" t="s">
        <v>4009</v>
      </c>
      <c r="P134" s="3993" t="s">
        <v>4009</v>
      </c>
      <c r="Q134" s="3993" t="s">
        <v>4009</v>
      </c>
      <c r="R134" s="3993" t="s">
        <v>4010</v>
      </c>
      <c r="S134" s="3993"/>
      <c r="T134" s="3993" t="s">
        <v>4039</v>
      </c>
      <c r="U134" s="3993" t="s">
        <v>4012</v>
      </c>
      <c r="V134" s="3993"/>
      <c r="W134" s="3993"/>
      <c r="X134" s="3993" t="s">
        <v>4040</v>
      </c>
      <c r="Y134" s="3993"/>
      <c r="Z134" s="3993" t="s">
        <v>4014</v>
      </c>
      <c r="AA134" s="3993" t="s">
        <v>4015</v>
      </c>
      <c r="AB134" s="3993" t="s">
        <v>4016</v>
      </c>
      <c r="AC134" s="3993" t="s">
        <v>4017</v>
      </c>
      <c r="AD134" s="3993" t="s">
        <v>4018</v>
      </c>
      <c r="AE134" s="3993" t="s">
        <v>4041</v>
      </c>
      <c r="AF134" s="3993"/>
      <c r="AG134" s="3993" t="s">
        <v>4020</v>
      </c>
      <c r="AH134" s="3993" t="s">
        <v>4021</v>
      </c>
      <c r="AI134" s="3993" t="s">
        <v>4042</v>
      </c>
      <c r="AJ134" s="3993" t="s">
        <v>4043</v>
      </c>
      <c r="AK134" s="3993" t="s">
        <v>4044</v>
      </c>
      <c r="AL134" s="3993" t="s">
        <v>4045</v>
      </c>
      <c r="AM134" s="3993" t="s">
        <v>4026</v>
      </c>
      <c r="AN134" s="3993" t="s">
        <v>4046</v>
      </c>
      <c r="AO134" s="3993" t="s">
        <v>4047</v>
      </c>
      <c r="AP134" s="3993" t="s">
        <v>4048</v>
      </c>
      <c r="AQ134" s="3993" t="s">
        <v>4030</v>
      </c>
      <c r="AR134" s="3993" t="s">
        <v>4031</v>
      </c>
      <c r="AS134" s="3993"/>
      <c r="AT134" s="3993"/>
      <c r="AU134" s="3993" t="s">
        <v>4032</v>
      </c>
      <c r="AV134" s="3993" t="s">
        <v>4033</v>
      </c>
      <c r="AW134" s="3993"/>
      <c r="AX134" s="3993" t="s">
        <v>4034</v>
      </c>
      <c r="AY134" s="3993" t="s">
        <v>4033</v>
      </c>
      <c r="AZ134" s="3993" t="s">
        <v>4049</v>
      </c>
      <c r="BA134" s="3993" t="s">
        <v>3703</v>
      </c>
      <c r="BB134" s="3993"/>
      <c r="BC134" s="3993">
        <v>2013</v>
      </c>
      <c r="BD134" s="3993">
        <v>1</v>
      </c>
      <c r="BE134" s="3993">
        <v>28</v>
      </c>
      <c r="BF134" s="3993" t="s">
        <v>4050</v>
      </c>
      <c r="BG134" s="3993" t="s">
        <v>3671</v>
      </c>
      <c r="BH134" s="3993">
        <v>2005</v>
      </c>
      <c r="BI134" s="3993" t="s">
        <v>3459</v>
      </c>
      <c r="BJ134" s="3993">
        <v>104</v>
      </c>
      <c r="BK134" s="3993">
        <v>20</v>
      </c>
    </row>
    <row r="135" spans="1:63">
      <c r="A135" s="3993" t="s">
        <v>3835</v>
      </c>
      <c r="B135" s="3993" t="s">
        <v>4036</v>
      </c>
      <c r="C135" s="3993" t="s">
        <v>3914</v>
      </c>
      <c r="D135" s="3993" t="s">
        <v>4051</v>
      </c>
      <c r="E135" s="3993"/>
      <c r="F135" s="3993"/>
      <c r="G135" s="3993" t="s">
        <v>4004</v>
      </c>
      <c r="H135" s="3993" t="s">
        <v>4052</v>
      </c>
      <c r="I135" s="3993" t="s">
        <v>4004</v>
      </c>
      <c r="J135" s="3993" t="s">
        <v>4006</v>
      </c>
      <c r="K135" s="3993" t="s">
        <v>4006</v>
      </c>
      <c r="L135" s="3993" t="s">
        <v>4004</v>
      </c>
      <c r="M135" s="3993" t="s">
        <v>4007</v>
      </c>
      <c r="N135" s="3993" t="s">
        <v>4007</v>
      </c>
      <c r="O135" s="3993" t="s">
        <v>4053</v>
      </c>
      <c r="P135" s="3993" t="s">
        <v>4009</v>
      </c>
      <c r="Q135" s="3993" t="s">
        <v>4009</v>
      </c>
      <c r="R135" s="3993" t="s">
        <v>4010</v>
      </c>
      <c r="S135" s="3993"/>
      <c r="T135" s="3993" t="s">
        <v>4054</v>
      </c>
      <c r="U135" s="3993" t="s">
        <v>4012</v>
      </c>
      <c r="V135" s="3993"/>
      <c r="W135" s="3993"/>
      <c r="X135" s="3993" t="s">
        <v>4040</v>
      </c>
      <c r="Y135" s="3993"/>
      <c r="Z135" s="3993" t="s">
        <v>4014</v>
      </c>
      <c r="AA135" s="3993" t="s">
        <v>4015</v>
      </c>
      <c r="AB135" s="3993" t="s">
        <v>4016</v>
      </c>
      <c r="AC135" s="3993" t="s">
        <v>4017</v>
      </c>
      <c r="AD135" s="3993" t="s">
        <v>4018</v>
      </c>
      <c r="AE135" s="3993" t="s">
        <v>4019</v>
      </c>
      <c r="AF135" s="3993"/>
      <c r="AG135" s="3993" t="s">
        <v>4055</v>
      </c>
      <c r="AH135" s="3993" t="s">
        <v>4021</v>
      </c>
      <c r="AI135" s="3993" t="s">
        <v>4022</v>
      </c>
      <c r="AJ135" s="3993" t="s">
        <v>4043</v>
      </c>
      <c r="AK135" s="3993" t="s">
        <v>4044</v>
      </c>
      <c r="AL135" s="3993" t="s">
        <v>4045</v>
      </c>
      <c r="AM135" s="3993" t="s">
        <v>4026</v>
      </c>
      <c r="AN135" s="3993" t="s">
        <v>4046</v>
      </c>
      <c r="AO135" s="3993" t="s">
        <v>4028</v>
      </c>
      <c r="AP135" s="3993" t="s">
        <v>4056</v>
      </c>
      <c r="AQ135" s="3993" t="s">
        <v>4030</v>
      </c>
      <c r="AR135" s="3993" t="s">
        <v>4031</v>
      </c>
      <c r="AS135" s="3993"/>
      <c r="AT135" s="3993"/>
      <c r="AU135" s="3993" t="s">
        <v>4032</v>
      </c>
      <c r="AV135" s="3993" t="s">
        <v>4033</v>
      </c>
      <c r="AW135" s="3993"/>
      <c r="AX135" s="3993" t="s">
        <v>4034</v>
      </c>
      <c r="AY135" s="3993" t="s">
        <v>4033</v>
      </c>
      <c r="AZ135" s="3993" t="s">
        <v>3418</v>
      </c>
      <c r="BA135" s="3993" t="s">
        <v>3651</v>
      </c>
      <c r="BB135" s="3993"/>
      <c r="BC135" s="3993">
        <v>2013</v>
      </c>
      <c r="BD135" s="3993">
        <v>3</v>
      </c>
      <c r="BE135" s="3993">
        <v>16</v>
      </c>
      <c r="BF135" s="3993" t="s">
        <v>4057</v>
      </c>
      <c r="BG135" s="3993" t="s">
        <v>3671</v>
      </c>
      <c r="BH135" s="3993">
        <v>2005</v>
      </c>
      <c r="BI135" s="3993" t="s">
        <v>3943</v>
      </c>
      <c r="BJ135" s="3993">
        <v>104</v>
      </c>
      <c r="BK135" s="3993">
        <v>23</v>
      </c>
    </row>
  </sheetData>
  <phoneticPr fontId="134" type="noConversion"/>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1765</v>
      </c>
      <c r="C1" s="1238" t="s">
        <v>1662</v>
      </c>
      <c r="D1" s="1225"/>
      <c r="E1" s="3426"/>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1767</v>
      </c>
      <c r="D3" s="353">
        <f>IF(D1="",'数据-汇总表'!E3,SUMIF('数据-汇总表'!$C19:$C33,D1,'数据-汇总表'!$E19:$E33))</f>
        <v>102.54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1768</v>
      </c>
      <c r="B4" s="356"/>
      <c r="C4" s="3718" t="s">
        <v>1769</v>
      </c>
      <c r="D4" s="3719"/>
      <c r="E4" s="3720" t="s">
        <v>1770</v>
      </c>
      <c r="F4" s="3721"/>
      <c r="G4" s="3718" t="s">
        <v>1771</v>
      </c>
      <c r="H4" s="3719"/>
      <c r="I4" s="3718" t="s">
        <v>1772</v>
      </c>
      <c r="J4" s="3719"/>
      <c r="K4" s="559" t="s">
        <v>1773</v>
      </c>
      <c r="L4" s="2715"/>
      <c r="M4" s="2716"/>
      <c r="N4" s="2716"/>
      <c r="O4" s="2716"/>
      <c r="P4" s="3722" t="s">
        <v>1774</v>
      </c>
      <c r="Q4" s="3723"/>
      <c r="R4" s="3728" t="s">
        <v>1770</v>
      </c>
      <c r="S4" s="3729"/>
      <c r="T4" s="3728" t="s">
        <v>1771</v>
      </c>
      <c r="U4" s="3729"/>
      <c r="V4" s="3734" t="s">
        <v>1772</v>
      </c>
      <c r="W4" s="3734"/>
      <c r="X4" s="1355"/>
      <c r="Y4" s="3728" t="s">
        <v>1774</v>
      </c>
      <c r="Z4" s="3729"/>
      <c r="AA4" s="3715" t="s">
        <v>1770</v>
      </c>
      <c r="AB4" s="3734" t="s">
        <v>1771</v>
      </c>
      <c r="AC4" s="3715" t="s">
        <v>1772</v>
      </c>
    </row>
    <row r="5" spans="1:29">
      <c r="A5" s="358"/>
      <c r="B5" s="359"/>
      <c r="C5" s="3748" t="s">
        <v>1673</v>
      </c>
      <c r="D5" s="3743"/>
      <c r="E5" s="3750" t="s">
        <v>1674</v>
      </c>
      <c r="F5" s="3751"/>
      <c r="G5" s="3748" t="s">
        <v>1675</v>
      </c>
      <c r="H5" s="3743"/>
      <c r="I5" s="3748" t="s">
        <v>1676</v>
      </c>
      <c r="J5" s="3743"/>
      <c r="K5" s="559"/>
      <c r="L5" s="2715"/>
      <c r="M5" s="2716"/>
      <c r="N5" s="2716"/>
      <c r="O5" s="2716"/>
      <c r="P5" s="3724"/>
      <c r="Q5" s="3725"/>
      <c r="R5" s="3730"/>
      <c r="S5" s="3731"/>
      <c r="T5" s="3730"/>
      <c r="U5" s="3731"/>
      <c r="V5" s="3734"/>
      <c r="W5" s="3734"/>
      <c r="X5" s="1355"/>
      <c r="Y5" s="3730"/>
      <c r="Z5" s="3731"/>
      <c r="AA5" s="3716"/>
      <c r="AB5" s="3734"/>
      <c r="AC5" s="3716"/>
    </row>
    <row r="6" spans="1:29" ht="15" thickBot="1">
      <c r="A6" s="360"/>
      <c r="B6" s="361"/>
      <c r="C6" s="3747" t="s">
        <v>1677</v>
      </c>
      <c r="D6" s="3736"/>
      <c r="E6" s="3749" t="s">
        <v>1677</v>
      </c>
      <c r="F6" s="3745"/>
      <c r="G6" s="3747" t="s">
        <v>1677</v>
      </c>
      <c r="H6" s="3736"/>
      <c r="I6" s="3747" t="s">
        <v>1677</v>
      </c>
      <c r="J6" s="3736"/>
      <c r="K6" s="559" t="s">
        <v>1678</v>
      </c>
      <c r="L6" s="2715"/>
      <c r="M6" s="2716"/>
      <c r="N6" s="2716"/>
      <c r="O6" s="2716"/>
      <c r="P6" s="3726"/>
      <c r="Q6" s="3727"/>
      <c r="R6" s="3730"/>
      <c r="S6" s="3731"/>
      <c r="T6" s="3732"/>
      <c r="U6" s="3733"/>
      <c r="V6" s="3734"/>
      <c r="W6" s="3734"/>
      <c r="X6" s="1355"/>
      <c r="Y6" s="3732"/>
      <c r="Z6" s="3733"/>
      <c r="AA6" s="3717"/>
      <c r="AB6" s="3734"/>
      <c r="AC6" s="3717"/>
    </row>
    <row r="7" spans="1:29" s="108" customFormat="1" ht="15" thickBot="1">
      <c r="A7" s="362" t="s">
        <v>1679</v>
      </c>
      <c r="B7" s="363"/>
      <c r="C7" s="364">
        <f>'数据-取费表'!B2</f>
        <v>41424</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39" t="s">
        <v>1680</v>
      </c>
      <c r="Q7" s="3741"/>
      <c r="R7" s="701" t="s">
        <v>14</v>
      </c>
      <c r="S7" s="702">
        <f t="shared" ref="S7:S15" si="0">F7</f>
        <v>0</v>
      </c>
      <c r="T7" s="701" t="s">
        <v>14</v>
      </c>
      <c r="U7" s="702">
        <f t="shared" ref="U7:U15" si="1">H7</f>
        <v>0</v>
      </c>
      <c r="V7" s="701" t="s">
        <v>14</v>
      </c>
      <c r="W7" s="702">
        <f t="shared" ref="W7:W15" si="2">J7</f>
        <v>0</v>
      </c>
      <c r="X7" s="703"/>
      <c r="Y7" s="3739" t="s">
        <v>1680</v>
      </c>
      <c r="Z7" s="3740"/>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39" t="s">
        <v>1683</v>
      </c>
      <c r="Q8" s="3740"/>
      <c r="R8" s="701" t="s">
        <v>14</v>
      </c>
      <c r="S8" s="702">
        <f t="shared" si="0"/>
        <v>100</v>
      </c>
      <c r="T8" s="701" t="s">
        <v>14</v>
      </c>
      <c r="U8" s="702">
        <f t="shared" si="1"/>
        <v>100</v>
      </c>
      <c r="V8" s="701" t="s">
        <v>14</v>
      </c>
      <c r="W8" s="702">
        <f t="shared" si="2"/>
        <v>100</v>
      </c>
      <c r="X8" s="703"/>
      <c r="Y8" s="3739" t="s">
        <v>1683</v>
      </c>
      <c r="Z8" s="3740"/>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14" t="s">
        <v>1686</v>
      </c>
      <c r="Q9" s="1343" t="str">
        <f t="shared" ref="Q9:Q15" si="6">B9</f>
        <v>用途</v>
      </c>
      <c r="R9" s="701" t="s">
        <v>14</v>
      </c>
      <c r="S9" s="702">
        <f t="shared" si="0"/>
        <v>100</v>
      </c>
      <c r="T9" s="701" t="s">
        <v>14</v>
      </c>
      <c r="U9" s="702">
        <f t="shared" si="1"/>
        <v>100</v>
      </c>
      <c r="V9" s="701" t="s">
        <v>14</v>
      </c>
      <c r="W9" s="702">
        <f t="shared" si="2"/>
        <v>100</v>
      </c>
      <c r="X9" s="703"/>
      <c r="Y9" s="3578"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14"/>
      <c r="Q10" s="1343" t="str">
        <f t="shared" si="6"/>
        <v>土地使用年限（年）</v>
      </c>
      <c r="R10" s="701" t="s">
        <v>14</v>
      </c>
      <c r="S10" s="702">
        <f t="shared" si="0"/>
        <v>100</v>
      </c>
      <c r="T10" s="701" t="s">
        <v>14</v>
      </c>
      <c r="U10" s="702">
        <f t="shared" si="1"/>
        <v>100</v>
      </c>
      <c r="V10" s="701" t="s">
        <v>14</v>
      </c>
      <c r="W10" s="702">
        <f t="shared" si="2"/>
        <v>100</v>
      </c>
      <c r="X10" s="703"/>
      <c r="Y10" s="357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14"/>
      <c r="Q11" s="1343" t="str">
        <f t="shared" si="6"/>
        <v>容积率</v>
      </c>
      <c r="R11" s="701" t="s">
        <v>14</v>
      </c>
      <c r="S11" s="702" t="e">
        <f t="shared" si="0"/>
        <v>#N/A</v>
      </c>
      <c r="T11" s="701" t="s">
        <v>14</v>
      </c>
      <c r="U11" s="702" t="e">
        <f t="shared" si="1"/>
        <v>#N/A</v>
      </c>
      <c r="V11" s="701" t="s">
        <v>14</v>
      </c>
      <c r="W11" s="702" t="e">
        <f t="shared" si="2"/>
        <v>#N/A</v>
      </c>
      <c r="X11" s="703"/>
      <c r="Y11" s="357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14"/>
      <c r="Q12" s="1343">
        <f t="shared" si="6"/>
        <v>111</v>
      </c>
      <c r="R12" s="701" t="s">
        <v>14</v>
      </c>
      <c r="S12" s="702">
        <f t="shared" si="0"/>
        <v>100</v>
      </c>
      <c r="T12" s="701" t="s">
        <v>14</v>
      </c>
      <c r="U12" s="702">
        <f t="shared" si="1"/>
        <v>100</v>
      </c>
      <c r="V12" s="701" t="s">
        <v>14</v>
      </c>
      <c r="W12" s="702">
        <f t="shared" si="2"/>
        <v>100</v>
      </c>
      <c r="X12" s="703"/>
      <c r="Y12" s="357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14"/>
      <c r="Q13" s="1343">
        <f t="shared" si="6"/>
        <v>111</v>
      </c>
      <c r="R13" s="701" t="s">
        <v>14</v>
      </c>
      <c r="S13" s="702">
        <f t="shared" si="0"/>
        <v>100</v>
      </c>
      <c r="T13" s="701" t="s">
        <v>14</v>
      </c>
      <c r="U13" s="702">
        <f t="shared" si="1"/>
        <v>100</v>
      </c>
      <c r="V13" s="701" t="s">
        <v>14</v>
      </c>
      <c r="W13" s="702">
        <f t="shared" si="2"/>
        <v>100</v>
      </c>
      <c r="X13" s="703"/>
      <c r="Y13" s="3578"/>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14"/>
      <c r="Q14" s="1343">
        <f t="shared" si="6"/>
        <v>111</v>
      </c>
      <c r="R14" s="701" t="s">
        <v>14</v>
      </c>
      <c r="S14" s="702">
        <f t="shared" si="0"/>
        <v>100</v>
      </c>
      <c r="T14" s="701" t="s">
        <v>14</v>
      </c>
      <c r="U14" s="702">
        <f t="shared" si="1"/>
        <v>100</v>
      </c>
      <c r="V14" s="701" t="s">
        <v>14</v>
      </c>
      <c r="W14" s="702">
        <f t="shared" si="2"/>
        <v>100</v>
      </c>
      <c r="X14" s="703"/>
      <c r="Y14" s="3578"/>
      <c r="Z14" s="52">
        <f t="shared" si="7"/>
        <v>111</v>
      </c>
      <c r="AA14" s="704">
        <f t="shared" si="3"/>
        <v>1</v>
      </c>
      <c r="AB14" s="704">
        <f t="shared" si="4"/>
        <v>1</v>
      </c>
      <c r="AC14" s="704">
        <f t="shared" si="5"/>
        <v>1</v>
      </c>
    </row>
    <row r="15" spans="1:29" ht="69">
      <c r="A15" s="391" t="s">
        <v>1690</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2" t="s">
        <v>1691</v>
      </c>
      <c r="Q15" s="1352" t="str">
        <f t="shared" si="6"/>
        <v>商业繁华度</v>
      </c>
      <c r="R15" s="705" t="s">
        <v>14</v>
      </c>
      <c r="S15" s="706">
        <f t="shared" si="0"/>
        <v>100</v>
      </c>
      <c r="T15" s="705" t="s">
        <v>14</v>
      </c>
      <c r="U15" s="706">
        <f t="shared" si="1"/>
        <v>100</v>
      </c>
      <c r="V15" s="705" t="s">
        <v>14</v>
      </c>
      <c r="W15" s="706">
        <f t="shared" si="2"/>
        <v>100</v>
      </c>
      <c r="X15" s="1355"/>
      <c r="Y15" s="370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3"/>
      <c r="Q16" s="1352"/>
      <c r="R16" s="705"/>
      <c r="S16" s="706"/>
      <c r="T16" s="705"/>
      <c r="U16" s="706"/>
      <c r="V16" s="705"/>
      <c r="W16" s="706"/>
      <c r="X16" s="1355"/>
      <c r="Y16" s="3706"/>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3"/>
      <c r="Q17" s="1352" t="str">
        <f>B17</f>
        <v>交通便捷度</v>
      </c>
      <c r="R17" s="705" t="s">
        <v>14</v>
      </c>
      <c r="S17" s="706">
        <f>F17</f>
        <v>100</v>
      </c>
      <c r="T17" s="705" t="s">
        <v>14</v>
      </c>
      <c r="U17" s="706">
        <f>H17</f>
        <v>100</v>
      </c>
      <c r="V17" s="705" t="s">
        <v>14</v>
      </c>
      <c r="W17" s="706">
        <f>J17</f>
        <v>100</v>
      </c>
      <c r="X17" s="1355"/>
      <c r="Y17" s="370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3"/>
      <c r="Q18" s="1352"/>
      <c r="R18" s="705"/>
      <c r="S18" s="706"/>
      <c r="T18" s="705"/>
      <c r="U18" s="706"/>
      <c r="V18" s="705"/>
      <c r="W18" s="706"/>
      <c r="X18" s="1355"/>
      <c r="Y18" s="3706"/>
      <c r="Z18" s="1356"/>
      <c r="AA18" s="1353">
        <v>1</v>
      </c>
      <c r="AB18" s="1353">
        <v>1</v>
      </c>
      <c r="AC18" s="1353">
        <v>1</v>
      </c>
    </row>
    <row r="19" spans="1:29" ht="41.4">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3"/>
      <c r="Q19" s="1352" t="str">
        <f>B19</f>
        <v>公共配套设施</v>
      </c>
      <c r="R19" s="705" t="s">
        <v>14</v>
      </c>
      <c r="S19" s="706">
        <f>F19</f>
        <v>100</v>
      </c>
      <c r="T19" s="705" t="s">
        <v>14</v>
      </c>
      <c r="U19" s="706">
        <f>H19</f>
        <v>100</v>
      </c>
      <c r="V19" s="705" t="s">
        <v>14</v>
      </c>
      <c r="W19" s="706">
        <f>J19</f>
        <v>100</v>
      </c>
      <c r="X19" s="1355"/>
      <c r="Y19" s="370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3"/>
      <c r="Q20" s="1352"/>
      <c r="R20" s="705"/>
      <c r="S20" s="706"/>
      <c r="T20" s="705"/>
      <c r="U20" s="706"/>
      <c r="V20" s="705"/>
      <c r="W20" s="706"/>
      <c r="X20" s="1355"/>
      <c r="Y20" s="3706"/>
      <c r="Z20" s="1356"/>
      <c r="AA20" s="1353">
        <v>1</v>
      </c>
      <c r="AB20" s="1353">
        <v>1</v>
      </c>
      <c r="AC20" s="1353">
        <v>1</v>
      </c>
    </row>
    <row r="21" spans="1:29" ht="27.6">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3"/>
      <c r="Q21" s="1352" t="str">
        <f>B21</f>
        <v>基础设施水平</v>
      </c>
      <c r="R21" s="705" t="s">
        <v>14</v>
      </c>
      <c r="S21" s="706">
        <f>F21</f>
        <v>100</v>
      </c>
      <c r="T21" s="705" t="s">
        <v>14</v>
      </c>
      <c r="U21" s="706">
        <f>H21</f>
        <v>100</v>
      </c>
      <c r="V21" s="705" t="s">
        <v>14</v>
      </c>
      <c r="W21" s="706">
        <f>J21</f>
        <v>100</v>
      </c>
      <c r="X21" s="1355"/>
      <c r="Y21" s="370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3"/>
      <c r="Q22" s="1352"/>
      <c r="R22" s="705"/>
      <c r="S22" s="706"/>
      <c r="T22" s="705"/>
      <c r="U22" s="706"/>
      <c r="V22" s="705"/>
      <c r="W22" s="706"/>
      <c r="X22" s="1355"/>
      <c r="Y22" s="3706"/>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3"/>
      <c r="Q23" s="1352" t="str">
        <f>B23</f>
        <v>自然及人文环境</v>
      </c>
      <c r="R23" s="705" t="s">
        <v>14</v>
      </c>
      <c r="S23" s="706">
        <f>F23</f>
        <v>100</v>
      </c>
      <c r="T23" s="705" t="s">
        <v>14</v>
      </c>
      <c r="U23" s="706">
        <f>H23</f>
        <v>100</v>
      </c>
      <c r="V23" s="705" t="s">
        <v>14</v>
      </c>
      <c r="W23" s="706">
        <f>J23</f>
        <v>100</v>
      </c>
      <c r="X23" s="1355"/>
      <c r="Y23" s="370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3"/>
      <c r="Q24" s="1352"/>
      <c r="R24" s="705"/>
      <c r="S24" s="706"/>
      <c r="T24" s="705"/>
      <c r="U24" s="706"/>
      <c r="V24" s="705"/>
      <c r="W24" s="706"/>
      <c r="X24" s="1355"/>
      <c r="Y24" s="3706"/>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3"/>
      <c r="Q25" s="1352" t="str">
        <f t="shared" ref="Q25:Q46" si="11">B25</f>
        <v>临街状况</v>
      </c>
      <c r="R25" s="705" t="s">
        <v>14</v>
      </c>
      <c r="S25" s="706">
        <f>F25</f>
        <v>100</v>
      </c>
      <c r="T25" s="705" t="s">
        <v>14</v>
      </c>
      <c r="U25" s="706">
        <f>H25</f>
        <v>100</v>
      </c>
      <c r="V25" s="705" t="s">
        <v>14</v>
      </c>
      <c r="W25" s="706">
        <f>J25</f>
        <v>100</v>
      </c>
      <c r="X25" s="1355"/>
      <c r="Y25" s="3706"/>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3"/>
      <c r="Q26" s="1352" t="str">
        <f t="shared" si="11"/>
        <v>平面位置/可视性</v>
      </c>
      <c r="R26" s="705" t="s">
        <v>14</v>
      </c>
      <c r="S26" s="706">
        <f>F26</f>
        <v>100</v>
      </c>
      <c r="T26" s="705" t="s">
        <v>14</v>
      </c>
      <c r="U26" s="706">
        <f>H26</f>
        <v>100</v>
      </c>
      <c r="V26" s="705" t="s">
        <v>14</v>
      </c>
      <c r="W26" s="706">
        <f>J26</f>
        <v>100</v>
      </c>
      <c r="X26" s="1355"/>
      <c r="Y26" s="3706"/>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3"/>
      <c r="Q27" s="1343" t="str">
        <f t="shared" si="11"/>
        <v>人流量</v>
      </c>
      <c r="R27" s="701" t="s">
        <v>14</v>
      </c>
      <c r="S27" s="702">
        <f>F27</f>
        <v>100</v>
      </c>
      <c r="T27" s="701" t="s">
        <v>14</v>
      </c>
      <c r="U27" s="702">
        <f>H27</f>
        <v>100</v>
      </c>
      <c r="V27" s="701" t="s">
        <v>14</v>
      </c>
      <c r="W27" s="702">
        <f>J27</f>
        <v>100</v>
      </c>
      <c r="X27" s="703"/>
      <c r="Y27" s="3706"/>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3"/>
      <c r="Q29" s="1352">
        <f t="shared" si="11"/>
        <v>111</v>
      </c>
      <c r="R29" s="705" t="s">
        <v>14</v>
      </c>
      <c r="S29" s="706">
        <f t="shared" si="12"/>
        <v>100</v>
      </c>
      <c r="T29" s="705" t="s">
        <v>14</v>
      </c>
      <c r="U29" s="706">
        <f t="shared" si="13"/>
        <v>100</v>
      </c>
      <c r="V29" s="705" t="s">
        <v>14</v>
      </c>
      <c r="W29" s="706">
        <f t="shared" si="14"/>
        <v>100</v>
      </c>
      <c r="X29" s="1355"/>
      <c r="Y29" s="370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3"/>
      <c r="Q30" s="1352">
        <f t="shared" si="11"/>
        <v>111</v>
      </c>
      <c r="R30" s="705" t="s">
        <v>14</v>
      </c>
      <c r="S30" s="706">
        <f t="shared" si="12"/>
        <v>100</v>
      </c>
      <c r="T30" s="705" t="s">
        <v>14</v>
      </c>
      <c r="U30" s="706">
        <f t="shared" si="13"/>
        <v>100</v>
      </c>
      <c r="V30" s="705" t="s">
        <v>14</v>
      </c>
      <c r="W30" s="706">
        <f t="shared" si="14"/>
        <v>100</v>
      </c>
      <c r="X30" s="1355"/>
      <c r="Y30" s="3706"/>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3"/>
      <c r="Q31" s="1352">
        <f t="shared" si="11"/>
        <v>111</v>
      </c>
      <c r="R31" s="705" t="s">
        <v>14</v>
      </c>
      <c r="S31" s="706">
        <f t="shared" si="12"/>
        <v>100</v>
      </c>
      <c r="T31" s="705" t="s">
        <v>14</v>
      </c>
      <c r="U31" s="706">
        <f t="shared" si="13"/>
        <v>100</v>
      </c>
      <c r="V31" s="705" t="s">
        <v>14</v>
      </c>
      <c r="W31" s="706">
        <f t="shared" si="14"/>
        <v>100</v>
      </c>
      <c r="X31" s="1355"/>
      <c r="Y31" s="3706"/>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7" t="s">
        <v>1695</v>
      </c>
      <c r="Q32" s="1352" t="str">
        <f t="shared" si="11"/>
        <v>商业类型</v>
      </c>
      <c r="R32" s="705" t="s">
        <v>14</v>
      </c>
      <c r="S32" s="706">
        <f t="shared" si="12"/>
        <v>100</v>
      </c>
      <c r="T32" s="705" t="s">
        <v>14</v>
      </c>
      <c r="U32" s="706">
        <f t="shared" si="13"/>
        <v>100</v>
      </c>
      <c r="V32" s="705" t="s">
        <v>14</v>
      </c>
      <c r="W32" s="706">
        <f t="shared" si="14"/>
        <v>100</v>
      </c>
      <c r="X32" s="1355"/>
      <c r="Y32" s="3710"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8"/>
      <c r="Q33" s="707" t="str">
        <f t="shared" si="11"/>
        <v>项目建筑规模</v>
      </c>
      <c r="R33" s="708" t="s">
        <v>14</v>
      </c>
      <c r="S33" s="709" t="e">
        <f t="shared" si="12"/>
        <v>#N/A</v>
      </c>
      <c r="T33" s="708" t="s">
        <v>14</v>
      </c>
      <c r="U33" s="709" t="e">
        <f t="shared" si="13"/>
        <v>#N/A</v>
      </c>
      <c r="V33" s="708" t="s">
        <v>14</v>
      </c>
      <c r="W33" s="709" t="e">
        <f t="shared" si="14"/>
        <v>#N/A</v>
      </c>
      <c r="X33" s="710"/>
      <c r="Y33" s="3710"/>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8"/>
      <c r="Q34" s="1352" t="str">
        <f t="shared" si="11"/>
        <v>建筑结构</v>
      </c>
      <c r="R34" s="705" t="s">
        <v>14</v>
      </c>
      <c r="S34" s="706">
        <f t="shared" si="12"/>
        <v>100</v>
      </c>
      <c r="T34" s="705" t="s">
        <v>14</v>
      </c>
      <c r="U34" s="706">
        <f t="shared" si="13"/>
        <v>100</v>
      </c>
      <c r="V34" s="705" t="s">
        <v>14</v>
      </c>
      <c r="W34" s="706">
        <f t="shared" si="14"/>
        <v>100</v>
      </c>
      <c r="X34" s="1355"/>
      <c r="Y34" s="3710"/>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8"/>
      <c r="Q35" s="1352" t="str">
        <f t="shared" si="11"/>
        <v>公共部分装修</v>
      </c>
      <c r="R35" s="705" t="s">
        <v>14</v>
      </c>
      <c r="S35" s="706">
        <f t="shared" si="12"/>
        <v>100</v>
      </c>
      <c r="T35" s="705" t="s">
        <v>14</v>
      </c>
      <c r="U35" s="706">
        <f t="shared" si="13"/>
        <v>100</v>
      </c>
      <c r="V35" s="705" t="s">
        <v>14</v>
      </c>
      <c r="W35" s="706">
        <f t="shared" si="14"/>
        <v>100</v>
      </c>
      <c r="X35" s="1355"/>
      <c r="Y35" s="3710"/>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8"/>
      <c r="Q36" s="1352" t="str">
        <f t="shared" si="11"/>
        <v>成新度</v>
      </c>
      <c r="R36" s="705" t="s">
        <v>14</v>
      </c>
      <c r="S36" s="706" t="e">
        <f t="shared" si="12"/>
        <v>#N/A</v>
      </c>
      <c r="T36" s="705" t="s">
        <v>14</v>
      </c>
      <c r="U36" s="706" t="e">
        <f t="shared" si="13"/>
        <v>#N/A</v>
      </c>
      <c r="V36" s="705" t="s">
        <v>14</v>
      </c>
      <c r="W36" s="706" t="e">
        <f t="shared" si="14"/>
        <v>#N/A</v>
      </c>
      <c r="X36" s="1355"/>
      <c r="Y36" s="3710"/>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8"/>
      <c r="Q37" s="1343" t="str">
        <f t="shared" si="11"/>
        <v>市政基础设施</v>
      </c>
      <c r="R37" s="701" t="s">
        <v>14</v>
      </c>
      <c r="S37" s="702">
        <f t="shared" si="12"/>
        <v>100</v>
      </c>
      <c r="T37" s="701" t="s">
        <v>14</v>
      </c>
      <c r="U37" s="702">
        <f t="shared" si="13"/>
        <v>100</v>
      </c>
      <c r="V37" s="701" t="s">
        <v>14</v>
      </c>
      <c r="W37" s="702">
        <f t="shared" si="14"/>
        <v>100</v>
      </c>
      <c r="X37" s="703"/>
      <c r="Y37" s="3710"/>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8" t="s">
        <v>1695</v>
      </c>
      <c r="Q38" s="1352" t="str">
        <f t="shared" si="11"/>
        <v>业态</v>
      </c>
      <c r="R38" s="705" t="s">
        <v>14</v>
      </c>
      <c r="S38" s="706">
        <f t="shared" si="12"/>
        <v>100</v>
      </c>
      <c r="T38" s="705" t="s">
        <v>14</v>
      </c>
      <c r="U38" s="706">
        <f t="shared" si="13"/>
        <v>100</v>
      </c>
      <c r="V38" s="705" t="s">
        <v>14</v>
      </c>
      <c r="W38" s="706">
        <f t="shared" si="14"/>
        <v>100</v>
      </c>
      <c r="X38" s="1355"/>
      <c r="Y38" s="3710"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8"/>
      <c r="Q39" s="1352" t="str">
        <f t="shared" si="11"/>
        <v>层高</v>
      </c>
      <c r="R39" s="705" t="s">
        <v>14</v>
      </c>
      <c r="S39" s="706">
        <f t="shared" si="12"/>
        <v>100</v>
      </c>
      <c r="T39" s="705" t="s">
        <v>14</v>
      </c>
      <c r="U39" s="706">
        <f t="shared" si="13"/>
        <v>100</v>
      </c>
      <c r="V39" s="705" t="s">
        <v>14</v>
      </c>
      <c r="W39" s="706">
        <f t="shared" si="14"/>
        <v>100</v>
      </c>
      <c r="X39" s="1355"/>
      <c r="Y39" s="3710"/>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8"/>
      <c r="Q40" s="1352" t="str">
        <f t="shared" si="11"/>
        <v>单套建筑面积</v>
      </c>
      <c r="R40" s="705" t="s">
        <v>14</v>
      </c>
      <c r="S40" s="706">
        <f t="shared" si="12"/>
        <v>100</v>
      </c>
      <c r="T40" s="705" t="s">
        <v>14</v>
      </c>
      <c r="U40" s="706">
        <f t="shared" si="13"/>
        <v>100</v>
      </c>
      <c r="V40" s="705" t="s">
        <v>14</v>
      </c>
      <c r="W40" s="706">
        <f t="shared" si="14"/>
        <v>100</v>
      </c>
      <c r="X40" s="1355"/>
      <c r="Y40" s="3710"/>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8"/>
      <c r="Q41" s="707" t="str">
        <f t="shared" si="11"/>
        <v>进深比</v>
      </c>
      <c r="R41" s="708" t="s">
        <v>14</v>
      </c>
      <c r="S41" s="709">
        <f t="shared" si="12"/>
        <v>100</v>
      </c>
      <c r="T41" s="708" t="s">
        <v>14</v>
      </c>
      <c r="U41" s="709">
        <f t="shared" si="13"/>
        <v>100</v>
      </c>
      <c r="V41" s="708" t="s">
        <v>14</v>
      </c>
      <c r="W41" s="709">
        <f t="shared" si="14"/>
        <v>100</v>
      </c>
      <c r="X41" s="710"/>
      <c r="Y41" s="3710"/>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8"/>
      <c r="Q42" s="1352" t="str">
        <f t="shared" si="11"/>
        <v>内部装修</v>
      </c>
      <c r="R42" s="705" t="s">
        <v>14</v>
      </c>
      <c r="S42" s="706">
        <f t="shared" si="12"/>
        <v>100</v>
      </c>
      <c r="T42" s="705" t="s">
        <v>14</v>
      </c>
      <c r="U42" s="706">
        <f t="shared" si="13"/>
        <v>100</v>
      </c>
      <c r="V42" s="705" t="s">
        <v>14</v>
      </c>
      <c r="W42" s="706">
        <f t="shared" si="14"/>
        <v>100</v>
      </c>
      <c r="X42" s="1355"/>
      <c r="Y42" s="3710"/>
      <c r="Z42" s="1356" t="str">
        <f t="shared" si="15"/>
        <v>内部装修</v>
      </c>
      <c r="AA42" s="1353">
        <f t="shared" si="3"/>
        <v>1</v>
      </c>
      <c r="AB42" s="1353">
        <f t="shared" si="4"/>
        <v>1</v>
      </c>
      <c r="AC42" s="1353">
        <f t="shared" si="5"/>
        <v>1</v>
      </c>
    </row>
    <row r="43" spans="1:29" ht="28.8">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8"/>
      <c r="Q43" s="1352" t="str">
        <f t="shared" si="11"/>
        <v>内部装修维护情况</v>
      </c>
      <c r="R43" s="705" t="s">
        <v>14</v>
      </c>
      <c r="S43" s="706">
        <f t="shared" si="12"/>
        <v>100</v>
      </c>
      <c r="T43" s="705" t="s">
        <v>14</v>
      </c>
      <c r="U43" s="706">
        <f t="shared" si="13"/>
        <v>100</v>
      </c>
      <c r="V43" s="705" t="s">
        <v>14</v>
      </c>
      <c r="W43" s="706">
        <f t="shared" si="14"/>
        <v>100</v>
      </c>
      <c r="X43" s="1355"/>
      <c r="Y43" s="371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8"/>
      <c r="Q44" s="1343">
        <f t="shared" si="11"/>
        <v>111</v>
      </c>
      <c r="R44" s="701" t="s">
        <v>14</v>
      </c>
      <c r="S44" s="702">
        <f t="shared" si="12"/>
        <v>100</v>
      </c>
      <c r="T44" s="701" t="s">
        <v>14</v>
      </c>
      <c r="U44" s="702">
        <f t="shared" si="13"/>
        <v>100</v>
      </c>
      <c r="V44" s="701" t="s">
        <v>14</v>
      </c>
      <c r="W44" s="702">
        <f t="shared" si="14"/>
        <v>100</v>
      </c>
      <c r="X44" s="703"/>
      <c r="Y44" s="371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8"/>
      <c r="Q45" s="1352">
        <f t="shared" si="11"/>
        <v>111</v>
      </c>
      <c r="R45" s="705" t="s">
        <v>14</v>
      </c>
      <c r="S45" s="706">
        <f t="shared" si="12"/>
        <v>100</v>
      </c>
      <c r="T45" s="705" t="s">
        <v>14</v>
      </c>
      <c r="U45" s="706">
        <f t="shared" si="13"/>
        <v>100</v>
      </c>
      <c r="V45" s="705" t="s">
        <v>14</v>
      </c>
      <c r="W45" s="706">
        <f t="shared" si="14"/>
        <v>100</v>
      </c>
      <c r="X45" s="1355"/>
      <c r="Y45" s="3710"/>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9"/>
      <c r="Q46" s="1352">
        <f t="shared" si="11"/>
        <v>111</v>
      </c>
      <c r="R46" s="705" t="s">
        <v>14</v>
      </c>
      <c r="S46" s="706">
        <f t="shared" si="12"/>
        <v>100</v>
      </c>
      <c r="T46" s="705" t="s">
        <v>14</v>
      </c>
      <c r="U46" s="706">
        <f t="shared" si="13"/>
        <v>100</v>
      </c>
      <c r="V46" s="705" t="s">
        <v>14</v>
      </c>
      <c r="W46" s="706">
        <f t="shared" si="14"/>
        <v>100</v>
      </c>
      <c r="X46" s="1355"/>
      <c r="Y46" s="3711"/>
      <c r="Z46" s="1356">
        <f t="shared" si="15"/>
        <v>111</v>
      </c>
      <c r="AA46" s="1353">
        <f t="shared" si="3"/>
        <v>1</v>
      </c>
      <c r="AB46" s="1353">
        <f t="shared" si="4"/>
        <v>1</v>
      </c>
      <c r="AC46" s="1353">
        <f t="shared" si="5"/>
        <v>1</v>
      </c>
    </row>
    <row r="47" spans="1:29" ht="14.4">
      <c r="A47" s="430" t="s">
        <v>1707</v>
      </c>
      <c r="B47" s="431"/>
      <c r="C47" s="1154" t="s">
        <v>0</v>
      </c>
      <c r="D47" s="1155"/>
      <c r="E47" s="1156"/>
      <c r="F47" s="1157"/>
      <c r="G47" s="1158"/>
      <c r="H47" s="1159"/>
      <c r="I47" s="1156"/>
      <c r="J47" s="1159"/>
      <c r="K47" s="714"/>
      <c r="L47" s="2724"/>
      <c r="M47" s="2725"/>
      <c r="N47" s="2716"/>
      <c r="O47" s="2725"/>
      <c r="P47" s="3703" t="str">
        <f>A47</f>
        <v>成交单价（元/平方米）</v>
      </c>
      <c r="Q47" s="3703"/>
      <c r="R47" s="3734">
        <f>E47</f>
        <v>0</v>
      </c>
      <c r="S47" s="3734"/>
      <c r="T47" s="3734">
        <f>G47</f>
        <v>0</v>
      </c>
      <c r="U47" s="3734"/>
      <c r="V47" s="3734">
        <f>I47</f>
        <v>0</v>
      </c>
      <c r="W47" s="3734"/>
      <c r="X47" s="690"/>
      <c r="Y47" s="712"/>
      <c r="Z47" s="690"/>
      <c r="AA47" s="690"/>
      <c r="AB47" s="690"/>
      <c r="AC47" s="690"/>
    </row>
    <row r="48" spans="1:29" ht="15" thickBot="1">
      <c r="A48" s="437" t="s">
        <v>1792</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703" t="str">
        <f>A48</f>
        <v>比较价值（元/平方米）</v>
      </c>
      <c r="Q48" s="3703"/>
      <c r="R48" s="3704" t="e">
        <f>IF(F1="售价",ROUND(PRODUCT(R47,AA7:AA46),0),ROUND(PRODUCT(R47,AA7:AA46),1))</f>
        <v>#DIV/0!</v>
      </c>
      <c r="S48" s="3704"/>
      <c r="T48" s="3704" t="e">
        <f>IF(F1="售价",ROUND(PRODUCT(T47,AB7:AB46),0),ROUND(PRODUCT(T47,AB7:AB46),1))</f>
        <v>#DIV/0!</v>
      </c>
      <c r="U48" s="3704"/>
      <c r="V48" s="3704" t="e">
        <f>IF(F1="售价",ROUND(PRODUCT(V47,AC7:AC46),0),ROUND(PRODUCT(V47,AC7:AC46),1))</f>
        <v>#DIV/0!</v>
      </c>
      <c r="W48" s="3704"/>
      <c r="X48" s="690"/>
      <c r="Y48" s="690"/>
      <c r="Z48" s="690"/>
      <c r="AA48" s="690"/>
      <c r="AB48" s="690"/>
      <c r="AC48" s="690"/>
    </row>
    <row r="49" spans="1:29" ht="15" thickBot="1">
      <c r="A49" s="441" t="s">
        <v>1793</v>
      </c>
      <c r="B49" s="442"/>
      <c r="C49" s="1163" t="e">
        <f>R49</f>
        <v>#DIV/0!</v>
      </c>
      <c r="D49" s="1163"/>
      <c r="E49" s="1163"/>
      <c r="F49" s="1163"/>
      <c r="G49" s="1163"/>
      <c r="H49" s="1163"/>
      <c r="I49" s="1163"/>
      <c r="J49" s="1163"/>
      <c r="K49" s="715"/>
      <c r="L49" s="2724"/>
      <c r="M49" s="2725"/>
      <c r="N49" s="2716"/>
      <c r="O49" s="2725"/>
      <c r="P49" s="3700" t="str">
        <f>A49</f>
        <v>估价对象XX用房的比较价值（楼面单价，元/平方米）</v>
      </c>
      <c r="Q49" s="3701"/>
      <c r="R49" s="3702" t="e">
        <f>IF(F1="售价",ROUND(IF(D48="简单平均",AVERAGE(R48:V48),R48*F48+T48*H48+V48*J48),0),ROUND(IF(D48="简单平均",AVERAGE(R48:V48),R48*F48+T48*H48+V48*J48),1))</f>
        <v>#DIV/0!</v>
      </c>
      <c r="S49" s="3702"/>
      <c r="T49" s="3702"/>
      <c r="U49" s="3702"/>
      <c r="V49" s="3702"/>
      <c r="W49" s="370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1797</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2013-5</v>
      </c>
      <c r="D58" s="1185">
        <f>EDATE(C58,-1)</f>
        <v>41365</v>
      </c>
      <c r="E58" s="1185">
        <f t="shared" ref="E58:N58" si="16">EDATE(D58,-1)</f>
        <v>41334</v>
      </c>
      <c r="F58" s="1185">
        <f t="shared" si="16"/>
        <v>41306</v>
      </c>
      <c r="G58" s="1185">
        <f t="shared" si="16"/>
        <v>41275</v>
      </c>
      <c r="H58" s="1185">
        <f t="shared" si="16"/>
        <v>41244</v>
      </c>
      <c r="I58" s="1185">
        <f t="shared" si="16"/>
        <v>41214</v>
      </c>
      <c r="J58" s="1185">
        <f t="shared" si="16"/>
        <v>41183</v>
      </c>
      <c r="K58" s="1185">
        <f t="shared" si="16"/>
        <v>41153</v>
      </c>
      <c r="L58" s="1185">
        <f t="shared" si="16"/>
        <v>41122</v>
      </c>
      <c r="M58" s="1185">
        <f t="shared" si="16"/>
        <v>41091</v>
      </c>
      <c r="N58" s="1185">
        <f t="shared" si="16"/>
        <v>41061</v>
      </c>
      <c r="O58" s="1185">
        <f>EDATE(N58,-1)</f>
        <v>41030</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1715</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1775</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1718</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1719</v>
      </c>
      <c r="C76" s="522" t="s">
        <v>1720</v>
      </c>
      <c r="D76" s="522" t="s">
        <v>1721</v>
      </c>
      <c r="E76" s="522" t="s">
        <v>1722</v>
      </c>
      <c r="F76" s="522" t="s">
        <v>1723</v>
      </c>
      <c r="G76" s="522" t="s">
        <v>1724</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1725</v>
      </c>
      <c r="C78" s="527" t="s">
        <v>1720</v>
      </c>
      <c r="D78" s="527" t="s">
        <v>1721</v>
      </c>
      <c r="E78" s="527" t="s">
        <v>1722</v>
      </c>
      <c r="F78" s="527" t="s">
        <v>1723</v>
      </c>
      <c r="G78" s="527" t="s">
        <v>1724</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1726</v>
      </c>
      <c r="C80" s="527" t="s">
        <v>1720</v>
      </c>
      <c r="D80" s="527" t="s">
        <v>1721</v>
      </c>
      <c r="E80" s="527" t="s">
        <v>1722</v>
      </c>
      <c r="F80" s="527" t="s">
        <v>1723</v>
      </c>
      <c r="G80" s="527" t="s">
        <v>1724</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1778</v>
      </c>
      <c r="C82" s="608" t="s">
        <v>1798</v>
      </c>
      <c r="D82" s="608" t="s">
        <v>1799</v>
      </c>
      <c r="E82" s="608" t="s">
        <v>1800</v>
      </c>
      <c r="F82" s="608" t="s">
        <v>1801</v>
      </c>
      <c r="G82" s="608" t="s">
        <v>1802</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1732</v>
      </c>
      <c r="C84" s="527" t="s">
        <v>1720</v>
      </c>
      <c r="D84" s="527" t="s">
        <v>1721</v>
      </c>
      <c r="E84" s="527" t="s">
        <v>1722</v>
      </c>
      <c r="F84" s="527" t="s">
        <v>1723</v>
      </c>
      <c r="G84" s="527" t="s">
        <v>1724</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1803</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1693</v>
      </c>
      <c r="B100" s="477" t="s">
        <v>1804</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1737</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1739</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1741</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1805</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1806</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1807</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1808</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1743</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1744</v>
      </c>
      <c r="C124" s="527" t="s">
        <v>1720</v>
      </c>
      <c r="D124" s="527" t="s">
        <v>1721</v>
      </c>
      <c r="E124" s="527" t="s">
        <v>1722</v>
      </c>
      <c r="F124" s="527" t="s">
        <v>1723</v>
      </c>
      <c r="G124" s="527" t="s">
        <v>1724</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1809</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1767</v>
      </c>
      <c r="D3" s="353">
        <f>IF(D1="",'数据-汇总表'!E3,SUMIF('数据-汇总表'!$C19:$C33,D1,'数据-汇总表'!$E19:$E33))</f>
        <v>102.54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1768</v>
      </c>
      <c r="B4" s="356"/>
      <c r="C4" s="3718" t="s">
        <v>1769</v>
      </c>
      <c r="D4" s="3719"/>
      <c r="E4" s="3720" t="s">
        <v>1770</v>
      </c>
      <c r="F4" s="3721"/>
      <c r="G4" s="3718" t="s">
        <v>1771</v>
      </c>
      <c r="H4" s="3719"/>
      <c r="I4" s="3718" t="s">
        <v>1772</v>
      </c>
      <c r="J4" s="3719"/>
      <c r="K4" s="559" t="s">
        <v>1773</v>
      </c>
      <c r="L4" s="2715"/>
      <c r="M4" s="2716"/>
      <c r="N4" s="2716"/>
      <c r="O4" s="2716"/>
      <c r="P4" s="3758" t="s">
        <v>1774</v>
      </c>
      <c r="Q4" s="3759"/>
      <c r="R4" s="3762" t="s">
        <v>1770</v>
      </c>
      <c r="S4" s="3763"/>
      <c r="T4" s="3762" t="s">
        <v>1771</v>
      </c>
      <c r="U4" s="3763"/>
      <c r="V4" s="3764" t="s">
        <v>1772</v>
      </c>
      <c r="W4" s="3764"/>
      <c r="X4" s="1958"/>
      <c r="Y4" s="3762" t="s">
        <v>1774</v>
      </c>
      <c r="Z4" s="3763"/>
      <c r="AA4" s="3766" t="s">
        <v>1770</v>
      </c>
      <c r="AB4" s="3766" t="s">
        <v>1771</v>
      </c>
      <c r="AC4" s="3755" t="s">
        <v>1772</v>
      </c>
    </row>
    <row r="5" spans="1:29">
      <c r="A5" s="358"/>
      <c r="B5" s="359"/>
      <c r="C5" s="3748" t="s">
        <v>1673</v>
      </c>
      <c r="D5" s="3743"/>
      <c r="E5" s="3750" t="s">
        <v>1674</v>
      </c>
      <c r="F5" s="3751"/>
      <c r="G5" s="3748" t="s">
        <v>1675</v>
      </c>
      <c r="H5" s="3743"/>
      <c r="I5" s="3748" t="s">
        <v>1676</v>
      </c>
      <c r="J5" s="3743"/>
      <c r="K5" s="559"/>
      <c r="L5" s="2715"/>
      <c r="M5" s="2716"/>
      <c r="N5" s="2716"/>
      <c r="O5" s="2716"/>
      <c r="P5" s="3760"/>
      <c r="Q5" s="3725"/>
      <c r="R5" s="3730"/>
      <c r="S5" s="3731"/>
      <c r="T5" s="3730"/>
      <c r="U5" s="3731"/>
      <c r="V5" s="3734"/>
      <c r="W5" s="3734"/>
      <c r="X5" s="1355"/>
      <c r="Y5" s="3730"/>
      <c r="Z5" s="3731"/>
      <c r="AA5" s="3716"/>
      <c r="AB5" s="3716"/>
      <c r="AC5" s="3756"/>
    </row>
    <row r="6" spans="1:29" ht="15" thickBot="1">
      <c r="A6" s="360"/>
      <c r="B6" s="361"/>
      <c r="C6" s="3747" t="s">
        <v>1677</v>
      </c>
      <c r="D6" s="3736"/>
      <c r="E6" s="3749" t="s">
        <v>1677</v>
      </c>
      <c r="F6" s="3745"/>
      <c r="G6" s="3747" t="s">
        <v>1677</v>
      </c>
      <c r="H6" s="3736"/>
      <c r="I6" s="3747" t="s">
        <v>1677</v>
      </c>
      <c r="J6" s="3736"/>
      <c r="K6" s="559" t="s">
        <v>1678</v>
      </c>
      <c r="L6" s="2715"/>
      <c r="M6" s="2716"/>
      <c r="N6" s="2716"/>
      <c r="O6" s="2716"/>
      <c r="P6" s="3761"/>
      <c r="Q6" s="3727"/>
      <c r="R6" s="3730"/>
      <c r="S6" s="3731"/>
      <c r="T6" s="3732"/>
      <c r="U6" s="3733"/>
      <c r="V6" s="3734"/>
      <c r="W6" s="3734"/>
      <c r="X6" s="1355"/>
      <c r="Y6" s="3732"/>
      <c r="Z6" s="3733"/>
      <c r="AA6" s="3717"/>
      <c r="AB6" s="3717"/>
      <c r="AC6" s="3757"/>
    </row>
    <row r="7" spans="1:29" s="108" customFormat="1" ht="15" thickBot="1">
      <c r="A7" s="362" t="s">
        <v>1679</v>
      </c>
      <c r="B7" s="363"/>
      <c r="C7" s="364">
        <f>'数据-取费表'!B2</f>
        <v>41424</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65" t="s">
        <v>1680</v>
      </c>
      <c r="Q7" s="3741"/>
      <c r="R7" s="701" t="s">
        <v>14</v>
      </c>
      <c r="S7" s="702">
        <f t="shared" ref="S7:S15" si="0">F7</f>
        <v>0</v>
      </c>
      <c r="T7" s="701" t="s">
        <v>14</v>
      </c>
      <c r="U7" s="702">
        <f t="shared" ref="U7:U15" si="1">H7</f>
        <v>0</v>
      </c>
      <c r="V7" s="701" t="s">
        <v>14</v>
      </c>
      <c r="W7" s="702">
        <f t="shared" ref="W7:W15" si="2">J7</f>
        <v>0</v>
      </c>
      <c r="X7" s="703"/>
      <c r="Y7" s="3739" t="s">
        <v>1680</v>
      </c>
      <c r="Z7" s="3740"/>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65" t="s">
        <v>1683</v>
      </c>
      <c r="Q8" s="3740"/>
      <c r="R8" s="701" t="s">
        <v>14</v>
      </c>
      <c r="S8" s="702">
        <f t="shared" si="0"/>
        <v>100</v>
      </c>
      <c r="T8" s="701" t="s">
        <v>14</v>
      </c>
      <c r="U8" s="702">
        <f t="shared" si="1"/>
        <v>100</v>
      </c>
      <c r="V8" s="701" t="s">
        <v>14</v>
      </c>
      <c r="W8" s="702">
        <f t="shared" si="2"/>
        <v>100</v>
      </c>
      <c r="X8" s="703"/>
      <c r="Y8" s="3739" t="s">
        <v>1683</v>
      </c>
      <c r="Z8" s="3740"/>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14" t="s">
        <v>1686</v>
      </c>
      <c r="Q9" s="1343" t="str">
        <f t="shared" ref="Q9:Q15" si="6">B9</f>
        <v>用途</v>
      </c>
      <c r="R9" s="701" t="s">
        <v>14</v>
      </c>
      <c r="S9" s="702">
        <f t="shared" si="0"/>
        <v>100</v>
      </c>
      <c r="T9" s="701" t="s">
        <v>14</v>
      </c>
      <c r="U9" s="702">
        <f t="shared" si="1"/>
        <v>100</v>
      </c>
      <c r="V9" s="701" t="s">
        <v>14</v>
      </c>
      <c r="W9" s="702">
        <f t="shared" si="2"/>
        <v>100</v>
      </c>
      <c r="X9" s="703"/>
      <c r="Y9" s="3578"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14"/>
      <c r="Q10" s="1343" t="str">
        <f t="shared" si="6"/>
        <v>土地使用年限（年）</v>
      </c>
      <c r="R10" s="701" t="s">
        <v>14</v>
      </c>
      <c r="S10" s="702">
        <f t="shared" si="0"/>
        <v>100</v>
      </c>
      <c r="T10" s="701" t="s">
        <v>14</v>
      </c>
      <c r="U10" s="702">
        <f t="shared" si="1"/>
        <v>100</v>
      </c>
      <c r="V10" s="701" t="s">
        <v>14</v>
      </c>
      <c r="W10" s="702">
        <f t="shared" si="2"/>
        <v>100</v>
      </c>
      <c r="X10" s="703"/>
      <c r="Y10" s="357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14"/>
      <c r="Q11" s="1343" t="str">
        <f t="shared" si="6"/>
        <v>容积率</v>
      </c>
      <c r="R11" s="701" t="s">
        <v>14</v>
      </c>
      <c r="S11" s="702">
        <f t="shared" si="0"/>
        <v>100</v>
      </c>
      <c r="T11" s="701" t="s">
        <v>14</v>
      </c>
      <c r="U11" s="702">
        <f t="shared" si="1"/>
        <v>100</v>
      </c>
      <c r="V11" s="701" t="s">
        <v>14</v>
      </c>
      <c r="W11" s="702">
        <f t="shared" si="2"/>
        <v>100</v>
      </c>
      <c r="X11" s="703"/>
      <c r="Y11" s="357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14"/>
      <c r="Q12" s="1343">
        <f t="shared" si="6"/>
        <v>111</v>
      </c>
      <c r="R12" s="701" t="s">
        <v>14</v>
      </c>
      <c r="S12" s="702">
        <f t="shared" si="0"/>
        <v>100</v>
      </c>
      <c r="T12" s="701" t="s">
        <v>14</v>
      </c>
      <c r="U12" s="702">
        <f t="shared" si="1"/>
        <v>100</v>
      </c>
      <c r="V12" s="701" t="s">
        <v>14</v>
      </c>
      <c r="W12" s="702">
        <f t="shared" si="2"/>
        <v>100</v>
      </c>
      <c r="X12" s="703"/>
      <c r="Y12" s="357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14"/>
      <c r="Q13" s="1343">
        <f t="shared" si="6"/>
        <v>111</v>
      </c>
      <c r="R13" s="701" t="s">
        <v>14</v>
      </c>
      <c r="S13" s="702">
        <f t="shared" si="0"/>
        <v>100</v>
      </c>
      <c r="T13" s="701" t="s">
        <v>14</v>
      </c>
      <c r="U13" s="702">
        <f t="shared" si="1"/>
        <v>100</v>
      </c>
      <c r="V13" s="701" t="s">
        <v>14</v>
      </c>
      <c r="W13" s="702">
        <f t="shared" si="2"/>
        <v>100</v>
      </c>
      <c r="X13" s="703"/>
      <c r="Y13" s="3578"/>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14"/>
      <c r="Q14" s="1343">
        <f t="shared" si="6"/>
        <v>111</v>
      </c>
      <c r="R14" s="701" t="s">
        <v>14</v>
      </c>
      <c r="S14" s="702">
        <f t="shared" si="0"/>
        <v>100</v>
      </c>
      <c r="T14" s="701" t="s">
        <v>14</v>
      </c>
      <c r="U14" s="702">
        <f t="shared" si="1"/>
        <v>100</v>
      </c>
      <c r="V14" s="701" t="s">
        <v>14</v>
      </c>
      <c r="W14" s="702">
        <f t="shared" si="2"/>
        <v>100</v>
      </c>
      <c r="X14" s="703"/>
      <c r="Y14" s="3578"/>
      <c r="Z14" s="52">
        <f t="shared" si="7"/>
        <v>111</v>
      </c>
      <c r="AA14" s="704">
        <f t="shared" si="3"/>
        <v>1</v>
      </c>
      <c r="AB14" s="704">
        <f t="shared" si="4"/>
        <v>1</v>
      </c>
      <c r="AC14" s="1959">
        <f t="shared" si="5"/>
        <v>1</v>
      </c>
    </row>
    <row r="15" spans="1:29" ht="69">
      <c r="A15" s="391" t="s">
        <v>1690</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12" t="s">
        <v>1691</v>
      </c>
      <c r="Q15" s="1352" t="str">
        <f t="shared" si="6"/>
        <v>办公集聚程度</v>
      </c>
      <c r="R15" s="705" t="s">
        <v>14</v>
      </c>
      <c r="S15" s="706">
        <f t="shared" si="0"/>
        <v>100</v>
      </c>
      <c r="T15" s="705" t="s">
        <v>14</v>
      </c>
      <c r="U15" s="706">
        <f t="shared" si="1"/>
        <v>100</v>
      </c>
      <c r="V15" s="705" t="s">
        <v>14</v>
      </c>
      <c r="W15" s="706">
        <f t="shared" si="2"/>
        <v>100</v>
      </c>
      <c r="X15" s="1355"/>
      <c r="Y15" s="370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13"/>
      <c r="Q16" s="1352"/>
      <c r="R16" s="705"/>
      <c r="S16" s="706"/>
      <c r="T16" s="705"/>
      <c r="U16" s="706"/>
      <c r="V16" s="705"/>
      <c r="W16" s="706"/>
      <c r="X16" s="1355"/>
      <c r="Y16" s="3706"/>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3"/>
      <c r="Q17" s="1352" t="str">
        <f>B17</f>
        <v>交通便捷度</v>
      </c>
      <c r="R17" s="705" t="s">
        <v>14</v>
      </c>
      <c r="S17" s="706">
        <f>F17</f>
        <v>100</v>
      </c>
      <c r="T17" s="705" t="s">
        <v>14</v>
      </c>
      <c r="U17" s="706">
        <f>H17</f>
        <v>100</v>
      </c>
      <c r="V17" s="705" t="s">
        <v>14</v>
      </c>
      <c r="W17" s="706">
        <f>J17</f>
        <v>100</v>
      </c>
      <c r="X17" s="1355"/>
      <c r="Y17" s="370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13"/>
      <c r="Q18" s="1352"/>
      <c r="R18" s="705"/>
      <c r="S18" s="706"/>
      <c r="T18" s="705"/>
      <c r="U18" s="706"/>
      <c r="V18" s="705"/>
      <c r="W18" s="706"/>
      <c r="X18" s="1355"/>
      <c r="Y18" s="3706"/>
      <c r="Z18" s="1356"/>
      <c r="AA18" s="1353">
        <v>1</v>
      </c>
      <c r="AB18" s="1353">
        <v>1</v>
      </c>
      <c r="AC18" s="1962">
        <v>1</v>
      </c>
    </row>
    <row r="19" spans="1:29" ht="41.4">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3"/>
      <c r="Q19" s="1352" t="str">
        <f>B19</f>
        <v>公共配套设施</v>
      </c>
      <c r="R19" s="705" t="s">
        <v>14</v>
      </c>
      <c r="S19" s="706">
        <f>F19</f>
        <v>100</v>
      </c>
      <c r="T19" s="705" t="s">
        <v>14</v>
      </c>
      <c r="U19" s="706">
        <f>H19</f>
        <v>100</v>
      </c>
      <c r="V19" s="705" t="s">
        <v>14</v>
      </c>
      <c r="W19" s="706">
        <f>J19</f>
        <v>100</v>
      </c>
      <c r="X19" s="1355"/>
      <c r="Y19" s="370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13"/>
      <c r="Q20" s="1352"/>
      <c r="R20" s="705"/>
      <c r="S20" s="706"/>
      <c r="T20" s="705"/>
      <c r="U20" s="706"/>
      <c r="V20" s="705"/>
      <c r="W20" s="706"/>
      <c r="X20" s="1355"/>
      <c r="Y20" s="3706"/>
      <c r="Z20" s="1356"/>
      <c r="AA20" s="1353">
        <v>1</v>
      </c>
      <c r="AB20" s="1353">
        <v>1</v>
      </c>
      <c r="AC20" s="1962">
        <v>1</v>
      </c>
    </row>
    <row r="21" spans="1:29" ht="27.6">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3"/>
      <c r="Q21" s="1352" t="str">
        <f>B21</f>
        <v>基础设施水平</v>
      </c>
      <c r="R21" s="705" t="s">
        <v>14</v>
      </c>
      <c r="S21" s="706">
        <f>F21</f>
        <v>100</v>
      </c>
      <c r="T21" s="705" t="s">
        <v>14</v>
      </c>
      <c r="U21" s="706">
        <f>H21</f>
        <v>100</v>
      </c>
      <c r="V21" s="705" t="s">
        <v>14</v>
      </c>
      <c r="W21" s="706">
        <f>J21</f>
        <v>100</v>
      </c>
      <c r="X21" s="1355"/>
      <c r="Y21" s="370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13"/>
      <c r="Q22" s="1352"/>
      <c r="R22" s="705"/>
      <c r="S22" s="706"/>
      <c r="T22" s="705"/>
      <c r="U22" s="706"/>
      <c r="V22" s="705"/>
      <c r="W22" s="706"/>
      <c r="X22" s="1355"/>
      <c r="Y22" s="3706"/>
      <c r="Z22" s="1356"/>
      <c r="AA22" s="1353">
        <v>1</v>
      </c>
      <c r="AB22" s="1353">
        <v>1</v>
      </c>
      <c r="AC22" s="1962">
        <v>1</v>
      </c>
    </row>
    <row r="23" spans="1:29" ht="55.2">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3"/>
      <c r="Q23" s="1352" t="str">
        <f>B23</f>
        <v>环境质量</v>
      </c>
      <c r="R23" s="705" t="s">
        <v>14</v>
      </c>
      <c r="S23" s="706">
        <f>F23</f>
        <v>100</v>
      </c>
      <c r="T23" s="705" t="s">
        <v>14</v>
      </c>
      <c r="U23" s="706">
        <f>H23</f>
        <v>100</v>
      </c>
      <c r="V23" s="705" t="s">
        <v>14</v>
      </c>
      <c r="W23" s="706">
        <f>J23</f>
        <v>100</v>
      </c>
      <c r="X23" s="1355"/>
      <c r="Y23" s="370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13"/>
      <c r="Q24" s="1352"/>
      <c r="R24" s="705"/>
      <c r="S24" s="706"/>
      <c r="T24" s="705"/>
      <c r="U24" s="706"/>
      <c r="V24" s="705"/>
      <c r="W24" s="706"/>
      <c r="X24" s="1355"/>
      <c r="Y24" s="3706"/>
      <c r="Z24" s="1356"/>
      <c r="AA24" s="1353">
        <v>1</v>
      </c>
      <c r="AB24" s="1353">
        <v>1</v>
      </c>
      <c r="AC24" s="1962">
        <v>1</v>
      </c>
    </row>
    <row r="25" spans="1:29" ht="28.8">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3"/>
      <c r="Q25" s="1352" t="str">
        <f>B25</f>
        <v>毗邻道路的类型与等级</v>
      </c>
      <c r="R25" s="705" t="s">
        <v>14</v>
      </c>
      <c r="S25" s="706">
        <f>F25</f>
        <v>100</v>
      </c>
      <c r="T25" s="705" t="s">
        <v>14</v>
      </c>
      <c r="U25" s="706">
        <f>H25</f>
        <v>100</v>
      </c>
      <c r="V25" s="705" t="s">
        <v>14</v>
      </c>
      <c r="W25" s="706">
        <f>J25</f>
        <v>100</v>
      </c>
      <c r="X25" s="1355"/>
      <c r="Y25" s="370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3"/>
      <c r="Q26" s="1352"/>
      <c r="R26" s="705"/>
      <c r="S26" s="706"/>
      <c r="T26" s="705"/>
      <c r="U26" s="706"/>
      <c r="V26" s="705"/>
      <c r="W26" s="706"/>
      <c r="X26" s="1355"/>
      <c r="Y26" s="3706"/>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13"/>
      <c r="Q27" s="1352" t="str">
        <f t="shared" ref="Q27:Q47" si="11">B27</f>
        <v>楼层</v>
      </c>
      <c r="R27" s="705" t="s">
        <v>14</v>
      </c>
      <c r="S27" s="706">
        <f>F27</f>
        <v>100</v>
      </c>
      <c r="T27" s="705" t="s">
        <v>14</v>
      </c>
      <c r="U27" s="706">
        <f>H27</f>
        <v>100</v>
      </c>
      <c r="V27" s="705" t="s">
        <v>14</v>
      </c>
      <c r="W27" s="706">
        <f>J27</f>
        <v>100</v>
      </c>
      <c r="X27" s="1355"/>
      <c r="Y27" s="3706"/>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3"/>
      <c r="Q28" s="1343" t="str">
        <f t="shared" si="11"/>
        <v>朝向</v>
      </c>
      <c r="R28" s="701" t="s">
        <v>14</v>
      </c>
      <c r="S28" s="702">
        <f>F28</f>
        <v>100</v>
      </c>
      <c r="T28" s="701" t="s">
        <v>14</v>
      </c>
      <c r="U28" s="702">
        <f>H28</f>
        <v>100</v>
      </c>
      <c r="V28" s="701" t="s">
        <v>14</v>
      </c>
      <c r="W28" s="702">
        <f>J28</f>
        <v>100</v>
      </c>
      <c r="X28" s="703"/>
      <c r="Y28" s="370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3"/>
      <c r="Q29" s="1352">
        <f t="shared" si="11"/>
        <v>111</v>
      </c>
      <c r="R29" s="705" t="s">
        <v>14</v>
      </c>
      <c r="S29" s="706">
        <f t="shared" ref="S29:S47" si="12">F29</f>
        <v>100</v>
      </c>
      <c r="T29" s="705" t="s">
        <v>14</v>
      </c>
      <c r="U29" s="706">
        <f t="shared" ref="U29:U47" si="13">H29</f>
        <v>100</v>
      </c>
      <c r="V29" s="705" t="s">
        <v>14</v>
      </c>
      <c r="W29" s="706">
        <f t="shared" ref="W29:W47" si="14">J29</f>
        <v>100</v>
      </c>
      <c r="X29" s="1355"/>
      <c r="Y29" s="370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3"/>
      <c r="Q30" s="1352">
        <f t="shared" si="11"/>
        <v>111</v>
      </c>
      <c r="R30" s="705" t="s">
        <v>14</v>
      </c>
      <c r="S30" s="706">
        <f t="shared" si="12"/>
        <v>100</v>
      </c>
      <c r="T30" s="705" t="s">
        <v>14</v>
      </c>
      <c r="U30" s="706">
        <f t="shared" si="13"/>
        <v>100</v>
      </c>
      <c r="V30" s="705" t="s">
        <v>14</v>
      </c>
      <c r="W30" s="706">
        <f t="shared" si="14"/>
        <v>100</v>
      </c>
      <c r="X30" s="1355"/>
      <c r="Y30" s="370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3"/>
      <c r="Q31" s="1352">
        <f t="shared" si="11"/>
        <v>111</v>
      </c>
      <c r="R31" s="705" t="s">
        <v>14</v>
      </c>
      <c r="S31" s="706">
        <f t="shared" si="12"/>
        <v>100</v>
      </c>
      <c r="T31" s="705" t="s">
        <v>14</v>
      </c>
      <c r="U31" s="706">
        <f t="shared" si="13"/>
        <v>100</v>
      </c>
      <c r="V31" s="705" t="s">
        <v>14</v>
      </c>
      <c r="W31" s="706">
        <f t="shared" si="14"/>
        <v>100</v>
      </c>
      <c r="X31" s="1355"/>
      <c r="Y31" s="3706"/>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3"/>
      <c r="Q32" s="1352">
        <f t="shared" si="11"/>
        <v>111</v>
      </c>
      <c r="R32" s="705" t="s">
        <v>14</v>
      </c>
      <c r="S32" s="706">
        <f t="shared" si="12"/>
        <v>100</v>
      </c>
      <c r="T32" s="705" t="s">
        <v>14</v>
      </c>
      <c r="U32" s="706">
        <f t="shared" si="13"/>
        <v>100</v>
      </c>
      <c r="V32" s="705" t="s">
        <v>14</v>
      </c>
      <c r="W32" s="706">
        <f t="shared" si="14"/>
        <v>100</v>
      </c>
      <c r="X32" s="1355"/>
      <c r="Y32" s="3706"/>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7" t="s">
        <v>1695</v>
      </c>
      <c r="Q33" s="1352" t="str">
        <f t="shared" si="11"/>
        <v>建筑类型</v>
      </c>
      <c r="R33" s="705" t="s">
        <v>14</v>
      </c>
      <c r="S33" s="706">
        <f t="shared" si="12"/>
        <v>100</v>
      </c>
      <c r="T33" s="705" t="s">
        <v>14</v>
      </c>
      <c r="U33" s="706">
        <f t="shared" si="13"/>
        <v>100</v>
      </c>
      <c r="V33" s="705" t="s">
        <v>14</v>
      </c>
      <c r="W33" s="706">
        <f t="shared" si="14"/>
        <v>100</v>
      </c>
      <c r="X33" s="1355"/>
      <c r="Y33" s="3710"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8"/>
      <c r="Q34" s="707" t="str">
        <f t="shared" si="11"/>
        <v>项目建筑规模</v>
      </c>
      <c r="R34" s="708" t="s">
        <v>14</v>
      </c>
      <c r="S34" s="709" t="e">
        <f t="shared" si="12"/>
        <v>#N/A</v>
      </c>
      <c r="T34" s="708" t="s">
        <v>14</v>
      </c>
      <c r="U34" s="709" t="e">
        <f t="shared" si="13"/>
        <v>#N/A</v>
      </c>
      <c r="V34" s="708" t="s">
        <v>14</v>
      </c>
      <c r="W34" s="709" t="e">
        <f t="shared" si="14"/>
        <v>#N/A</v>
      </c>
      <c r="X34" s="710"/>
      <c r="Y34" s="3710"/>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8"/>
      <c r="Q35" s="1352" t="str">
        <f t="shared" si="11"/>
        <v>建筑结构</v>
      </c>
      <c r="R35" s="705" t="s">
        <v>14</v>
      </c>
      <c r="S35" s="706">
        <f t="shared" si="12"/>
        <v>100</v>
      </c>
      <c r="T35" s="705" t="s">
        <v>14</v>
      </c>
      <c r="U35" s="706">
        <f t="shared" si="13"/>
        <v>100</v>
      </c>
      <c r="V35" s="705" t="s">
        <v>14</v>
      </c>
      <c r="W35" s="706">
        <f t="shared" si="14"/>
        <v>100</v>
      </c>
      <c r="X35" s="1355"/>
      <c r="Y35" s="3710"/>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8"/>
      <c r="Q36" s="1352" t="str">
        <f t="shared" si="11"/>
        <v>公共部分装修</v>
      </c>
      <c r="R36" s="705" t="s">
        <v>14</v>
      </c>
      <c r="S36" s="706">
        <f t="shared" si="12"/>
        <v>100</v>
      </c>
      <c r="T36" s="705" t="s">
        <v>14</v>
      </c>
      <c r="U36" s="706">
        <f t="shared" si="13"/>
        <v>100</v>
      </c>
      <c r="V36" s="705" t="s">
        <v>14</v>
      </c>
      <c r="W36" s="706">
        <f t="shared" si="14"/>
        <v>100</v>
      </c>
      <c r="X36" s="1355"/>
      <c r="Y36" s="3710"/>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8"/>
      <c r="Q37" s="1352" t="str">
        <f t="shared" si="11"/>
        <v>成新度</v>
      </c>
      <c r="R37" s="705" t="s">
        <v>14</v>
      </c>
      <c r="S37" s="706" t="e">
        <f t="shared" si="12"/>
        <v>#N/A</v>
      </c>
      <c r="T37" s="705" t="s">
        <v>14</v>
      </c>
      <c r="U37" s="706" t="e">
        <f t="shared" si="13"/>
        <v>#N/A</v>
      </c>
      <c r="V37" s="705" t="s">
        <v>14</v>
      </c>
      <c r="W37" s="706" t="e">
        <f t="shared" si="14"/>
        <v>#N/A</v>
      </c>
      <c r="X37" s="1355"/>
      <c r="Y37" s="3710"/>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8"/>
      <c r="Q38" s="1343" t="str">
        <f t="shared" si="11"/>
        <v>写字楼等级</v>
      </c>
      <c r="R38" s="701" t="s">
        <v>14</v>
      </c>
      <c r="S38" s="702">
        <f t="shared" si="12"/>
        <v>100</v>
      </c>
      <c r="T38" s="701" t="s">
        <v>14</v>
      </c>
      <c r="U38" s="702">
        <f t="shared" si="13"/>
        <v>100</v>
      </c>
      <c r="V38" s="701" t="s">
        <v>14</v>
      </c>
      <c r="W38" s="702">
        <f t="shared" si="14"/>
        <v>100</v>
      </c>
      <c r="X38" s="703"/>
      <c r="Y38" s="3710"/>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8" t="s">
        <v>1695</v>
      </c>
      <c r="Q39" s="1352" t="str">
        <f t="shared" si="11"/>
        <v>物业管理</v>
      </c>
      <c r="R39" s="705" t="s">
        <v>14</v>
      </c>
      <c r="S39" s="706">
        <f t="shared" si="12"/>
        <v>100</v>
      </c>
      <c r="T39" s="705" t="s">
        <v>14</v>
      </c>
      <c r="U39" s="706">
        <f t="shared" si="13"/>
        <v>100</v>
      </c>
      <c r="V39" s="705" t="s">
        <v>14</v>
      </c>
      <c r="W39" s="706">
        <f t="shared" si="14"/>
        <v>100</v>
      </c>
      <c r="X39" s="1355"/>
      <c r="Y39" s="3710"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8"/>
      <c r="Q40" s="1352" t="str">
        <f t="shared" si="11"/>
        <v>市政基础设施</v>
      </c>
      <c r="R40" s="705" t="s">
        <v>14</v>
      </c>
      <c r="S40" s="706">
        <f t="shared" si="12"/>
        <v>100</v>
      </c>
      <c r="T40" s="705" t="s">
        <v>14</v>
      </c>
      <c r="U40" s="706">
        <f t="shared" si="13"/>
        <v>100</v>
      </c>
      <c r="V40" s="705" t="s">
        <v>14</v>
      </c>
      <c r="W40" s="706">
        <f t="shared" si="14"/>
        <v>100</v>
      </c>
      <c r="X40" s="1355"/>
      <c r="Y40" s="3710"/>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8"/>
      <c r="Q41" s="1352" t="str">
        <f t="shared" si="11"/>
        <v>层高</v>
      </c>
      <c r="R41" s="705" t="s">
        <v>14</v>
      </c>
      <c r="S41" s="706">
        <f t="shared" si="12"/>
        <v>100</v>
      </c>
      <c r="T41" s="705" t="s">
        <v>14</v>
      </c>
      <c r="U41" s="706">
        <f t="shared" si="13"/>
        <v>100</v>
      </c>
      <c r="V41" s="705" t="s">
        <v>14</v>
      </c>
      <c r="W41" s="706">
        <f t="shared" si="14"/>
        <v>100</v>
      </c>
      <c r="X41" s="1355"/>
      <c r="Y41" s="3710"/>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8"/>
      <c r="Q42" s="707" t="str">
        <f t="shared" si="11"/>
        <v>单套建筑面积</v>
      </c>
      <c r="R42" s="708" t="s">
        <v>14</v>
      </c>
      <c r="S42" s="709">
        <f t="shared" si="12"/>
        <v>100</v>
      </c>
      <c r="T42" s="708" t="s">
        <v>14</v>
      </c>
      <c r="U42" s="709">
        <f t="shared" si="13"/>
        <v>100</v>
      </c>
      <c r="V42" s="708" t="s">
        <v>14</v>
      </c>
      <c r="W42" s="709">
        <f t="shared" si="14"/>
        <v>100</v>
      </c>
      <c r="X42" s="710"/>
      <c r="Y42" s="3710"/>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8"/>
      <c r="Q43" s="1352" t="str">
        <f t="shared" si="11"/>
        <v>内部装修</v>
      </c>
      <c r="R43" s="705" t="s">
        <v>14</v>
      </c>
      <c r="S43" s="706">
        <f t="shared" si="12"/>
        <v>100</v>
      </c>
      <c r="T43" s="705" t="s">
        <v>14</v>
      </c>
      <c r="U43" s="706">
        <f t="shared" si="13"/>
        <v>100</v>
      </c>
      <c r="V43" s="705" t="s">
        <v>14</v>
      </c>
      <c r="W43" s="706">
        <f t="shared" si="14"/>
        <v>100</v>
      </c>
      <c r="X43" s="1355"/>
      <c r="Y43" s="3710"/>
      <c r="Z43" s="1356" t="str">
        <f t="shared" si="15"/>
        <v>内部装修</v>
      </c>
      <c r="AA43" s="1353">
        <f t="shared" si="3"/>
        <v>1</v>
      </c>
      <c r="AB43" s="1353">
        <f t="shared" si="4"/>
        <v>1</v>
      </c>
      <c r="AC43" s="1962">
        <f t="shared" si="5"/>
        <v>1</v>
      </c>
    </row>
    <row r="44" spans="1:29" ht="28.8">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8"/>
      <c r="Q44" s="1352" t="str">
        <f t="shared" si="11"/>
        <v>内部装修维护情况</v>
      </c>
      <c r="R44" s="705" t="s">
        <v>14</v>
      </c>
      <c r="S44" s="706">
        <f t="shared" si="12"/>
        <v>100</v>
      </c>
      <c r="T44" s="705" t="s">
        <v>14</v>
      </c>
      <c r="U44" s="706">
        <f t="shared" si="13"/>
        <v>100</v>
      </c>
      <c r="V44" s="705" t="s">
        <v>14</v>
      </c>
      <c r="W44" s="706">
        <f t="shared" si="14"/>
        <v>100</v>
      </c>
      <c r="X44" s="1355"/>
      <c r="Y44" s="371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8"/>
      <c r="Q45" s="1343">
        <f t="shared" si="11"/>
        <v>111</v>
      </c>
      <c r="R45" s="701" t="s">
        <v>14</v>
      </c>
      <c r="S45" s="702">
        <f t="shared" si="12"/>
        <v>100</v>
      </c>
      <c r="T45" s="701" t="s">
        <v>14</v>
      </c>
      <c r="U45" s="702">
        <f t="shared" si="13"/>
        <v>100</v>
      </c>
      <c r="V45" s="701" t="s">
        <v>14</v>
      </c>
      <c r="W45" s="702">
        <f t="shared" si="14"/>
        <v>100</v>
      </c>
      <c r="X45" s="703"/>
      <c r="Y45" s="371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8"/>
      <c r="Q46" s="1352">
        <f t="shared" si="11"/>
        <v>111</v>
      </c>
      <c r="R46" s="705" t="s">
        <v>14</v>
      </c>
      <c r="S46" s="706">
        <f t="shared" si="12"/>
        <v>100</v>
      </c>
      <c r="T46" s="705" t="s">
        <v>14</v>
      </c>
      <c r="U46" s="706">
        <f t="shared" si="13"/>
        <v>100</v>
      </c>
      <c r="V46" s="705" t="s">
        <v>14</v>
      </c>
      <c r="W46" s="706">
        <f t="shared" si="14"/>
        <v>100</v>
      </c>
      <c r="X46" s="1355"/>
      <c r="Y46" s="3710"/>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9"/>
      <c r="Q47" s="1352">
        <f t="shared" si="11"/>
        <v>111</v>
      </c>
      <c r="R47" s="705" t="s">
        <v>14</v>
      </c>
      <c r="S47" s="706">
        <f t="shared" si="12"/>
        <v>100</v>
      </c>
      <c r="T47" s="705" t="s">
        <v>14</v>
      </c>
      <c r="U47" s="706">
        <f t="shared" si="13"/>
        <v>100</v>
      </c>
      <c r="V47" s="705" t="s">
        <v>14</v>
      </c>
      <c r="W47" s="706">
        <f t="shared" si="14"/>
        <v>100</v>
      </c>
      <c r="X47" s="1355"/>
      <c r="Y47" s="3711"/>
      <c r="Z47" s="1356">
        <f t="shared" si="15"/>
        <v>111</v>
      </c>
      <c r="AA47" s="1353">
        <f t="shared" si="3"/>
        <v>1</v>
      </c>
      <c r="AB47" s="1353">
        <f t="shared" si="4"/>
        <v>1</v>
      </c>
      <c r="AC47" s="1962">
        <f t="shared" si="5"/>
        <v>1</v>
      </c>
    </row>
    <row r="48" spans="1:29" ht="14.4">
      <c r="A48" s="430" t="s">
        <v>1707</v>
      </c>
      <c r="B48" s="431"/>
      <c r="C48" s="1154" t="s">
        <v>0</v>
      </c>
      <c r="D48" s="1155"/>
      <c r="E48" s="1156"/>
      <c r="F48" s="1157"/>
      <c r="G48" s="1158"/>
      <c r="H48" s="1159"/>
      <c r="I48" s="1156"/>
      <c r="J48" s="436"/>
      <c r="K48" s="714"/>
      <c r="L48" s="2724"/>
      <c r="M48" s="2716"/>
      <c r="N48" s="2716"/>
      <c r="O48" s="2716"/>
      <c r="P48" s="3714" t="str">
        <f>A48</f>
        <v>成交单价（元/平方米）</v>
      </c>
      <c r="Q48" s="3703"/>
      <c r="R48" s="3704">
        <f>E48</f>
        <v>0</v>
      </c>
      <c r="S48" s="3704"/>
      <c r="T48" s="3704">
        <f>G48</f>
        <v>0</v>
      </c>
      <c r="U48" s="3704"/>
      <c r="V48" s="3704">
        <f>I48</f>
        <v>0</v>
      </c>
      <c r="W48" s="3704"/>
      <c r="X48" s="397"/>
      <c r="Y48" s="712"/>
      <c r="Z48" s="397"/>
      <c r="AA48" s="397"/>
      <c r="AB48" s="397"/>
      <c r="AC48" s="578"/>
    </row>
    <row r="49" spans="1:29" ht="15" thickBot="1">
      <c r="A49" s="437" t="s">
        <v>1792</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714" t="str">
        <f>A49</f>
        <v>比较价值（元/平方米）</v>
      </c>
      <c r="Q49" s="3703"/>
      <c r="R49" s="3704" t="e">
        <f>IF(F1="售价",ROUND(PRODUCT(R48,AA7:AA47),0),ROUND(PRODUCT(R48,AA7:AA47),1))</f>
        <v>#DIV/0!</v>
      </c>
      <c r="S49" s="3704"/>
      <c r="T49" s="3704" t="e">
        <f>IF(F1="售价",ROUND(PRODUCT(T48,AB7:AB47),0),ROUND(PRODUCT(T48,AB7:AB47),1))</f>
        <v>#DIV/0!</v>
      </c>
      <c r="U49" s="3704"/>
      <c r="V49" s="3704" t="e">
        <f>IF(F1="售价",ROUND(PRODUCT(V48,AC7:AC47),0),ROUND(PRODUCT(V48,AC7:AC47),1))</f>
        <v>#DIV/0!</v>
      </c>
      <c r="W49" s="3704"/>
      <c r="X49" s="397"/>
      <c r="Y49" s="397"/>
      <c r="Z49" s="397"/>
      <c r="AA49" s="397"/>
      <c r="AB49" s="397"/>
      <c r="AC49" s="578"/>
    </row>
    <row r="50" spans="1:29" ht="15" thickBot="1">
      <c r="A50" s="441" t="s">
        <v>1793</v>
      </c>
      <c r="B50" s="442"/>
      <c r="C50" s="1163" t="e">
        <f>R50</f>
        <v>#DIV/0!</v>
      </c>
      <c r="D50" s="1163"/>
      <c r="E50" s="1163"/>
      <c r="F50" s="1163"/>
      <c r="G50" s="1163"/>
      <c r="H50" s="1163"/>
      <c r="I50" s="1163"/>
      <c r="J50" s="443"/>
      <c r="K50" s="715"/>
      <c r="L50" s="2724"/>
      <c r="M50" s="2716"/>
      <c r="N50" s="2716"/>
      <c r="O50" s="2716"/>
      <c r="P50" s="3752" t="str">
        <f>A50</f>
        <v>估价对象XX用房的比较价值（楼面单价，元/平方米）</v>
      </c>
      <c r="Q50" s="3753"/>
      <c r="R50" s="3754" t="e">
        <f>IF(F1="售价",ROUND(IF(D49="简单平均",AVERAGE(R49:V49),R49*F49+T49*H49+V49*J49),0),ROUND(IF(D49="简单平均",AVERAGE(R49:V49),R49*F49+T49*H49+V49*J49),1))</f>
        <v>#DIV/0!</v>
      </c>
      <c r="S50" s="3754"/>
      <c r="T50" s="3754"/>
      <c r="U50" s="3754"/>
      <c r="V50" s="3754"/>
      <c r="W50" s="3754"/>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1797</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2013-5</v>
      </c>
      <c r="D59" s="1185">
        <f>EDATE(C59,-1)</f>
        <v>41365</v>
      </c>
      <c r="E59" s="1185">
        <f>EDATE(D59,-1)</f>
        <v>41334</v>
      </c>
      <c r="F59" s="1185">
        <f t="shared" ref="F59:O59" si="16">EDATE(E59,-1)</f>
        <v>41306</v>
      </c>
      <c r="G59" s="1185">
        <f t="shared" si="16"/>
        <v>41275</v>
      </c>
      <c r="H59" s="1185">
        <f t="shared" si="16"/>
        <v>41244</v>
      </c>
      <c r="I59" s="1185">
        <f t="shared" si="16"/>
        <v>41214</v>
      </c>
      <c r="J59" s="1185">
        <f t="shared" si="16"/>
        <v>41183</v>
      </c>
      <c r="K59" s="1185">
        <f t="shared" si="16"/>
        <v>41153</v>
      </c>
      <c r="L59" s="1185">
        <f t="shared" si="16"/>
        <v>41122</v>
      </c>
      <c r="M59" s="1185">
        <f t="shared" si="16"/>
        <v>41091</v>
      </c>
      <c r="N59" s="1185">
        <f t="shared" si="16"/>
        <v>41061</v>
      </c>
      <c r="O59" s="1185">
        <f t="shared" si="16"/>
        <v>41030</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1715</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1775</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1718</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1820</v>
      </c>
      <c r="C77" s="522" t="s">
        <v>1720</v>
      </c>
      <c r="D77" s="522" t="s">
        <v>1721</v>
      </c>
      <c r="E77" s="522" t="s">
        <v>1722</v>
      </c>
      <c r="F77" s="522" t="s">
        <v>1723</v>
      </c>
      <c r="G77" s="522" t="s">
        <v>1724</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1725</v>
      </c>
      <c r="C79" s="527" t="s">
        <v>1720</v>
      </c>
      <c r="D79" s="527" t="s">
        <v>1721</v>
      </c>
      <c r="E79" s="527" t="s">
        <v>1722</v>
      </c>
      <c r="F79" s="527" t="s">
        <v>1723</v>
      </c>
      <c r="G79" s="527" t="s">
        <v>1724</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1726</v>
      </c>
      <c r="C81" s="527" t="s">
        <v>1720</v>
      </c>
      <c r="D81" s="527" t="s">
        <v>1721</v>
      </c>
      <c r="E81" s="527" t="s">
        <v>1722</v>
      </c>
      <c r="F81" s="527" t="s">
        <v>1723</v>
      </c>
      <c r="G81" s="527" t="s">
        <v>1724</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1812</v>
      </c>
      <c r="C83" s="608" t="s">
        <v>1798</v>
      </c>
      <c r="D83" s="608" t="s">
        <v>1799</v>
      </c>
      <c r="E83" s="608" t="s">
        <v>1800</v>
      </c>
      <c r="F83" s="608" t="s">
        <v>1801</v>
      </c>
      <c r="G83" s="608" t="s">
        <v>1802</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1821</v>
      </c>
      <c r="C85" s="527" t="s">
        <v>1720</v>
      </c>
      <c r="D85" s="527" t="s">
        <v>1721</v>
      </c>
      <c r="E85" s="527" t="s">
        <v>1722</v>
      </c>
      <c r="F85" s="527" t="s">
        <v>1723</v>
      </c>
      <c r="G85" s="527" t="s">
        <v>1724</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1822</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1693</v>
      </c>
      <c r="B101" s="477" t="s">
        <v>1735</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1737</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1739</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1823</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1740</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1741</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1824</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1807</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1743</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1744</v>
      </c>
      <c r="C125" s="527" t="s">
        <v>1720</v>
      </c>
      <c r="D125" s="527" t="s">
        <v>1721</v>
      </c>
      <c r="E125" s="527" t="s">
        <v>1722</v>
      </c>
      <c r="F125" s="527" t="s">
        <v>1723</v>
      </c>
      <c r="G125" s="527" t="s">
        <v>1724</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估价对象为北京市房地产，为所有。根据《国有土地使用证》[]，估价对象（分摊）出让国有建设用地使用权面积为0平方米，建筑面积为102.54平方米。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估价对象为北京市房地产,属开发建设的，该项目尚在开发建设中。根据《国有土地使用证》[]，估价对象（分摊）出让国有建设用地使用权面积为0平方米，规划建筑面积为102.54平方米。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2013年5月30日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2013年5月30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本次评估采用的主估价方法为比较法和成本法。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1825</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1767</v>
      </c>
      <c r="D3" s="353">
        <f>IF(D1="",'数据-汇总表'!E3,SUMIF('数据-汇总表'!$C19:$C33,D1,'数据-汇总表'!$E19:$E33))</f>
        <v>102.54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1768</v>
      </c>
      <c r="B4" s="356"/>
      <c r="C4" s="3718" t="s">
        <v>1769</v>
      </c>
      <c r="D4" s="3719"/>
      <c r="E4" s="3720" t="s">
        <v>1770</v>
      </c>
      <c r="F4" s="3721"/>
      <c r="G4" s="3718" t="s">
        <v>1771</v>
      </c>
      <c r="H4" s="3719"/>
      <c r="I4" s="3718" t="s">
        <v>1772</v>
      </c>
      <c r="J4" s="3719"/>
      <c r="K4" s="559" t="s">
        <v>1773</v>
      </c>
      <c r="L4" s="913"/>
      <c r="M4" s="914"/>
      <c r="N4" s="914"/>
      <c r="O4" s="914"/>
      <c r="P4" s="3722" t="s">
        <v>1774</v>
      </c>
      <c r="Q4" s="3723"/>
      <c r="R4" s="3728" t="s">
        <v>1770</v>
      </c>
      <c r="S4" s="3729"/>
      <c r="T4" s="3728" t="s">
        <v>1771</v>
      </c>
      <c r="U4" s="3729"/>
      <c r="V4" s="3734" t="s">
        <v>1772</v>
      </c>
      <c r="W4" s="3734"/>
      <c r="X4" s="1355"/>
      <c r="Y4" s="3728" t="s">
        <v>1774</v>
      </c>
      <c r="Z4" s="3729"/>
      <c r="AA4" s="3715" t="s">
        <v>1770</v>
      </c>
      <c r="AB4" s="3716" t="s">
        <v>1771</v>
      </c>
      <c r="AC4" s="3715" t="s">
        <v>1772</v>
      </c>
    </row>
    <row r="5" spans="1:29">
      <c r="A5" s="358"/>
      <c r="B5" s="359"/>
      <c r="C5" s="3748" t="s">
        <v>1673</v>
      </c>
      <c r="D5" s="3743"/>
      <c r="E5" s="3750" t="s">
        <v>1674</v>
      </c>
      <c r="F5" s="3751"/>
      <c r="G5" s="3748" t="s">
        <v>1675</v>
      </c>
      <c r="H5" s="3743"/>
      <c r="I5" s="3748" t="s">
        <v>1676</v>
      </c>
      <c r="J5" s="3743"/>
      <c r="K5" s="559"/>
      <c r="L5" s="913"/>
      <c r="M5" s="914"/>
      <c r="N5" s="914"/>
      <c r="O5" s="914"/>
      <c r="P5" s="3724"/>
      <c r="Q5" s="3725"/>
      <c r="R5" s="3730"/>
      <c r="S5" s="3731"/>
      <c r="T5" s="3730"/>
      <c r="U5" s="3731"/>
      <c r="V5" s="3734"/>
      <c r="W5" s="3734"/>
      <c r="X5" s="1355"/>
      <c r="Y5" s="3730"/>
      <c r="Z5" s="3731"/>
      <c r="AA5" s="3716"/>
      <c r="AB5" s="3716"/>
      <c r="AC5" s="3716"/>
    </row>
    <row r="6" spans="1:29" ht="15" thickBot="1">
      <c r="A6" s="360"/>
      <c r="B6" s="361"/>
      <c r="C6" s="3747" t="s">
        <v>1677</v>
      </c>
      <c r="D6" s="3736"/>
      <c r="E6" s="3749" t="s">
        <v>1677</v>
      </c>
      <c r="F6" s="3745"/>
      <c r="G6" s="3747" t="s">
        <v>1677</v>
      </c>
      <c r="H6" s="3736"/>
      <c r="I6" s="3747" t="s">
        <v>1677</v>
      </c>
      <c r="J6" s="3736"/>
      <c r="K6" s="559" t="s">
        <v>1678</v>
      </c>
      <c r="L6" s="913"/>
      <c r="M6" s="914"/>
      <c r="N6" s="914"/>
      <c r="O6" s="914"/>
      <c r="P6" s="3726"/>
      <c r="Q6" s="3727"/>
      <c r="R6" s="3730"/>
      <c r="S6" s="3731"/>
      <c r="T6" s="3732"/>
      <c r="U6" s="3733"/>
      <c r="V6" s="3734"/>
      <c r="W6" s="3734"/>
      <c r="X6" s="1355"/>
      <c r="Y6" s="3732"/>
      <c r="Z6" s="3733"/>
      <c r="AA6" s="3717"/>
      <c r="AB6" s="3717"/>
      <c r="AC6" s="3717"/>
    </row>
    <row r="7" spans="1:29" s="108" customFormat="1" ht="15" thickBot="1">
      <c r="A7" s="362" t="s">
        <v>1679</v>
      </c>
      <c r="B7" s="363"/>
      <c r="C7" s="364">
        <f>'数据-取费表'!B2</f>
        <v>41424</v>
      </c>
      <c r="D7" s="365">
        <v>100</v>
      </c>
      <c r="E7" s="366"/>
      <c r="F7" s="367">
        <f>SUMIF(52:52,YEAR(E7)&amp;"-"&amp;MONTH(E7),53:53)</f>
        <v>0</v>
      </c>
      <c r="G7" s="366"/>
      <c r="H7" s="365">
        <f>SUMIF(52:52,YEAR(G7)&amp;"-"&amp;MONTH(G7),53:53)</f>
        <v>0</v>
      </c>
      <c r="I7" s="366"/>
      <c r="J7" s="365">
        <f>SUMIF(52:52,YEAR(I7)&amp;"-"&amp;MONTH(I7),53:53)</f>
        <v>0</v>
      </c>
      <c r="K7" s="560"/>
      <c r="L7" s="915"/>
      <c r="M7" s="916"/>
      <c r="N7" s="916"/>
      <c r="O7" s="916"/>
      <c r="P7" s="3739" t="s">
        <v>1680</v>
      </c>
      <c r="Q7" s="3741"/>
      <c r="R7" s="701" t="s">
        <v>14</v>
      </c>
      <c r="S7" s="702">
        <f t="shared" ref="S7:S15" si="0">F7</f>
        <v>0</v>
      </c>
      <c r="T7" s="701" t="s">
        <v>14</v>
      </c>
      <c r="U7" s="702">
        <f t="shared" ref="U7:U15" si="1">H7</f>
        <v>0</v>
      </c>
      <c r="V7" s="701" t="s">
        <v>14</v>
      </c>
      <c r="W7" s="702">
        <f t="shared" ref="W7:W15" si="2">J7</f>
        <v>0</v>
      </c>
      <c r="X7" s="703"/>
      <c r="Y7" s="3739" t="s">
        <v>1680</v>
      </c>
      <c r="Z7" s="3740"/>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9" t="s">
        <v>1683</v>
      </c>
      <c r="Q8" s="3740"/>
      <c r="R8" s="701" t="s">
        <v>14</v>
      </c>
      <c r="S8" s="702">
        <f t="shared" si="0"/>
        <v>100</v>
      </c>
      <c r="T8" s="701" t="s">
        <v>14</v>
      </c>
      <c r="U8" s="702">
        <f t="shared" si="1"/>
        <v>100</v>
      </c>
      <c r="V8" s="701" t="s">
        <v>14</v>
      </c>
      <c r="W8" s="702">
        <f t="shared" si="2"/>
        <v>100</v>
      </c>
      <c r="X8" s="703"/>
      <c r="Y8" s="3739" t="s">
        <v>1683</v>
      </c>
      <c r="Z8" s="3740"/>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3" t="s">
        <v>1686</v>
      </c>
      <c r="Q9" s="1343" t="str">
        <f t="shared" ref="Q9:Q15" si="6">B9</f>
        <v>用途</v>
      </c>
      <c r="R9" s="701" t="s">
        <v>14</v>
      </c>
      <c r="S9" s="702">
        <f t="shared" si="0"/>
        <v>100</v>
      </c>
      <c r="T9" s="701" t="s">
        <v>14</v>
      </c>
      <c r="U9" s="702">
        <f t="shared" si="1"/>
        <v>100</v>
      </c>
      <c r="V9" s="701" t="s">
        <v>14</v>
      </c>
      <c r="W9" s="702">
        <f t="shared" si="2"/>
        <v>100</v>
      </c>
      <c r="X9" s="703"/>
      <c r="Y9" s="3578"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3"/>
      <c r="Q10" s="1343" t="str">
        <f t="shared" si="6"/>
        <v>土地使用年限（年）</v>
      </c>
      <c r="R10" s="701" t="s">
        <v>14</v>
      </c>
      <c r="S10" s="702">
        <f t="shared" si="0"/>
        <v>100</v>
      </c>
      <c r="T10" s="701" t="s">
        <v>14</v>
      </c>
      <c r="U10" s="702">
        <f t="shared" si="1"/>
        <v>100</v>
      </c>
      <c r="V10" s="701" t="s">
        <v>14</v>
      </c>
      <c r="W10" s="702">
        <f t="shared" si="2"/>
        <v>100</v>
      </c>
      <c r="X10" s="703"/>
      <c r="Y10" s="357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3"/>
      <c r="Q11" s="1343" t="str">
        <f t="shared" si="6"/>
        <v>容积率</v>
      </c>
      <c r="R11" s="701" t="s">
        <v>14</v>
      </c>
      <c r="S11" s="702">
        <f t="shared" si="0"/>
        <v>100</v>
      </c>
      <c r="T11" s="701" t="s">
        <v>14</v>
      </c>
      <c r="U11" s="702">
        <f t="shared" si="1"/>
        <v>100</v>
      </c>
      <c r="V11" s="701" t="s">
        <v>14</v>
      </c>
      <c r="W11" s="702">
        <f t="shared" si="2"/>
        <v>100</v>
      </c>
      <c r="X11" s="703"/>
      <c r="Y11" s="357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3"/>
      <c r="Q12" s="1343">
        <f t="shared" si="6"/>
        <v>111</v>
      </c>
      <c r="R12" s="701" t="s">
        <v>14</v>
      </c>
      <c r="S12" s="702">
        <f t="shared" si="0"/>
        <v>100</v>
      </c>
      <c r="T12" s="701" t="s">
        <v>14</v>
      </c>
      <c r="U12" s="702">
        <f t="shared" si="1"/>
        <v>100</v>
      </c>
      <c r="V12" s="701" t="s">
        <v>14</v>
      </c>
      <c r="W12" s="702">
        <f t="shared" si="2"/>
        <v>100</v>
      </c>
      <c r="X12" s="703"/>
      <c r="Y12" s="357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3"/>
      <c r="Q13" s="1343">
        <f t="shared" si="6"/>
        <v>111</v>
      </c>
      <c r="R13" s="701" t="s">
        <v>14</v>
      </c>
      <c r="S13" s="702">
        <f t="shared" si="0"/>
        <v>100</v>
      </c>
      <c r="T13" s="701" t="s">
        <v>14</v>
      </c>
      <c r="U13" s="702">
        <f t="shared" si="1"/>
        <v>100</v>
      </c>
      <c r="V13" s="701" t="s">
        <v>14</v>
      </c>
      <c r="W13" s="702">
        <f t="shared" si="2"/>
        <v>100</v>
      </c>
      <c r="X13" s="703"/>
      <c r="Y13" s="3578"/>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3"/>
      <c r="Q14" s="1343">
        <f t="shared" si="6"/>
        <v>111</v>
      </c>
      <c r="R14" s="701" t="s">
        <v>14</v>
      </c>
      <c r="S14" s="702">
        <f t="shared" si="0"/>
        <v>100</v>
      </c>
      <c r="T14" s="701" t="s">
        <v>14</v>
      </c>
      <c r="U14" s="702">
        <f t="shared" si="1"/>
        <v>100</v>
      </c>
      <c r="V14" s="701" t="s">
        <v>14</v>
      </c>
      <c r="W14" s="702">
        <f t="shared" si="2"/>
        <v>100</v>
      </c>
      <c r="X14" s="703"/>
      <c r="Y14" s="3578"/>
      <c r="Z14" s="52">
        <f t="shared" si="7"/>
        <v>111</v>
      </c>
      <c r="AA14" s="704">
        <f t="shared" si="3"/>
        <v>1</v>
      </c>
      <c r="AB14" s="704">
        <f t="shared" si="4"/>
        <v>1</v>
      </c>
      <c r="AC14" s="704">
        <f t="shared" si="5"/>
        <v>1</v>
      </c>
    </row>
    <row r="15" spans="1:29" ht="69">
      <c r="A15" s="391" t="s">
        <v>1690</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5" t="s">
        <v>1691</v>
      </c>
      <c r="Q15" s="1352" t="str">
        <f t="shared" si="6"/>
        <v>产业集聚程度</v>
      </c>
      <c r="R15" s="705" t="s">
        <v>14</v>
      </c>
      <c r="S15" s="706">
        <f t="shared" si="0"/>
        <v>100</v>
      </c>
      <c r="T15" s="705" t="s">
        <v>14</v>
      </c>
      <c r="U15" s="706">
        <f t="shared" si="1"/>
        <v>100</v>
      </c>
      <c r="V15" s="705" t="s">
        <v>14</v>
      </c>
      <c r="W15" s="706">
        <f t="shared" si="2"/>
        <v>100</v>
      </c>
      <c r="X15" s="1355"/>
      <c r="Y15" s="370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6"/>
      <c r="Q16" s="1352"/>
      <c r="R16" s="705"/>
      <c r="S16" s="706"/>
      <c r="T16" s="705"/>
      <c r="U16" s="706"/>
      <c r="V16" s="705"/>
      <c r="W16" s="706"/>
      <c r="X16" s="1355"/>
      <c r="Y16" s="3706"/>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6"/>
      <c r="Q17" s="1352" t="str">
        <f>B17</f>
        <v>交通便捷度</v>
      </c>
      <c r="R17" s="705" t="s">
        <v>14</v>
      </c>
      <c r="S17" s="706">
        <f>F17</f>
        <v>100</v>
      </c>
      <c r="T17" s="705" t="s">
        <v>14</v>
      </c>
      <c r="U17" s="706">
        <f>H17</f>
        <v>100</v>
      </c>
      <c r="V17" s="705" t="s">
        <v>14</v>
      </c>
      <c r="W17" s="706">
        <f>J17</f>
        <v>100</v>
      </c>
      <c r="X17" s="1355"/>
      <c r="Y17" s="370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6"/>
      <c r="Q18" s="1352"/>
      <c r="R18" s="705"/>
      <c r="S18" s="706"/>
      <c r="T18" s="705"/>
      <c r="U18" s="706"/>
      <c r="V18" s="705"/>
      <c r="W18" s="706"/>
      <c r="X18" s="1355"/>
      <c r="Y18" s="3706"/>
      <c r="Z18" s="1356"/>
      <c r="AA18" s="1353">
        <v>1</v>
      </c>
      <c r="AB18" s="1353">
        <v>1</v>
      </c>
      <c r="AC18" s="1353">
        <v>1</v>
      </c>
    </row>
    <row r="19" spans="1:29" ht="41.4">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6"/>
      <c r="Q19" s="1352" t="str">
        <f>B19</f>
        <v>公共配套设施</v>
      </c>
      <c r="R19" s="705" t="s">
        <v>14</v>
      </c>
      <c r="S19" s="706">
        <f>F19</f>
        <v>100</v>
      </c>
      <c r="T19" s="705" t="s">
        <v>14</v>
      </c>
      <c r="U19" s="706">
        <f>H19</f>
        <v>100</v>
      </c>
      <c r="V19" s="705" t="s">
        <v>14</v>
      </c>
      <c r="W19" s="706">
        <f>J19</f>
        <v>100</v>
      </c>
      <c r="X19" s="1355"/>
      <c r="Y19" s="370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6"/>
      <c r="Q20" s="1352"/>
      <c r="R20" s="705"/>
      <c r="S20" s="706"/>
      <c r="T20" s="705"/>
      <c r="U20" s="706"/>
      <c r="V20" s="705"/>
      <c r="W20" s="706"/>
      <c r="X20" s="1355"/>
      <c r="Y20" s="3706"/>
      <c r="Z20" s="1356"/>
      <c r="AA20" s="1353">
        <v>1</v>
      </c>
      <c r="AB20" s="1353">
        <v>1</v>
      </c>
      <c r="AC20" s="1353">
        <v>1</v>
      </c>
    </row>
    <row r="21" spans="1:29" ht="41.4">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6"/>
      <c r="Q21" s="1352" t="str">
        <f>B21</f>
        <v>基础设施水平</v>
      </c>
      <c r="R21" s="705" t="s">
        <v>14</v>
      </c>
      <c r="S21" s="706">
        <f>F21</f>
        <v>100</v>
      </c>
      <c r="T21" s="705" t="s">
        <v>14</v>
      </c>
      <c r="U21" s="706">
        <f>H21</f>
        <v>100</v>
      </c>
      <c r="V21" s="705" t="s">
        <v>14</v>
      </c>
      <c r="W21" s="706">
        <f>J21</f>
        <v>100</v>
      </c>
      <c r="X21" s="1355"/>
      <c r="Y21" s="370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6"/>
      <c r="Q22" s="1352"/>
      <c r="R22" s="705"/>
      <c r="S22" s="706"/>
      <c r="T22" s="705"/>
      <c r="U22" s="706"/>
      <c r="V22" s="705"/>
      <c r="W22" s="706"/>
      <c r="X22" s="1355"/>
      <c r="Y22" s="3706"/>
      <c r="Z22" s="1356"/>
      <c r="AA22" s="1353">
        <v>1</v>
      </c>
      <c r="AB22" s="1353">
        <v>1</v>
      </c>
      <c r="AC22" s="1353">
        <v>1</v>
      </c>
    </row>
    <row r="23" spans="1:29" ht="82.8">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6"/>
      <c r="Q23" s="1352" t="str">
        <f>B23</f>
        <v>环境质量</v>
      </c>
      <c r="R23" s="705" t="s">
        <v>14</v>
      </c>
      <c r="S23" s="706">
        <f>F23</f>
        <v>100</v>
      </c>
      <c r="T23" s="705" t="s">
        <v>14</v>
      </c>
      <c r="U23" s="706">
        <f>H23</f>
        <v>100</v>
      </c>
      <c r="V23" s="705" t="s">
        <v>14</v>
      </c>
      <c r="W23" s="706">
        <f>J23</f>
        <v>100</v>
      </c>
      <c r="X23" s="1355"/>
      <c r="Y23" s="370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6"/>
      <c r="Q24" s="1352"/>
      <c r="R24" s="705"/>
      <c r="S24" s="706"/>
      <c r="T24" s="705"/>
      <c r="U24" s="706"/>
      <c r="V24" s="705"/>
      <c r="W24" s="706"/>
      <c r="X24" s="1355"/>
      <c r="Y24" s="370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6"/>
      <c r="Q25" s="1352">
        <f>B25</f>
        <v>111</v>
      </c>
      <c r="R25" s="705" t="s">
        <v>14</v>
      </c>
      <c r="S25" s="706">
        <f>F25</f>
        <v>100</v>
      </c>
      <c r="T25" s="705" t="s">
        <v>14</v>
      </c>
      <c r="U25" s="706">
        <f>H25</f>
        <v>100</v>
      </c>
      <c r="V25" s="705" t="s">
        <v>14</v>
      </c>
      <c r="W25" s="706">
        <f>J25</f>
        <v>100</v>
      </c>
      <c r="X25" s="1355"/>
      <c r="Y25" s="370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6"/>
      <c r="Q26" s="1352">
        <f t="shared" ref="Q26:Q40" si="11">B26</f>
        <v>111</v>
      </c>
      <c r="R26" s="705" t="s">
        <v>14</v>
      </c>
      <c r="S26" s="706">
        <f>F26</f>
        <v>100</v>
      </c>
      <c r="T26" s="705" t="s">
        <v>14</v>
      </c>
      <c r="U26" s="706">
        <f>H26</f>
        <v>100</v>
      </c>
      <c r="V26" s="705" t="s">
        <v>14</v>
      </c>
      <c r="W26" s="706">
        <f>J26</f>
        <v>100</v>
      </c>
      <c r="X26" s="1355"/>
      <c r="Y26" s="370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6"/>
      <c r="Q27" s="1343">
        <f t="shared" si="11"/>
        <v>111</v>
      </c>
      <c r="R27" s="701" t="s">
        <v>14</v>
      </c>
      <c r="S27" s="702">
        <f>F27</f>
        <v>100</v>
      </c>
      <c r="T27" s="701" t="s">
        <v>14</v>
      </c>
      <c r="U27" s="702">
        <f>H27</f>
        <v>100</v>
      </c>
      <c r="V27" s="701" t="s">
        <v>14</v>
      </c>
      <c r="W27" s="702">
        <f>J27</f>
        <v>100</v>
      </c>
      <c r="X27" s="703"/>
      <c r="Y27" s="3706"/>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6"/>
      <c r="Q28" s="1352">
        <f t="shared" si="11"/>
        <v>111</v>
      </c>
      <c r="R28" s="705" t="s">
        <v>14</v>
      </c>
      <c r="S28" s="706">
        <f t="shared" ref="S28:S40" si="12">F28</f>
        <v>100</v>
      </c>
      <c r="T28" s="705" t="s">
        <v>14</v>
      </c>
      <c r="U28" s="706">
        <f t="shared" ref="U28:U40" si="13">H28</f>
        <v>100</v>
      </c>
      <c r="V28" s="705" t="s">
        <v>14</v>
      </c>
      <c r="W28" s="706">
        <f t="shared" ref="W28:W40" si="14">J28</f>
        <v>100</v>
      </c>
      <c r="X28" s="1355"/>
      <c r="Y28" s="3706"/>
      <c r="Z28" s="1356">
        <f t="shared" ref="Z28:Z40" si="15">Q28</f>
        <v>111</v>
      </c>
      <c r="AA28" s="1353">
        <f t="shared" si="3"/>
        <v>1</v>
      </c>
      <c r="AB28" s="1353">
        <f t="shared" si="4"/>
        <v>1</v>
      </c>
      <c r="AC28" s="1353">
        <f t="shared" si="5"/>
        <v>1</v>
      </c>
    </row>
    <row r="29" spans="1:29" ht="30">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7" t="s">
        <v>1695</v>
      </c>
      <c r="Q29" s="1352" t="str">
        <f t="shared" si="11"/>
        <v>建筑类型</v>
      </c>
      <c r="R29" s="705" t="s">
        <v>14</v>
      </c>
      <c r="S29" s="706">
        <f t="shared" si="12"/>
        <v>100</v>
      </c>
      <c r="T29" s="705" t="s">
        <v>14</v>
      </c>
      <c r="U29" s="706">
        <f t="shared" si="13"/>
        <v>100</v>
      </c>
      <c r="V29" s="705" t="s">
        <v>14</v>
      </c>
      <c r="W29" s="706">
        <f t="shared" si="14"/>
        <v>100</v>
      </c>
      <c r="X29" s="1355"/>
      <c r="Y29" s="3710"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0"/>
      <c r="Q30" s="707" t="str">
        <f t="shared" si="11"/>
        <v>项目建筑规模</v>
      </c>
      <c r="R30" s="708" t="s">
        <v>14</v>
      </c>
      <c r="S30" s="709" t="e">
        <f t="shared" si="12"/>
        <v>#N/A</v>
      </c>
      <c r="T30" s="708" t="s">
        <v>14</v>
      </c>
      <c r="U30" s="709" t="e">
        <f t="shared" si="13"/>
        <v>#N/A</v>
      </c>
      <c r="V30" s="708" t="s">
        <v>14</v>
      </c>
      <c r="W30" s="709" t="e">
        <f t="shared" si="14"/>
        <v>#N/A</v>
      </c>
      <c r="X30" s="710"/>
      <c r="Y30" s="3710"/>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0"/>
      <c r="Q31" s="1352" t="str">
        <f t="shared" si="11"/>
        <v>建筑结构</v>
      </c>
      <c r="R31" s="705" t="s">
        <v>14</v>
      </c>
      <c r="S31" s="706">
        <f t="shared" si="12"/>
        <v>100</v>
      </c>
      <c r="T31" s="705" t="s">
        <v>14</v>
      </c>
      <c r="U31" s="706">
        <f t="shared" si="13"/>
        <v>100</v>
      </c>
      <c r="V31" s="705" t="s">
        <v>14</v>
      </c>
      <c r="W31" s="706">
        <f t="shared" si="14"/>
        <v>100</v>
      </c>
      <c r="X31" s="1355"/>
      <c r="Y31" s="3710"/>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0"/>
      <c r="Q32" s="1352" t="str">
        <f t="shared" si="11"/>
        <v>公共部分装修</v>
      </c>
      <c r="R32" s="705" t="s">
        <v>14</v>
      </c>
      <c r="S32" s="706">
        <f t="shared" si="12"/>
        <v>100</v>
      </c>
      <c r="T32" s="705" t="s">
        <v>14</v>
      </c>
      <c r="U32" s="706">
        <f t="shared" si="13"/>
        <v>100</v>
      </c>
      <c r="V32" s="705" t="s">
        <v>14</v>
      </c>
      <c r="W32" s="706">
        <f t="shared" si="14"/>
        <v>100</v>
      </c>
      <c r="X32" s="1355"/>
      <c r="Y32" s="3710"/>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0"/>
      <c r="Q33" s="1352" t="str">
        <f t="shared" si="11"/>
        <v>成新度</v>
      </c>
      <c r="R33" s="705" t="s">
        <v>14</v>
      </c>
      <c r="S33" s="706" t="e">
        <f t="shared" si="12"/>
        <v>#N/A</v>
      </c>
      <c r="T33" s="705" t="s">
        <v>14</v>
      </c>
      <c r="U33" s="706" t="e">
        <f t="shared" si="13"/>
        <v>#N/A</v>
      </c>
      <c r="V33" s="705" t="s">
        <v>14</v>
      </c>
      <c r="W33" s="706" t="e">
        <f t="shared" si="14"/>
        <v>#N/A</v>
      </c>
      <c r="X33" s="1355"/>
      <c r="Y33" s="3710"/>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0"/>
      <c r="Q34" s="1343" t="str">
        <f t="shared" si="11"/>
        <v>物业管理</v>
      </c>
      <c r="R34" s="701" t="s">
        <v>14</v>
      </c>
      <c r="S34" s="702">
        <f t="shared" si="12"/>
        <v>100</v>
      </c>
      <c r="T34" s="701" t="s">
        <v>14</v>
      </c>
      <c r="U34" s="702">
        <f t="shared" si="13"/>
        <v>100</v>
      </c>
      <c r="V34" s="701" t="s">
        <v>14</v>
      </c>
      <c r="W34" s="702">
        <f t="shared" si="14"/>
        <v>100</v>
      </c>
      <c r="X34" s="703"/>
      <c r="Y34" s="3710"/>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0" t="s">
        <v>1695</v>
      </c>
      <c r="Q35" s="1352" t="str">
        <f t="shared" si="11"/>
        <v>市政基础设施</v>
      </c>
      <c r="R35" s="705" t="s">
        <v>14</v>
      </c>
      <c r="S35" s="706">
        <f t="shared" si="12"/>
        <v>100</v>
      </c>
      <c r="T35" s="705" t="s">
        <v>14</v>
      </c>
      <c r="U35" s="706">
        <f t="shared" si="13"/>
        <v>100</v>
      </c>
      <c r="V35" s="705" t="s">
        <v>14</v>
      </c>
      <c r="W35" s="706">
        <f t="shared" si="14"/>
        <v>100</v>
      </c>
      <c r="X35" s="1355"/>
      <c r="Y35" s="3710"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0"/>
      <c r="Q36" s="1352" t="str">
        <f t="shared" si="11"/>
        <v>内部装修</v>
      </c>
      <c r="R36" s="705" t="s">
        <v>14</v>
      </c>
      <c r="S36" s="706">
        <f t="shared" si="12"/>
        <v>100</v>
      </c>
      <c r="T36" s="705" t="s">
        <v>14</v>
      </c>
      <c r="U36" s="706">
        <f t="shared" si="13"/>
        <v>100</v>
      </c>
      <c r="V36" s="705" t="s">
        <v>14</v>
      </c>
      <c r="W36" s="706">
        <f t="shared" si="14"/>
        <v>100</v>
      </c>
      <c r="X36" s="1355"/>
      <c r="Y36" s="3710"/>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0"/>
      <c r="Q37" s="1352" t="str">
        <f t="shared" si="11"/>
        <v>内部装修状况</v>
      </c>
      <c r="R37" s="705" t="s">
        <v>14</v>
      </c>
      <c r="S37" s="706">
        <f t="shared" si="12"/>
        <v>100</v>
      </c>
      <c r="T37" s="705" t="s">
        <v>14</v>
      </c>
      <c r="U37" s="706">
        <f t="shared" si="13"/>
        <v>100</v>
      </c>
      <c r="V37" s="705" t="s">
        <v>14</v>
      </c>
      <c r="W37" s="706">
        <f t="shared" si="14"/>
        <v>100</v>
      </c>
      <c r="X37" s="1355"/>
      <c r="Y37" s="371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0"/>
      <c r="Q38" s="707">
        <f t="shared" si="11"/>
        <v>111</v>
      </c>
      <c r="R38" s="708" t="s">
        <v>14</v>
      </c>
      <c r="S38" s="709">
        <f t="shared" si="12"/>
        <v>100</v>
      </c>
      <c r="T38" s="708" t="s">
        <v>14</v>
      </c>
      <c r="U38" s="709">
        <f t="shared" si="13"/>
        <v>100</v>
      </c>
      <c r="V38" s="708" t="s">
        <v>14</v>
      </c>
      <c r="W38" s="709">
        <f t="shared" si="14"/>
        <v>100</v>
      </c>
      <c r="X38" s="710"/>
      <c r="Y38" s="371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0"/>
      <c r="Q39" s="1352">
        <f t="shared" si="11"/>
        <v>111</v>
      </c>
      <c r="R39" s="705" t="s">
        <v>14</v>
      </c>
      <c r="S39" s="706">
        <f t="shared" si="12"/>
        <v>100</v>
      </c>
      <c r="T39" s="705" t="s">
        <v>14</v>
      </c>
      <c r="U39" s="706">
        <f t="shared" si="13"/>
        <v>100</v>
      </c>
      <c r="V39" s="705" t="s">
        <v>14</v>
      </c>
      <c r="W39" s="706">
        <f t="shared" si="14"/>
        <v>100</v>
      </c>
      <c r="X39" s="1355"/>
      <c r="Y39" s="3710"/>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1"/>
      <c r="Q40" s="1352">
        <f t="shared" si="11"/>
        <v>111</v>
      </c>
      <c r="R40" s="705" t="s">
        <v>14</v>
      </c>
      <c r="S40" s="706">
        <f t="shared" si="12"/>
        <v>100</v>
      </c>
      <c r="T40" s="705" t="s">
        <v>14</v>
      </c>
      <c r="U40" s="706">
        <f t="shared" si="13"/>
        <v>100</v>
      </c>
      <c r="V40" s="705" t="s">
        <v>14</v>
      </c>
      <c r="W40" s="706">
        <f t="shared" si="14"/>
        <v>100</v>
      </c>
      <c r="X40" s="1355"/>
      <c r="Y40" s="3711"/>
      <c r="Z40" s="1356">
        <f t="shared" si="15"/>
        <v>111</v>
      </c>
      <c r="AA40" s="1353">
        <f t="shared" si="3"/>
        <v>1</v>
      </c>
      <c r="AB40" s="1353">
        <f t="shared" si="4"/>
        <v>1</v>
      </c>
      <c r="AC40" s="1353">
        <f t="shared" si="5"/>
        <v>1</v>
      </c>
    </row>
    <row r="41" spans="1:29" ht="14.4">
      <c r="A41" s="430" t="s">
        <v>1707</v>
      </c>
      <c r="B41" s="431"/>
      <c r="C41" s="1154" t="s">
        <v>0</v>
      </c>
      <c r="D41" s="1155"/>
      <c r="E41" s="1156"/>
      <c r="F41" s="1157"/>
      <c r="G41" s="1158"/>
      <c r="H41" s="1159"/>
      <c r="I41" s="1156"/>
      <c r="J41" s="1159"/>
      <c r="K41" s="714"/>
      <c r="L41" s="926"/>
      <c r="M41" s="927"/>
      <c r="N41" s="914"/>
      <c r="O41" s="927"/>
      <c r="P41" s="3703" t="str">
        <f>A41</f>
        <v>成交单价（元/平方米）</v>
      </c>
      <c r="Q41" s="3703"/>
      <c r="R41" s="3704">
        <f>E41</f>
        <v>0</v>
      </c>
      <c r="S41" s="3704"/>
      <c r="T41" s="3704">
        <f>G41</f>
        <v>0</v>
      </c>
      <c r="U41" s="3704"/>
      <c r="V41" s="3704">
        <f>I41</f>
        <v>0</v>
      </c>
      <c r="W41" s="3704"/>
      <c r="X41" s="690"/>
      <c r="Y41" s="712"/>
      <c r="Z41" s="690"/>
      <c r="AA41" s="690"/>
      <c r="AB41" s="690"/>
      <c r="AC41" s="690"/>
    </row>
    <row r="42" spans="1:29" ht="1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03" t="str">
        <f>A42</f>
        <v>比较价值（元/平方米）</v>
      </c>
      <c r="Q42" s="3703"/>
      <c r="R42" s="3704" t="e">
        <f>IF(F1="售价",ROUND(PRODUCT(R41,AA7:AA40),0),ROUND(PRODUCT(R41,AA7:AA40),1))</f>
        <v>#DIV/0!</v>
      </c>
      <c r="S42" s="3704"/>
      <c r="T42" s="3704" t="e">
        <f>IF(F1="售价",ROUND(PRODUCT(T41,AB7:AB40),0),ROUND(PRODUCT(T41,AB7:AB40),1))</f>
        <v>#DIV/0!</v>
      </c>
      <c r="U42" s="3704"/>
      <c r="V42" s="3704" t="e">
        <f>IF(F1="售价",ROUND(PRODUCT(V41,AC7:AC40),0),ROUND(PRODUCT(V41,AC7:AC40),1))</f>
        <v>#DIV/0!</v>
      </c>
      <c r="W42" s="3704"/>
      <c r="X42" s="690"/>
      <c r="Y42" s="690"/>
      <c r="Z42" s="690"/>
      <c r="AA42" s="690"/>
      <c r="AB42" s="690"/>
      <c r="AC42" s="690"/>
    </row>
    <row r="43" spans="1:29" ht="15" thickBot="1">
      <c r="A43" s="441" t="s">
        <v>1793</v>
      </c>
      <c r="B43" s="442"/>
      <c r="C43" s="1163" t="e">
        <f>R43</f>
        <v>#DIV/0!</v>
      </c>
      <c r="D43" s="1163"/>
      <c r="E43" s="1163"/>
      <c r="F43" s="1163"/>
      <c r="G43" s="1163"/>
      <c r="H43" s="1163"/>
      <c r="I43" s="1163"/>
      <c r="J43" s="1163"/>
      <c r="K43" s="715"/>
      <c r="L43" s="926"/>
      <c r="M43" s="927"/>
      <c r="N43" s="927"/>
      <c r="O43" s="927"/>
      <c r="P43" s="3700" t="str">
        <f>A43</f>
        <v>估价对象XX用房的比较价值（楼面单价，元/平方米）</v>
      </c>
      <c r="Q43" s="3701"/>
      <c r="R43" s="3702" t="e">
        <f>IF(F1="售价",ROUND(IF(D42="简单平均",AVERAGE(R42:V42),R42*F42+T42*H42+V42*J42),0),ROUND(IF(D42="简单平均",AVERAGE(R42:V42),R42*F42+T42*H42+V42*J42),1))</f>
        <v>#DIV/0!</v>
      </c>
      <c r="S43" s="3702"/>
      <c r="T43" s="3702"/>
      <c r="U43" s="3702"/>
      <c r="V43" s="3702"/>
      <c r="W43" s="370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1797</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2013-5</v>
      </c>
      <c r="D52" s="1185">
        <f>EDATE(C52,-1)</f>
        <v>41365</v>
      </c>
      <c r="E52" s="1185">
        <f t="shared" ref="E52:O52" si="16">EDATE(D52,-1)</f>
        <v>41334</v>
      </c>
      <c r="F52" s="1185">
        <f t="shared" si="16"/>
        <v>41306</v>
      </c>
      <c r="G52" s="1185">
        <f t="shared" si="16"/>
        <v>41275</v>
      </c>
      <c r="H52" s="1185">
        <f t="shared" si="16"/>
        <v>41244</v>
      </c>
      <c r="I52" s="1185">
        <f t="shared" si="16"/>
        <v>41214</v>
      </c>
      <c r="J52" s="1185">
        <f t="shared" si="16"/>
        <v>41183</v>
      </c>
      <c r="K52" s="1185">
        <f t="shared" si="16"/>
        <v>41153</v>
      </c>
      <c r="L52" s="1185">
        <f t="shared" si="16"/>
        <v>41122</v>
      </c>
      <c r="M52" s="1185">
        <f t="shared" si="16"/>
        <v>41091</v>
      </c>
      <c r="N52" s="1185">
        <f t="shared" si="16"/>
        <v>41061</v>
      </c>
      <c r="O52" s="1185">
        <f t="shared" si="16"/>
        <v>41030</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1715</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1775</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1718</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1693</v>
      </c>
      <c r="B88" s="477" t="s">
        <v>1735</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3333</v>
      </c>
      <c r="C1" s="1224" t="s">
        <v>1662</v>
      </c>
      <c r="D1" s="1225"/>
      <c r="E1" s="3433"/>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1768</v>
      </c>
      <c r="B4" s="356"/>
      <c r="C4" s="3718" t="s">
        <v>1769</v>
      </c>
      <c r="D4" s="3719"/>
      <c r="E4" s="3720" t="s">
        <v>1770</v>
      </c>
      <c r="F4" s="3721"/>
      <c r="G4" s="3718" t="s">
        <v>1771</v>
      </c>
      <c r="H4" s="3719"/>
      <c r="I4" s="3718" t="s">
        <v>1772</v>
      </c>
      <c r="J4" s="3719"/>
      <c r="K4" s="559" t="s">
        <v>1773</v>
      </c>
      <c r="L4" s="2715"/>
      <c r="M4" s="2716"/>
      <c r="N4" s="2716"/>
      <c r="O4" s="2716"/>
      <c r="P4" s="3722" t="s">
        <v>1774</v>
      </c>
      <c r="Q4" s="3723"/>
      <c r="R4" s="3728" t="s">
        <v>1770</v>
      </c>
      <c r="S4" s="3729"/>
      <c r="T4" s="3728" t="s">
        <v>1771</v>
      </c>
      <c r="U4" s="3729"/>
      <c r="V4" s="3734" t="s">
        <v>1772</v>
      </c>
      <c r="W4" s="3734"/>
      <c r="X4" s="1355"/>
      <c r="Y4" s="3728" t="s">
        <v>1774</v>
      </c>
      <c r="Z4" s="3729"/>
      <c r="AA4" s="3715" t="s">
        <v>1770</v>
      </c>
      <c r="AB4" s="3716" t="s">
        <v>1771</v>
      </c>
      <c r="AC4" s="3715" t="s">
        <v>1772</v>
      </c>
    </row>
    <row r="5" spans="1:29">
      <c r="A5" s="358"/>
      <c r="B5" s="359"/>
      <c r="C5" s="3748" t="s">
        <v>1673</v>
      </c>
      <c r="D5" s="3743"/>
      <c r="E5" s="3750" t="s">
        <v>1674</v>
      </c>
      <c r="F5" s="3751"/>
      <c r="G5" s="3748" t="s">
        <v>1675</v>
      </c>
      <c r="H5" s="3743"/>
      <c r="I5" s="3748" t="s">
        <v>1676</v>
      </c>
      <c r="J5" s="3743"/>
      <c r="K5" s="559"/>
      <c r="L5" s="2715"/>
      <c r="M5" s="2716"/>
      <c r="N5" s="2716"/>
      <c r="O5" s="2716"/>
      <c r="P5" s="3724"/>
      <c r="Q5" s="3725"/>
      <c r="R5" s="3730"/>
      <c r="S5" s="3731"/>
      <c r="T5" s="3730"/>
      <c r="U5" s="3731"/>
      <c r="V5" s="3734"/>
      <c r="W5" s="3734"/>
      <c r="X5" s="1355"/>
      <c r="Y5" s="3730"/>
      <c r="Z5" s="3731"/>
      <c r="AA5" s="3716"/>
      <c r="AB5" s="3716"/>
      <c r="AC5" s="3716"/>
    </row>
    <row r="6" spans="1:29" ht="15" thickBot="1">
      <c r="A6" s="360"/>
      <c r="B6" s="361"/>
      <c r="C6" s="3747" t="s">
        <v>1677</v>
      </c>
      <c r="D6" s="3736"/>
      <c r="E6" s="3749" t="s">
        <v>1677</v>
      </c>
      <c r="F6" s="3745"/>
      <c r="G6" s="3747" t="s">
        <v>1677</v>
      </c>
      <c r="H6" s="3736"/>
      <c r="I6" s="3747" t="s">
        <v>1677</v>
      </c>
      <c r="J6" s="3736"/>
      <c r="K6" s="559" t="s">
        <v>1678</v>
      </c>
      <c r="L6" s="2715"/>
      <c r="M6" s="2716"/>
      <c r="N6" s="2716"/>
      <c r="O6" s="2716"/>
      <c r="P6" s="3726"/>
      <c r="Q6" s="3727"/>
      <c r="R6" s="3730"/>
      <c r="S6" s="3731"/>
      <c r="T6" s="3732"/>
      <c r="U6" s="3733"/>
      <c r="V6" s="3734"/>
      <c r="W6" s="3734"/>
      <c r="X6" s="1355"/>
      <c r="Y6" s="3732"/>
      <c r="Z6" s="3733"/>
      <c r="AA6" s="3717"/>
      <c r="AB6" s="3717"/>
      <c r="AC6" s="3717"/>
    </row>
    <row r="7" spans="1:29" s="108" customFormat="1" ht="15" thickBot="1">
      <c r="A7" s="362" t="s">
        <v>1679</v>
      </c>
      <c r="B7" s="363"/>
      <c r="C7" s="364">
        <f>'数据-取费表'!B2</f>
        <v>41424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9" t="s">
        <v>1680</v>
      </c>
      <c r="Q7" s="3741"/>
      <c r="R7" s="701" t="s">
        <v>14</v>
      </c>
      <c r="S7" s="702">
        <f t="shared" ref="S7:S14" si="0">F7</f>
        <v>0</v>
      </c>
      <c r="T7" s="701" t="s">
        <v>14</v>
      </c>
      <c r="U7" s="702">
        <f t="shared" ref="U7:U14" si="1">H7</f>
        <v>0</v>
      </c>
      <c r="V7" s="701" t="s">
        <v>14</v>
      </c>
      <c r="W7" s="702">
        <f t="shared" ref="W7:W14" si="2">J7</f>
        <v>0</v>
      </c>
      <c r="X7" s="703"/>
      <c r="Y7" s="3739" t="s">
        <v>1680</v>
      </c>
      <c r="Z7" s="3740"/>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9" t="s">
        <v>1683</v>
      </c>
      <c r="Q8" s="3740"/>
      <c r="R8" s="701" t="s">
        <v>14</v>
      </c>
      <c r="S8" s="702">
        <f t="shared" si="0"/>
        <v>100</v>
      </c>
      <c r="T8" s="701" t="s">
        <v>14</v>
      </c>
      <c r="U8" s="702">
        <f t="shared" si="1"/>
        <v>100</v>
      </c>
      <c r="V8" s="701" t="s">
        <v>14</v>
      </c>
      <c r="W8" s="702">
        <f t="shared" si="2"/>
        <v>100</v>
      </c>
      <c r="X8" s="703"/>
      <c r="Y8" s="3739" t="s">
        <v>1683</v>
      </c>
      <c r="Z8" s="3740"/>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3" t="s">
        <v>1686</v>
      </c>
      <c r="Q9" s="1343" t="str">
        <f t="shared" ref="Q9:Q14" si="6">B9</f>
        <v>用途</v>
      </c>
      <c r="R9" s="701" t="s">
        <v>14</v>
      </c>
      <c r="S9" s="702">
        <f t="shared" si="0"/>
        <v>100</v>
      </c>
      <c r="T9" s="701" t="s">
        <v>14</v>
      </c>
      <c r="U9" s="702">
        <f t="shared" si="1"/>
        <v>100</v>
      </c>
      <c r="V9" s="701" t="s">
        <v>14</v>
      </c>
      <c r="W9" s="702">
        <f t="shared" si="2"/>
        <v>100</v>
      </c>
      <c r="X9" s="703"/>
      <c r="Y9" s="3578"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3"/>
      <c r="Q10" s="1343" t="str">
        <f t="shared" si="6"/>
        <v>土地使用年限（年）</v>
      </c>
      <c r="R10" s="701" t="s">
        <v>14</v>
      </c>
      <c r="S10" s="702">
        <f t="shared" si="0"/>
        <v>100</v>
      </c>
      <c r="T10" s="701" t="s">
        <v>14</v>
      </c>
      <c r="U10" s="702">
        <f t="shared" si="1"/>
        <v>100</v>
      </c>
      <c r="V10" s="701" t="s">
        <v>14</v>
      </c>
      <c r="W10" s="702">
        <f t="shared" si="2"/>
        <v>100</v>
      </c>
      <c r="X10" s="703"/>
      <c r="Y10" s="357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3"/>
      <c r="Q11" s="1343">
        <f t="shared" si="6"/>
        <v>111</v>
      </c>
      <c r="R11" s="701" t="s">
        <v>14</v>
      </c>
      <c r="S11" s="702">
        <f t="shared" si="0"/>
        <v>100</v>
      </c>
      <c r="T11" s="701" t="s">
        <v>14</v>
      </c>
      <c r="U11" s="702">
        <f t="shared" si="1"/>
        <v>100</v>
      </c>
      <c r="V11" s="701" t="s">
        <v>14</v>
      </c>
      <c r="W11" s="702">
        <f t="shared" si="2"/>
        <v>100</v>
      </c>
      <c r="X11" s="703"/>
      <c r="Y11" s="357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3"/>
      <c r="Q12" s="1343">
        <f t="shared" si="6"/>
        <v>111</v>
      </c>
      <c r="R12" s="701" t="s">
        <v>14</v>
      </c>
      <c r="S12" s="702">
        <f t="shared" si="0"/>
        <v>100</v>
      </c>
      <c r="T12" s="701" t="s">
        <v>14</v>
      </c>
      <c r="U12" s="702">
        <f t="shared" si="1"/>
        <v>100</v>
      </c>
      <c r="V12" s="701" t="s">
        <v>14</v>
      </c>
      <c r="W12" s="702">
        <f t="shared" si="2"/>
        <v>100</v>
      </c>
      <c r="X12" s="703"/>
      <c r="Y12" s="3578"/>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3"/>
      <c r="Q13" s="1343">
        <f t="shared" si="6"/>
        <v>111</v>
      </c>
      <c r="R13" s="701" t="s">
        <v>14</v>
      </c>
      <c r="S13" s="702">
        <f t="shared" si="0"/>
        <v>100</v>
      </c>
      <c r="T13" s="701" t="s">
        <v>14</v>
      </c>
      <c r="U13" s="702">
        <f t="shared" si="1"/>
        <v>100</v>
      </c>
      <c r="V13" s="701" t="s">
        <v>14</v>
      </c>
      <c r="W13" s="702">
        <f t="shared" si="2"/>
        <v>100</v>
      </c>
      <c r="X13" s="703"/>
      <c r="Y13" s="3578"/>
      <c r="Z13" s="52">
        <f t="shared" si="7"/>
        <v>111</v>
      </c>
      <c r="AA13" s="704">
        <f t="shared" si="3"/>
        <v>1</v>
      </c>
      <c r="AB13" s="704">
        <f t="shared" si="4"/>
        <v>1</v>
      </c>
      <c r="AC13" s="704">
        <f t="shared" si="5"/>
        <v>1</v>
      </c>
    </row>
    <row r="14" spans="1:29" ht="96.6">
      <c r="A14" s="355" t="s">
        <v>1690</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5" t="s">
        <v>1691</v>
      </c>
      <c r="Q14" s="1352" t="str">
        <f t="shared" si="6"/>
        <v>交通便捷度</v>
      </c>
      <c r="R14" s="705" t="s">
        <v>14</v>
      </c>
      <c r="S14" s="706">
        <f t="shared" si="0"/>
        <v>100</v>
      </c>
      <c r="T14" s="705" t="s">
        <v>14</v>
      </c>
      <c r="U14" s="706">
        <f t="shared" si="1"/>
        <v>100</v>
      </c>
      <c r="V14" s="705" t="s">
        <v>14</v>
      </c>
      <c r="W14" s="706">
        <f t="shared" si="2"/>
        <v>100</v>
      </c>
      <c r="X14" s="1355"/>
      <c r="Y14" s="370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6"/>
      <c r="Q15" s="1352"/>
      <c r="R15" s="705"/>
      <c r="S15" s="706"/>
      <c r="T15" s="705"/>
      <c r="U15" s="706"/>
      <c r="V15" s="705"/>
      <c r="W15" s="706"/>
      <c r="X15" s="1355"/>
      <c r="Y15" s="3706"/>
      <c r="Z15" s="1356"/>
      <c r="AA15" s="1353">
        <v>1</v>
      </c>
      <c r="AB15" s="1353">
        <v>1</v>
      </c>
      <c r="AC15" s="1353">
        <v>1</v>
      </c>
    </row>
    <row r="16" spans="1:29" ht="41.4">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6"/>
      <c r="Q16" s="1352" t="str">
        <f>B16</f>
        <v>公共配套设施</v>
      </c>
      <c r="R16" s="705" t="s">
        <v>14</v>
      </c>
      <c r="S16" s="706">
        <f>F16</f>
        <v>100</v>
      </c>
      <c r="T16" s="705" t="s">
        <v>14</v>
      </c>
      <c r="U16" s="706">
        <f>H16</f>
        <v>100</v>
      </c>
      <c r="V16" s="705" t="s">
        <v>14</v>
      </c>
      <c r="W16" s="706">
        <f>J16</f>
        <v>100</v>
      </c>
      <c r="X16" s="1355"/>
      <c r="Y16" s="370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6"/>
      <c r="Q17" s="1352"/>
      <c r="R17" s="705"/>
      <c r="S17" s="706"/>
      <c r="T17" s="705"/>
      <c r="U17" s="706"/>
      <c r="V17" s="705"/>
      <c r="W17" s="706"/>
      <c r="X17" s="1355"/>
      <c r="Y17" s="3706"/>
      <c r="Z17" s="1356"/>
      <c r="AA17" s="1353">
        <v>1</v>
      </c>
      <c r="AB17" s="1353">
        <v>1</v>
      </c>
      <c r="AC17" s="1353">
        <v>1</v>
      </c>
    </row>
    <row r="18" spans="1:29" ht="41.4">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6"/>
      <c r="Q18" s="1352" t="str">
        <f>B18</f>
        <v>基础设施水平</v>
      </c>
      <c r="R18" s="705" t="s">
        <v>14</v>
      </c>
      <c r="S18" s="706">
        <f>F18</f>
        <v>100</v>
      </c>
      <c r="T18" s="705" t="s">
        <v>14</v>
      </c>
      <c r="U18" s="706">
        <f>H18</f>
        <v>100</v>
      </c>
      <c r="V18" s="705" t="s">
        <v>14</v>
      </c>
      <c r="W18" s="706">
        <f>J18</f>
        <v>100</v>
      </c>
      <c r="X18" s="1355"/>
      <c r="Y18" s="370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6"/>
      <c r="Q19" s="1352"/>
      <c r="R19" s="705"/>
      <c r="S19" s="706"/>
      <c r="T19" s="705"/>
      <c r="U19" s="706"/>
      <c r="V19" s="705"/>
      <c r="W19" s="706"/>
      <c r="X19" s="1355"/>
      <c r="Y19" s="3706"/>
      <c r="Z19" s="1356"/>
      <c r="AA19" s="1353">
        <v>1</v>
      </c>
      <c r="AB19" s="1353">
        <v>1</v>
      </c>
      <c r="AC19" s="1353">
        <v>1</v>
      </c>
    </row>
    <row r="20" spans="1:29" ht="55.2">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6"/>
      <c r="Q20" s="1352" t="str">
        <f>B20</f>
        <v>自然及人文环境</v>
      </c>
      <c r="R20" s="705" t="s">
        <v>14</v>
      </c>
      <c r="S20" s="706">
        <f>F20</f>
        <v>100</v>
      </c>
      <c r="T20" s="705" t="s">
        <v>14</v>
      </c>
      <c r="U20" s="706">
        <f>H20</f>
        <v>100</v>
      </c>
      <c r="V20" s="705" t="s">
        <v>14</v>
      </c>
      <c r="W20" s="706">
        <f>J20</f>
        <v>100</v>
      </c>
      <c r="X20" s="1355"/>
      <c r="Y20" s="370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6"/>
      <c r="Q21" s="1352"/>
      <c r="R21" s="705"/>
      <c r="S21" s="706"/>
      <c r="T21" s="705"/>
      <c r="U21" s="706"/>
      <c r="V21" s="705"/>
      <c r="W21" s="706"/>
      <c r="X21" s="1355"/>
      <c r="Y21" s="3706"/>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6"/>
      <c r="Q22" s="1352" t="str">
        <f>B22</f>
        <v>楼层</v>
      </c>
      <c r="R22" s="705" t="s">
        <v>14</v>
      </c>
      <c r="S22" s="706">
        <f>F22</f>
        <v>100</v>
      </c>
      <c r="T22" s="705" t="s">
        <v>14</v>
      </c>
      <c r="U22" s="706">
        <f>H22</f>
        <v>100</v>
      </c>
      <c r="V22" s="705" t="s">
        <v>14</v>
      </c>
      <c r="W22" s="706">
        <f>J22</f>
        <v>100</v>
      </c>
      <c r="X22" s="1355"/>
      <c r="Y22" s="370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6"/>
      <c r="Q23" s="1352">
        <f>B23</f>
        <v>111</v>
      </c>
      <c r="R23" s="705" t="s">
        <v>14</v>
      </c>
      <c r="S23" s="706">
        <f>F23</f>
        <v>100</v>
      </c>
      <c r="T23" s="705" t="s">
        <v>14</v>
      </c>
      <c r="U23" s="706">
        <f>H23</f>
        <v>100</v>
      </c>
      <c r="V23" s="705" t="s">
        <v>14</v>
      </c>
      <c r="W23" s="706">
        <f>J23</f>
        <v>100</v>
      </c>
      <c r="X23" s="1355"/>
      <c r="Y23" s="370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6"/>
      <c r="Q24" s="1352">
        <f t="shared" ref="Q24:Q36" si="11">B24</f>
        <v>111</v>
      </c>
      <c r="R24" s="705" t="s">
        <v>14</v>
      </c>
      <c r="S24" s="706">
        <f>F24</f>
        <v>100</v>
      </c>
      <c r="T24" s="705" t="s">
        <v>14</v>
      </c>
      <c r="U24" s="706">
        <f>H24</f>
        <v>100</v>
      </c>
      <c r="V24" s="705" t="s">
        <v>14</v>
      </c>
      <c r="W24" s="706">
        <f>J24</f>
        <v>100</v>
      </c>
      <c r="X24" s="1355"/>
      <c r="Y24" s="3706"/>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6"/>
      <c r="Q25" s="1343">
        <f t="shared" si="11"/>
        <v>111</v>
      </c>
      <c r="R25" s="701" t="s">
        <v>14</v>
      </c>
      <c r="S25" s="702">
        <f>F25</f>
        <v>100</v>
      </c>
      <c r="T25" s="701" t="s">
        <v>14</v>
      </c>
      <c r="U25" s="702">
        <f>H25</f>
        <v>100</v>
      </c>
      <c r="V25" s="701" t="s">
        <v>14</v>
      </c>
      <c r="W25" s="702">
        <f>J25</f>
        <v>100</v>
      </c>
      <c r="X25" s="703"/>
      <c r="Y25" s="3706"/>
      <c r="Z25" s="52">
        <f>Q25</f>
        <v>111</v>
      </c>
      <c r="AA25" s="1353">
        <f>D25/F25</f>
        <v>1</v>
      </c>
      <c r="AB25" s="1353">
        <f>D25/H25</f>
        <v>1</v>
      </c>
      <c r="AC25" s="1353">
        <f>D25/J25</f>
        <v>1</v>
      </c>
    </row>
    <row r="26" spans="1:29" ht="30">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67"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0"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10"/>
      <c r="Q27" s="707" t="str">
        <f t="shared" si="11"/>
        <v>项目停车位配比</v>
      </c>
      <c r="R27" s="708" t="s">
        <v>14</v>
      </c>
      <c r="S27" s="709">
        <f t="shared" si="12"/>
        <v>100</v>
      </c>
      <c r="T27" s="708" t="s">
        <v>14</v>
      </c>
      <c r="U27" s="709">
        <f t="shared" si="13"/>
        <v>100</v>
      </c>
      <c r="V27" s="708" t="s">
        <v>14</v>
      </c>
      <c r="W27" s="709">
        <f t="shared" si="14"/>
        <v>100</v>
      </c>
      <c r="X27" s="710"/>
      <c r="Y27" s="3710"/>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10"/>
      <c r="Q28" s="1352" t="str">
        <f t="shared" si="11"/>
        <v>公共部分装修</v>
      </c>
      <c r="R28" s="705" t="s">
        <v>14</v>
      </c>
      <c r="S28" s="706">
        <f t="shared" si="12"/>
        <v>100</v>
      </c>
      <c r="T28" s="705" t="s">
        <v>14</v>
      </c>
      <c r="U28" s="706">
        <f t="shared" si="13"/>
        <v>100</v>
      </c>
      <c r="V28" s="705" t="s">
        <v>14</v>
      </c>
      <c r="W28" s="706">
        <f t="shared" si="14"/>
        <v>100</v>
      </c>
      <c r="X28" s="1355"/>
      <c r="Y28" s="3710"/>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10"/>
      <c r="Q29" s="1352" t="str">
        <f t="shared" si="11"/>
        <v>成新率</v>
      </c>
      <c r="R29" s="705" t="s">
        <v>14</v>
      </c>
      <c r="S29" s="706" t="e">
        <f t="shared" si="12"/>
        <v>#N/A</v>
      </c>
      <c r="T29" s="705" t="s">
        <v>14</v>
      </c>
      <c r="U29" s="706" t="e">
        <f t="shared" si="13"/>
        <v>#N/A</v>
      </c>
      <c r="V29" s="705" t="s">
        <v>14</v>
      </c>
      <c r="W29" s="706" t="e">
        <f t="shared" si="14"/>
        <v>#N/A</v>
      </c>
      <c r="X29" s="1355"/>
      <c r="Y29" s="3710"/>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10"/>
      <c r="Q30" s="1352" t="str">
        <f t="shared" si="11"/>
        <v>物业等级</v>
      </c>
      <c r="R30" s="705" t="s">
        <v>14</v>
      </c>
      <c r="S30" s="706">
        <f t="shared" si="12"/>
        <v>100</v>
      </c>
      <c r="T30" s="705" t="s">
        <v>14</v>
      </c>
      <c r="U30" s="706">
        <f t="shared" si="13"/>
        <v>100</v>
      </c>
      <c r="V30" s="705" t="s">
        <v>14</v>
      </c>
      <c r="W30" s="706">
        <f t="shared" si="14"/>
        <v>100</v>
      </c>
      <c r="X30" s="1355"/>
      <c r="Y30" s="3710"/>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10"/>
      <c r="Q31" s="1343" t="str">
        <f t="shared" si="11"/>
        <v>停车位面积</v>
      </c>
      <c r="R31" s="701" t="s">
        <v>14</v>
      </c>
      <c r="S31" s="702" t="e">
        <f t="shared" si="12"/>
        <v>#N/A</v>
      </c>
      <c r="T31" s="701" t="s">
        <v>14</v>
      </c>
      <c r="U31" s="702" t="e">
        <f t="shared" si="13"/>
        <v>#N/A</v>
      </c>
      <c r="V31" s="701" t="s">
        <v>14</v>
      </c>
      <c r="W31" s="702" t="e">
        <f t="shared" si="14"/>
        <v>#N/A</v>
      </c>
      <c r="X31" s="703"/>
      <c r="Y31" s="3710"/>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10" t="s">
        <v>1695</v>
      </c>
      <c r="Q32" s="1352" t="str">
        <f t="shared" si="11"/>
        <v>车位类型</v>
      </c>
      <c r="R32" s="705" t="s">
        <v>14</v>
      </c>
      <c r="S32" s="706">
        <f t="shared" si="12"/>
        <v>100</v>
      </c>
      <c r="T32" s="705" t="s">
        <v>14</v>
      </c>
      <c r="U32" s="706">
        <f t="shared" si="13"/>
        <v>100</v>
      </c>
      <c r="V32" s="705" t="s">
        <v>14</v>
      </c>
      <c r="W32" s="706">
        <f t="shared" si="14"/>
        <v>100</v>
      </c>
      <c r="X32" s="1355"/>
      <c r="Y32" s="3710"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10"/>
      <c r="Q33" s="1352" t="str">
        <f t="shared" si="11"/>
        <v>是否直接入户</v>
      </c>
      <c r="R33" s="705" t="s">
        <v>14</v>
      </c>
      <c r="S33" s="706">
        <f t="shared" si="12"/>
        <v>100</v>
      </c>
      <c r="T33" s="705" t="s">
        <v>14</v>
      </c>
      <c r="U33" s="706">
        <f t="shared" si="13"/>
        <v>100</v>
      </c>
      <c r="V33" s="705" t="s">
        <v>14</v>
      </c>
      <c r="W33" s="706">
        <f t="shared" si="14"/>
        <v>100</v>
      </c>
      <c r="X33" s="1355"/>
      <c r="Y33" s="371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10"/>
      <c r="Q34" s="1352">
        <f t="shared" si="11"/>
        <v>111</v>
      </c>
      <c r="R34" s="705" t="s">
        <v>14</v>
      </c>
      <c r="S34" s="706">
        <f t="shared" si="12"/>
        <v>100</v>
      </c>
      <c r="T34" s="705" t="s">
        <v>14</v>
      </c>
      <c r="U34" s="706">
        <f t="shared" si="13"/>
        <v>100</v>
      </c>
      <c r="V34" s="705" t="s">
        <v>14</v>
      </c>
      <c r="W34" s="706">
        <f t="shared" si="14"/>
        <v>100</v>
      </c>
      <c r="X34" s="1355"/>
      <c r="Y34" s="371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10"/>
      <c r="Q35" s="707">
        <f t="shared" si="11"/>
        <v>111</v>
      </c>
      <c r="R35" s="708" t="s">
        <v>14</v>
      </c>
      <c r="S35" s="709">
        <f t="shared" si="12"/>
        <v>100</v>
      </c>
      <c r="T35" s="708" t="s">
        <v>14</v>
      </c>
      <c r="U35" s="709">
        <f t="shared" si="13"/>
        <v>100</v>
      </c>
      <c r="V35" s="708" t="s">
        <v>14</v>
      </c>
      <c r="W35" s="709">
        <f t="shared" si="14"/>
        <v>100</v>
      </c>
      <c r="X35" s="710"/>
      <c r="Y35" s="3710"/>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10"/>
      <c r="Q36" s="1352">
        <f t="shared" si="11"/>
        <v>111</v>
      </c>
      <c r="R36" s="705" t="s">
        <v>14</v>
      </c>
      <c r="S36" s="706">
        <f t="shared" si="12"/>
        <v>100</v>
      </c>
      <c r="T36" s="705" t="s">
        <v>14</v>
      </c>
      <c r="U36" s="706">
        <f t="shared" si="13"/>
        <v>100</v>
      </c>
      <c r="V36" s="705" t="s">
        <v>14</v>
      </c>
      <c r="W36" s="706">
        <f t="shared" si="14"/>
        <v>100</v>
      </c>
      <c r="X36" s="1355"/>
      <c r="Y36" s="3710"/>
      <c r="Z36" s="1356">
        <f t="shared" si="15"/>
        <v>111</v>
      </c>
      <c r="AA36" s="1353">
        <f t="shared" si="3"/>
        <v>1</v>
      </c>
      <c r="AB36" s="1353">
        <f t="shared" si="4"/>
        <v>1</v>
      </c>
      <c r="AC36" s="1353">
        <f t="shared" si="5"/>
        <v>1</v>
      </c>
    </row>
    <row r="37" spans="1:29" ht="14.4">
      <c r="A37" s="430" t="s">
        <v>1843</v>
      </c>
      <c r="B37" s="1973" t="s">
        <v>3354</v>
      </c>
      <c r="C37" s="1154" t="s">
        <v>0</v>
      </c>
      <c r="D37" s="1155"/>
      <c r="E37" s="1156"/>
      <c r="F37" s="1157"/>
      <c r="G37" s="1158"/>
      <c r="H37" s="1159"/>
      <c r="I37" s="1156"/>
      <c r="J37" s="1159"/>
      <c r="K37" s="568"/>
      <c r="L37" s="2724"/>
      <c r="M37" s="2725"/>
      <c r="N37" s="2716"/>
      <c r="O37" s="2725"/>
      <c r="P37" s="3703" t="str">
        <f>A37</f>
        <v>成交单价</v>
      </c>
      <c r="Q37" s="3703"/>
      <c r="R37" s="3704">
        <f>E37</f>
        <v>0</v>
      </c>
      <c r="S37" s="3704"/>
      <c r="T37" s="3704">
        <f>G37</f>
        <v>0</v>
      </c>
      <c r="U37" s="3704"/>
      <c r="V37" s="3704">
        <f>I37</f>
        <v>0</v>
      </c>
      <c r="W37" s="3704"/>
      <c r="X37" s="690"/>
      <c r="Y37" s="712"/>
      <c r="Z37" s="690"/>
      <c r="AA37" s="690"/>
      <c r="AB37" s="690"/>
      <c r="AC37" s="690"/>
    </row>
    <row r="38" spans="1:29" ht="1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703" t="str">
        <f>A38</f>
        <v>比较价值（元/平方米）</v>
      </c>
      <c r="Q38" s="3703"/>
      <c r="R38" s="3704" t="e">
        <f>IF(F1="售价",ROUND(PRODUCT(R37,AA7:AA36),0),ROUND(PRODUCT(R37,AA7:AA36),1))</f>
        <v>#DIV/0!</v>
      </c>
      <c r="S38" s="3704"/>
      <c r="T38" s="3704" t="e">
        <f>IF(F1="售价",ROUND(PRODUCT(T37,AB7:AB36),0),ROUND(PRODUCT(T37,AB7:AB36),1))</f>
        <v>#DIV/0!</v>
      </c>
      <c r="U38" s="3704"/>
      <c r="V38" s="3704" t="e">
        <f>IF(F1="售价",ROUND(PRODUCT(V37,AC7:AC36),0),ROUND(PRODUCT(V37,AC7:AC36),1))</f>
        <v>#DIV/0!</v>
      </c>
      <c r="W38" s="3704"/>
      <c r="X38" s="690"/>
      <c r="Y38" s="690"/>
      <c r="Z38" s="690"/>
      <c r="AA38" s="690"/>
      <c r="AB38" s="690"/>
      <c r="AC38" s="690"/>
    </row>
    <row r="39" spans="1:29" ht="15" thickBot="1">
      <c r="A39" s="441" t="s">
        <v>1845</v>
      </c>
      <c r="B39" s="442"/>
      <c r="C39" s="1163" t="e">
        <f>R39</f>
        <v>#DIV/0!</v>
      </c>
      <c r="D39" s="1163"/>
      <c r="E39" s="1163"/>
      <c r="F39" s="1163"/>
      <c r="G39" s="1163"/>
      <c r="H39" s="1163"/>
      <c r="I39" s="1163"/>
      <c r="J39" s="1163"/>
      <c r="K39" s="569"/>
      <c r="L39" s="2724"/>
      <c r="M39" s="2725"/>
      <c r="N39" s="2725"/>
      <c r="O39" s="2725"/>
      <c r="P39" s="3700" t="str">
        <f>A39</f>
        <v>估价对象XX用房的比较价值（楼面单价，元/平方米）</v>
      </c>
      <c r="Q39" s="3701"/>
      <c r="R39" s="3768" t="e">
        <f>IF(F1="售价",ROUND(IF(D38="简单平均",AVERAGE(R38:W38),R38*F38+T38*H38+V38*J38),0),ROUND(IF(D38="简单平均",AVERAGE(R38:V38),R38*F38+T38*H38+V38*J38),1))</f>
        <v>#DIV/0!</v>
      </c>
      <c r="S39" s="3768"/>
      <c r="T39" s="3768"/>
      <c r="U39" s="3768"/>
      <c r="V39" s="3768"/>
      <c r="W39" s="3768"/>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1849</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1850</v>
      </c>
      <c r="B48" s="455"/>
      <c r="C48" s="1184" t="str">
        <f>YEAR(C7)&amp;"-"&amp;MONTH(C7)</f>
        <v>2013-5</v>
      </c>
      <c r="D48" s="1185">
        <f>EDATE(C48,-1)</f>
        <v>41365</v>
      </c>
      <c r="E48" s="1185">
        <f t="shared" ref="E48:O48" si="16">EDATE(D48,-1)</f>
        <v>41334</v>
      </c>
      <c r="F48" s="1185">
        <f t="shared" si="16"/>
        <v>41306</v>
      </c>
      <c r="G48" s="1185">
        <f t="shared" si="16"/>
        <v>41275</v>
      </c>
      <c r="H48" s="1185">
        <f t="shared" si="16"/>
        <v>41244</v>
      </c>
      <c r="I48" s="1185">
        <f t="shared" si="16"/>
        <v>41214</v>
      </c>
      <c r="J48" s="1185">
        <f t="shared" si="16"/>
        <v>41183</v>
      </c>
      <c r="K48" s="1185">
        <f t="shared" si="16"/>
        <v>41153</v>
      </c>
      <c r="L48" s="1185">
        <f t="shared" si="16"/>
        <v>41122</v>
      </c>
      <c r="M48" s="1185">
        <f t="shared" si="16"/>
        <v>41091</v>
      </c>
      <c r="N48" s="1185">
        <f t="shared" si="16"/>
        <v>41061</v>
      </c>
      <c r="O48" s="1185">
        <f t="shared" si="16"/>
        <v>41030</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1715</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1775</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1718</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1725</v>
      </c>
      <c r="C63" s="522" t="s">
        <v>1720</v>
      </c>
      <c r="D63" s="522" t="s">
        <v>1721</v>
      </c>
      <c r="E63" s="522" t="s">
        <v>1722</v>
      </c>
      <c r="F63" s="522" t="s">
        <v>1723</v>
      </c>
      <c r="G63" s="522" t="s">
        <v>1724</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1726</v>
      </c>
      <c r="C65" s="527" t="s">
        <v>1720</v>
      </c>
      <c r="D65" s="527" t="s">
        <v>1721</v>
      </c>
      <c r="E65" s="527" t="s">
        <v>1722</v>
      </c>
      <c r="F65" s="527" t="s">
        <v>1723</v>
      </c>
      <c r="G65" s="527" t="s">
        <v>1724</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1812</v>
      </c>
      <c r="C67" s="608" t="s">
        <v>1798</v>
      </c>
      <c r="D67" s="608" t="s">
        <v>1799</v>
      </c>
      <c r="E67" s="608" t="s">
        <v>1800</v>
      </c>
      <c r="F67" s="608" t="s">
        <v>1801</v>
      </c>
      <c r="G67" s="608" t="s">
        <v>1802</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1732</v>
      </c>
      <c r="C69" s="527" t="s">
        <v>1720</v>
      </c>
      <c r="D69" s="527" t="s">
        <v>1721</v>
      </c>
      <c r="E69" s="527" t="s">
        <v>1722</v>
      </c>
      <c r="F69" s="527" t="s">
        <v>1723</v>
      </c>
      <c r="G69" s="527" t="s">
        <v>1724</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1851</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1693</v>
      </c>
      <c r="B79" s="477" t="s">
        <v>1852</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1853</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1739</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1855</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1857</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1858</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3334</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1767</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718" t="s">
        <v>1769</v>
      </c>
      <c r="D4" s="3719"/>
      <c r="E4" s="3720" t="s">
        <v>1770</v>
      </c>
      <c r="F4" s="3721"/>
      <c r="G4" s="3718" t="s">
        <v>1771</v>
      </c>
      <c r="H4" s="3719"/>
      <c r="I4" s="3718" t="s">
        <v>1772</v>
      </c>
      <c r="J4" s="3719"/>
      <c r="K4" s="559" t="s">
        <v>1773</v>
      </c>
      <c r="L4" s="2715"/>
      <c r="M4" s="2716"/>
      <c r="N4" s="2716"/>
      <c r="O4" s="2716"/>
      <c r="P4" s="3722" t="s">
        <v>1774</v>
      </c>
      <c r="Q4" s="3723"/>
      <c r="R4" s="3728" t="s">
        <v>1770</v>
      </c>
      <c r="S4" s="3729"/>
      <c r="T4" s="3728" t="s">
        <v>1771</v>
      </c>
      <c r="U4" s="3729"/>
      <c r="V4" s="3734" t="s">
        <v>1772</v>
      </c>
      <c r="W4" s="3734"/>
      <c r="X4" s="1355"/>
      <c r="Y4" s="3728" t="s">
        <v>1774</v>
      </c>
      <c r="Z4" s="3729"/>
      <c r="AA4" s="3715" t="s">
        <v>1770</v>
      </c>
      <c r="AB4" s="3716" t="s">
        <v>1771</v>
      </c>
      <c r="AC4" s="3715" t="s">
        <v>1772</v>
      </c>
    </row>
    <row r="5" spans="1:29">
      <c r="A5" s="358"/>
      <c r="B5" s="359"/>
      <c r="C5" s="3748" t="s">
        <v>1673</v>
      </c>
      <c r="D5" s="3743"/>
      <c r="E5" s="3750" t="s">
        <v>1674</v>
      </c>
      <c r="F5" s="3751"/>
      <c r="G5" s="3748" t="s">
        <v>1675</v>
      </c>
      <c r="H5" s="3743"/>
      <c r="I5" s="3748" t="s">
        <v>1676</v>
      </c>
      <c r="J5" s="3743"/>
      <c r="K5" s="559"/>
      <c r="L5" s="2715"/>
      <c r="M5" s="2716"/>
      <c r="N5" s="2716"/>
      <c r="O5" s="2716"/>
      <c r="P5" s="3724"/>
      <c r="Q5" s="3725"/>
      <c r="R5" s="3730"/>
      <c r="S5" s="3731"/>
      <c r="T5" s="3730"/>
      <c r="U5" s="3731"/>
      <c r="V5" s="3734"/>
      <c r="W5" s="3734"/>
      <c r="X5" s="1355"/>
      <c r="Y5" s="3730"/>
      <c r="Z5" s="3731"/>
      <c r="AA5" s="3716"/>
      <c r="AB5" s="3716"/>
      <c r="AC5" s="3716"/>
    </row>
    <row r="6" spans="1:29" ht="15" thickBot="1">
      <c r="A6" s="360"/>
      <c r="B6" s="361"/>
      <c r="C6" s="3747" t="s">
        <v>1677</v>
      </c>
      <c r="D6" s="3736"/>
      <c r="E6" s="3749" t="s">
        <v>1677</v>
      </c>
      <c r="F6" s="3745"/>
      <c r="G6" s="3747" t="s">
        <v>1677</v>
      </c>
      <c r="H6" s="3736"/>
      <c r="I6" s="3747" t="s">
        <v>1677</v>
      </c>
      <c r="J6" s="3736"/>
      <c r="K6" s="559" t="s">
        <v>1678</v>
      </c>
      <c r="L6" s="2715"/>
      <c r="M6" s="2716"/>
      <c r="N6" s="2716"/>
      <c r="O6" s="2716"/>
      <c r="P6" s="3726"/>
      <c r="Q6" s="3727"/>
      <c r="R6" s="3730"/>
      <c r="S6" s="3731"/>
      <c r="T6" s="3732"/>
      <c r="U6" s="3733"/>
      <c r="V6" s="3734"/>
      <c r="W6" s="3734"/>
      <c r="X6" s="1355"/>
      <c r="Y6" s="3732"/>
      <c r="Z6" s="3733"/>
      <c r="AA6" s="3717"/>
      <c r="AB6" s="3717"/>
      <c r="AC6" s="3717"/>
    </row>
    <row r="7" spans="1:29" s="108" customFormat="1" ht="15" thickBot="1">
      <c r="A7" s="362" t="s">
        <v>1679</v>
      </c>
      <c r="B7" s="363"/>
      <c r="C7" s="364">
        <f>'数据-取费表'!B2</f>
        <v>41424</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39" t="s">
        <v>1680</v>
      </c>
      <c r="Q7" s="3741"/>
      <c r="R7" s="701" t="s">
        <v>14</v>
      </c>
      <c r="S7" s="702">
        <f t="shared" ref="S7:S14" si="0">F7</f>
        <v>0</v>
      </c>
      <c r="T7" s="701" t="s">
        <v>14</v>
      </c>
      <c r="U7" s="702">
        <f t="shared" ref="U7:U14" si="1">H7</f>
        <v>0</v>
      </c>
      <c r="V7" s="701" t="s">
        <v>14</v>
      </c>
      <c r="W7" s="702">
        <f t="shared" ref="W7:W14" si="2">J7</f>
        <v>0</v>
      </c>
      <c r="X7" s="703"/>
      <c r="Y7" s="3739" t="s">
        <v>1680</v>
      </c>
      <c r="Z7" s="3740"/>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9" t="s">
        <v>1683</v>
      </c>
      <c r="Q8" s="3740"/>
      <c r="R8" s="701" t="s">
        <v>14</v>
      </c>
      <c r="S8" s="702">
        <f t="shared" si="0"/>
        <v>100</v>
      </c>
      <c r="T8" s="701" t="s">
        <v>14</v>
      </c>
      <c r="U8" s="702">
        <f t="shared" si="1"/>
        <v>100</v>
      </c>
      <c r="V8" s="701" t="s">
        <v>14</v>
      </c>
      <c r="W8" s="702">
        <f t="shared" si="2"/>
        <v>100</v>
      </c>
      <c r="X8" s="703"/>
      <c r="Y8" s="3739" t="s">
        <v>1683</v>
      </c>
      <c r="Z8" s="3740"/>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3" t="s">
        <v>1686</v>
      </c>
      <c r="Q9" s="1343" t="str">
        <f t="shared" ref="Q9:Q14" si="6">B9</f>
        <v>用途</v>
      </c>
      <c r="R9" s="701" t="s">
        <v>14</v>
      </c>
      <c r="S9" s="702">
        <f t="shared" si="0"/>
        <v>100</v>
      </c>
      <c r="T9" s="701" t="s">
        <v>14</v>
      </c>
      <c r="U9" s="702">
        <f t="shared" si="1"/>
        <v>100</v>
      </c>
      <c r="V9" s="701" t="s">
        <v>14</v>
      </c>
      <c r="W9" s="702">
        <f t="shared" si="2"/>
        <v>100</v>
      </c>
      <c r="X9" s="703"/>
      <c r="Y9" s="3578"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3"/>
      <c r="Q10" s="1343" t="str">
        <f t="shared" si="6"/>
        <v>土地使用年限（年）</v>
      </c>
      <c r="R10" s="701" t="s">
        <v>14</v>
      </c>
      <c r="S10" s="702">
        <f t="shared" si="0"/>
        <v>100</v>
      </c>
      <c r="T10" s="701" t="s">
        <v>14</v>
      </c>
      <c r="U10" s="702">
        <f t="shared" si="1"/>
        <v>100</v>
      </c>
      <c r="V10" s="701" t="s">
        <v>14</v>
      </c>
      <c r="W10" s="702">
        <f t="shared" si="2"/>
        <v>100</v>
      </c>
      <c r="X10" s="703"/>
      <c r="Y10" s="357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3"/>
      <c r="Q11" s="1343">
        <f t="shared" si="6"/>
        <v>111</v>
      </c>
      <c r="R11" s="701" t="s">
        <v>14</v>
      </c>
      <c r="S11" s="702">
        <f t="shared" si="0"/>
        <v>100</v>
      </c>
      <c r="T11" s="701" t="s">
        <v>14</v>
      </c>
      <c r="U11" s="702">
        <f t="shared" si="1"/>
        <v>100</v>
      </c>
      <c r="V11" s="701" t="s">
        <v>14</v>
      </c>
      <c r="W11" s="702">
        <f t="shared" si="2"/>
        <v>100</v>
      </c>
      <c r="X11" s="703"/>
      <c r="Y11" s="357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3"/>
      <c r="Q12" s="1343">
        <f t="shared" si="6"/>
        <v>111</v>
      </c>
      <c r="R12" s="701" t="s">
        <v>14</v>
      </c>
      <c r="S12" s="702">
        <f t="shared" si="0"/>
        <v>100</v>
      </c>
      <c r="T12" s="701" t="s">
        <v>14</v>
      </c>
      <c r="U12" s="702">
        <f t="shared" si="1"/>
        <v>100</v>
      </c>
      <c r="V12" s="701" t="s">
        <v>14</v>
      </c>
      <c r="W12" s="702">
        <f t="shared" si="2"/>
        <v>100</v>
      </c>
      <c r="X12" s="703"/>
      <c r="Y12" s="3578"/>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3"/>
      <c r="Q13" s="1343">
        <f t="shared" si="6"/>
        <v>111</v>
      </c>
      <c r="R13" s="701" t="s">
        <v>14</v>
      </c>
      <c r="S13" s="702">
        <f t="shared" si="0"/>
        <v>100</v>
      </c>
      <c r="T13" s="701" t="s">
        <v>14</v>
      </c>
      <c r="U13" s="702">
        <f t="shared" si="1"/>
        <v>100</v>
      </c>
      <c r="V13" s="701" t="s">
        <v>14</v>
      </c>
      <c r="W13" s="702">
        <f t="shared" si="2"/>
        <v>100</v>
      </c>
      <c r="X13" s="703"/>
      <c r="Y13" s="3578"/>
      <c r="Z13" s="52">
        <f t="shared" si="7"/>
        <v>111</v>
      </c>
      <c r="AA13" s="704">
        <f t="shared" si="3"/>
        <v>1</v>
      </c>
      <c r="AB13" s="704">
        <f t="shared" si="4"/>
        <v>1</v>
      </c>
      <c r="AC13" s="704">
        <f t="shared" si="5"/>
        <v>1</v>
      </c>
    </row>
    <row r="14" spans="1:29" ht="96.6">
      <c r="A14" s="391" t="s">
        <v>1690</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5" t="s">
        <v>1691</v>
      </c>
      <c r="Q14" s="1352" t="str">
        <f t="shared" si="6"/>
        <v>交通便捷度</v>
      </c>
      <c r="R14" s="705" t="s">
        <v>14</v>
      </c>
      <c r="S14" s="706">
        <f t="shared" si="0"/>
        <v>100</v>
      </c>
      <c r="T14" s="705" t="s">
        <v>14</v>
      </c>
      <c r="U14" s="706">
        <f t="shared" si="1"/>
        <v>100</v>
      </c>
      <c r="V14" s="705" t="s">
        <v>14</v>
      </c>
      <c r="W14" s="706">
        <f t="shared" si="2"/>
        <v>100</v>
      </c>
      <c r="X14" s="1355"/>
      <c r="Y14" s="370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6"/>
      <c r="Q15" s="1352"/>
      <c r="R15" s="705"/>
      <c r="S15" s="706"/>
      <c r="T15" s="705"/>
      <c r="U15" s="706"/>
      <c r="V15" s="705"/>
      <c r="W15" s="706"/>
      <c r="X15" s="1355"/>
      <c r="Y15" s="3706"/>
      <c r="Z15" s="1356"/>
      <c r="AA15" s="1353">
        <v>1</v>
      </c>
      <c r="AB15" s="1353">
        <v>1</v>
      </c>
      <c r="AC15" s="1353">
        <v>1</v>
      </c>
    </row>
    <row r="16" spans="1:29" ht="41.4">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6"/>
      <c r="Q16" s="1352" t="str">
        <f>B16</f>
        <v>公共配套设施</v>
      </c>
      <c r="R16" s="705" t="s">
        <v>14</v>
      </c>
      <c r="S16" s="706">
        <f>F16</f>
        <v>100</v>
      </c>
      <c r="T16" s="705" t="s">
        <v>14</v>
      </c>
      <c r="U16" s="706">
        <f>H16</f>
        <v>100</v>
      </c>
      <c r="V16" s="705" t="s">
        <v>14</v>
      </c>
      <c r="W16" s="706">
        <f>J16</f>
        <v>100</v>
      </c>
      <c r="X16" s="1355"/>
      <c r="Y16" s="370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6"/>
      <c r="Q17" s="1352"/>
      <c r="R17" s="705"/>
      <c r="S17" s="706"/>
      <c r="T17" s="705"/>
      <c r="U17" s="706"/>
      <c r="V17" s="705"/>
      <c r="W17" s="706"/>
      <c r="X17" s="1355"/>
      <c r="Y17" s="3706"/>
      <c r="Z17" s="1356"/>
      <c r="AA17" s="1353">
        <v>1</v>
      </c>
      <c r="AB17" s="1353">
        <v>1</v>
      </c>
      <c r="AC17" s="1353">
        <v>1</v>
      </c>
    </row>
    <row r="18" spans="1:29" ht="41.4">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6"/>
      <c r="Q18" s="1352" t="str">
        <f>B18</f>
        <v>基础设施水平</v>
      </c>
      <c r="R18" s="705" t="s">
        <v>14</v>
      </c>
      <c r="S18" s="706">
        <f>F18</f>
        <v>100</v>
      </c>
      <c r="T18" s="705" t="s">
        <v>14</v>
      </c>
      <c r="U18" s="706">
        <f>H18</f>
        <v>100</v>
      </c>
      <c r="V18" s="705" t="s">
        <v>14</v>
      </c>
      <c r="W18" s="706">
        <f>J18</f>
        <v>100</v>
      </c>
      <c r="X18" s="1355"/>
      <c r="Y18" s="370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6"/>
      <c r="Q19" s="1352"/>
      <c r="R19" s="705"/>
      <c r="S19" s="706"/>
      <c r="T19" s="705"/>
      <c r="U19" s="706"/>
      <c r="V19" s="705"/>
      <c r="W19" s="706"/>
      <c r="X19" s="1355"/>
      <c r="Y19" s="3706"/>
      <c r="Z19" s="1356"/>
      <c r="AA19" s="1353">
        <v>1</v>
      </c>
      <c r="AB19" s="1353">
        <v>1</v>
      </c>
      <c r="AC19" s="1353">
        <v>1</v>
      </c>
    </row>
    <row r="20" spans="1:29" ht="55.2">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6"/>
      <c r="Q20" s="1352" t="str">
        <f>B20</f>
        <v>自然及人文环境</v>
      </c>
      <c r="R20" s="705" t="s">
        <v>14</v>
      </c>
      <c r="S20" s="706">
        <f>F20</f>
        <v>100</v>
      </c>
      <c r="T20" s="705" t="s">
        <v>14</v>
      </c>
      <c r="U20" s="706">
        <f>H20</f>
        <v>100</v>
      </c>
      <c r="V20" s="705" t="s">
        <v>14</v>
      </c>
      <c r="W20" s="706">
        <f>J20</f>
        <v>100</v>
      </c>
      <c r="X20" s="1355"/>
      <c r="Y20" s="370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6"/>
      <c r="Q21" s="1352"/>
      <c r="R21" s="705"/>
      <c r="S21" s="706"/>
      <c r="T21" s="705"/>
      <c r="U21" s="706"/>
      <c r="V21" s="705"/>
      <c r="W21" s="706"/>
      <c r="X21" s="1355"/>
      <c r="Y21" s="3706"/>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6"/>
      <c r="Q22" s="1352" t="str">
        <f>B22</f>
        <v>楼层</v>
      </c>
      <c r="R22" s="705" t="s">
        <v>14</v>
      </c>
      <c r="S22" s="706">
        <f>F22</f>
        <v>100</v>
      </c>
      <c r="T22" s="705" t="s">
        <v>14</v>
      </c>
      <c r="U22" s="706">
        <f>H22</f>
        <v>100</v>
      </c>
      <c r="V22" s="705" t="s">
        <v>14</v>
      </c>
      <c r="W22" s="706">
        <f>J22</f>
        <v>100</v>
      </c>
      <c r="X22" s="1355"/>
      <c r="Y22" s="370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6"/>
      <c r="Q23" s="1352">
        <f>B23</f>
        <v>111</v>
      </c>
      <c r="R23" s="705" t="s">
        <v>14</v>
      </c>
      <c r="S23" s="706">
        <f>F23</f>
        <v>100</v>
      </c>
      <c r="T23" s="705" t="s">
        <v>14</v>
      </c>
      <c r="U23" s="706">
        <f>H23</f>
        <v>100</v>
      </c>
      <c r="V23" s="705" t="s">
        <v>14</v>
      </c>
      <c r="W23" s="706">
        <f>J23</f>
        <v>100</v>
      </c>
      <c r="X23" s="1355"/>
      <c r="Y23" s="370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6"/>
      <c r="Q24" s="1352">
        <f t="shared" ref="Q24:Q34" si="11">B24</f>
        <v>111</v>
      </c>
      <c r="R24" s="705" t="s">
        <v>14</v>
      </c>
      <c r="S24" s="706">
        <f>F24</f>
        <v>100</v>
      </c>
      <c r="T24" s="705" t="s">
        <v>14</v>
      </c>
      <c r="U24" s="706">
        <f>H24</f>
        <v>100</v>
      </c>
      <c r="V24" s="705" t="s">
        <v>14</v>
      </c>
      <c r="W24" s="706">
        <f>J24</f>
        <v>100</v>
      </c>
      <c r="X24" s="1355"/>
      <c r="Y24" s="3706"/>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6"/>
      <c r="Q25" s="1343">
        <f t="shared" si="11"/>
        <v>111</v>
      </c>
      <c r="R25" s="701" t="s">
        <v>14</v>
      </c>
      <c r="S25" s="702">
        <f>F25</f>
        <v>100</v>
      </c>
      <c r="T25" s="701" t="s">
        <v>14</v>
      </c>
      <c r="U25" s="702">
        <f>H25</f>
        <v>100</v>
      </c>
      <c r="V25" s="701" t="s">
        <v>14</v>
      </c>
      <c r="W25" s="702">
        <f>J25</f>
        <v>100</v>
      </c>
      <c r="X25" s="703"/>
      <c r="Y25" s="3706"/>
      <c r="Z25" s="52">
        <f>Q25</f>
        <v>111</v>
      </c>
      <c r="AA25" s="1353">
        <f>D25/F25</f>
        <v>1</v>
      </c>
      <c r="AB25" s="1353">
        <f>D25/H25</f>
        <v>1</v>
      </c>
      <c r="AC25" s="1353">
        <f>D25/J25</f>
        <v>1</v>
      </c>
    </row>
    <row r="26" spans="1:29" ht="30">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67"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0"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10"/>
      <c r="Q27" s="707" t="str">
        <f t="shared" si="11"/>
        <v>成新率</v>
      </c>
      <c r="R27" s="708" t="s">
        <v>14</v>
      </c>
      <c r="S27" s="709" t="e">
        <f t="shared" si="12"/>
        <v>#N/A</v>
      </c>
      <c r="T27" s="708" t="s">
        <v>14</v>
      </c>
      <c r="U27" s="709" t="e">
        <f t="shared" si="13"/>
        <v>#N/A</v>
      </c>
      <c r="V27" s="708" t="s">
        <v>14</v>
      </c>
      <c r="W27" s="709" t="e">
        <f t="shared" si="14"/>
        <v>#N/A</v>
      </c>
      <c r="X27" s="710"/>
      <c r="Y27" s="3710"/>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10"/>
      <c r="Q28" s="1352" t="str">
        <f t="shared" si="11"/>
        <v>物业等级</v>
      </c>
      <c r="R28" s="705" t="s">
        <v>14</v>
      </c>
      <c r="S28" s="706">
        <f t="shared" si="12"/>
        <v>100</v>
      </c>
      <c r="T28" s="705" t="s">
        <v>14</v>
      </c>
      <c r="U28" s="706">
        <f t="shared" si="13"/>
        <v>100</v>
      </c>
      <c r="V28" s="705" t="s">
        <v>14</v>
      </c>
      <c r="W28" s="706">
        <f t="shared" si="14"/>
        <v>100</v>
      </c>
      <c r="X28" s="1355"/>
      <c r="Y28" s="3710"/>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10"/>
      <c r="Q29" s="1352" t="str">
        <f t="shared" si="11"/>
        <v>有无电梯</v>
      </c>
      <c r="R29" s="705" t="s">
        <v>14</v>
      </c>
      <c r="S29" s="706">
        <f t="shared" si="12"/>
        <v>100</v>
      </c>
      <c r="T29" s="705" t="s">
        <v>14</v>
      </c>
      <c r="U29" s="706">
        <f t="shared" si="13"/>
        <v>100</v>
      </c>
      <c r="V29" s="705" t="s">
        <v>14</v>
      </c>
      <c r="W29" s="706">
        <f t="shared" si="14"/>
        <v>100</v>
      </c>
      <c r="X29" s="1355"/>
      <c r="Y29" s="3710"/>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10"/>
      <c r="Q30" s="1352" t="str">
        <f t="shared" si="11"/>
        <v>建筑面积</v>
      </c>
      <c r="R30" s="705" t="s">
        <v>14</v>
      </c>
      <c r="S30" s="706" t="e">
        <f t="shared" si="12"/>
        <v>#N/A</v>
      </c>
      <c r="T30" s="705" t="s">
        <v>14</v>
      </c>
      <c r="U30" s="706" t="e">
        <f t="shared" si="13"/>
        <v>#N/A</v>
      </c>
      <c r="V30" s="705" t="s">
        <v>14</v>
      </c>
      <c r="W30" s="706" t="e">
        <f t="shared" si="14"/>
        <v>#N/A</v>
      </c>
      <c r="X30" s="1355"/>
      <c r="Y30" s="3710"/>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10"/>
      <c r="Q31" s="1343" t="str">
        <f t="shared" si="11"/>
        <v>是否封闭</v>
      </c>
      <c r="R31" s="701" t="s">
        <v>14</v>
      </c>
      <c r="S31" s="702">
        <f t="shared" si="12"/>
        <v>100</v>
      </c>
      <c r="T31" s="701" t="s">
        <v>14</v>
      </c>
      <c r="U31" s="702">
        <f t="shared" si="13"/>
        <v>100</v>
      </c>
      <c r="V31" s="701" t="s">
        <v>14</v>
      </c>
      <c r="W31" s="702">
        <f t="shared" si="14"/>
        <v>100</v>
      </c>
      <c r="X31" s="703"/>
      <c r="Y31" s="371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10" t="s">
        <v>1695</v>
      </c>
      <c r="Q32" s="1352">
        <f t="shared" si="11"/>
        <v>111</v>
      </c>
      <c r="R32" s="705" t="s">
        <v>14</v>
      </c>
      <c r="S32" s="706">
        <f t="shared" si="12"/>
        <v>100</v>
      </c>
      <c r="T32" s="705" t="s">
        <v>14</v>
      </c>
      <c r="U32" s="706">
        <f t="shared" si="13"/>
        <v>100</v>
      </c>
      <c r="V32" s="705" t="s">
        <v>14</v>
      </c>
      <c r="W32" s="706">
        <f t="shared" si="14"/>
        <v>100</v>
      </c>
      <c r="X32" s="1355"/>
      <c r="Y32" s="3710"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10"/>
      <c r="Q33" s="1352">
        <f t="shared" si="11"/>
        <v>111</v>
      </c>
      <c r="R33" s="705" t="s">
        <v>14</v>
      </c>
      <c r="S33" s="706">
        <f t="shared" si="12"/>
        <v>100</v>
      </c>
      <c r="T33" s="705" t="s">
        <v>14</v>
      </c>
      <c r="U33" s="706">
        <f t="shared" si="13"/>
        <v>100</v>
      </c>
      <c r="V33" s="705" t="s">
        <v>14</v>
      </c>
      <c r="W33" s="706">
        <f t="shared" si="14"/>
        <v>100</v>
      </c>
      <c r="X33" s="1355"/>
      <c r="Y33" s="3710"/>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10"/>
      <c r="Q34" s="1352">
        <f t="shared" si="11"/>
        <v>111</v>
      </c>
      <c r="R34" s="705" t="s">
        <v>14</v>
      </c>
      <c r="S34" s="706">
        <f t="shared" si="12"/>
        <v>100</v>
      </c>
      <c r="T34" s="705" t="s">
        <v>14</v>
      </c>
      <c r="U34" s="706">
        <f t="shared" si="13"/>
        <v>100</v>
      </c>
      <c r="V34" s="705" t="s">
        <v>14</v>
      </c>
      <c r="W34" s="706">
        <f t="shared" si="14"/>
        <v>100</v>
      </c>
      <c r="X34" s="1355"/>
      <c r="Y34" s="3710"/>
      <c r="Z34" s="1356">
        <f t="shared" si="15"/>
        <v>111</v>
      </c>
      <c r="AA34" s="1353">
        <f t="shared" si="3"/>
        <v>1</v>
      </c>
      <c r="AB34" s="1353">
        <f t="shared" si="4"/>
        <v>1</v>
      </c>
      <c r="AC34" s="1353">
        <f t="shared" si="5"/>
        <v>1</v>
      </c>
    </row>
    <row r="35" spans="1:30" ht="14.4">
      <c r="A35" s="430" t="s">
        <v>1707</v>
      </c>
      <c r="B35" s="431"/>
      <c r="C35" s="1154" t="s">
        <v>0</v>
      </c>
      <c r="D35" s="1155"/>
      <c r="E35" s="1156"/>
      <c r="F35" s="1157"/>
      <c r="G35" s="1158"/>
      <c r="H35" s="1159"/>
      <c r="I35" s="1156"/>
      <c r="J35" s="1159"/>
      <c r="K35" s="714"/>
      <c r="L35" s="2724"/>
      <c r="M35" s="2725"/>
      <c r="N35" s="2716"/>
      <c r="O35" s="2725"/>
      <c r="P35" s="3703" t="str">
        <f>A35</f>
        <v>成交单价（元/平方米）</v>
      </c>
      <c r="Q35" s="3703"/>
      <c r="R35" s="3704">
        <f>E35</f>
        <v>0</v>
      </c>
      <c r="S35" s="3704"/>
      <c r="T35" s="3704">
        <f>G35</f>
        <v>0</v>
      </c>
      <c r="U35" s="3704"/>
      <c r="V35" s="3704">
        <f>I35</f>
        <v>0</v>
      </c>
      <c r="W35" s="3704"/>
      <c r="X35" s="690"/>
      <c r="Y35" s="712"/>
      <c r="Z35" s="690"/>
      <c r="AA35" s="690"/>
      <c r="AB35" s="690"/>
      <c r="AC35" s="690"/>
    </row>
    <row r="36" spans="1:30" ht="15" thickBot="1">
      <c r="A36" s="437" t="s">
        <v>1792</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703" t="str">
        <f>A36</f>
        <v>比较价值（元/平方米）</v>
      </c>
      <c r="Q36" s="3703"/>
      <c r="R36" s="3704" t="e">
        <f>IF(F1="售价",ROUND(PRODUCT(R35,AA7:AA34),0),ROUND(PRODUCT(R35,AA7:AA34),1))</f>
        <v>#DIV/0!</v>
      </c>
      <c r="S36" s="3704"/>
      <c r="T36" s="3704" t="e">
        <f>IF(F1="售价",ROUND(PRODUCT(T35,AB7:AB34),0),ROUND(PRODUCT(T35,AB7:AB34),1))</f>
        <v>#DIV/0!</v>
      </c>
      <c r="U36" s="3704"/>
      <c r="V36" s="3704" t="e">
        <f>IF(F1="售价",ROUND(PRODUCT(V35,AC7:AC34),0),ROUND(PRODUCT(V35,AC7:AC34),1))</f>
        <v>#DIV/0!</v>
      </c>
      <c r="W36" s="3704"/>
      <c r="X36" s="690"/>
      <c r="Y36" s="690"/>
      <c r="Z36" s="690"/>
      <c r="AA36" s="690"/>
      <c r="AB36" s="690"/>
      <c r="AC36" s="690"/>
    </row>
    <row r="37" spans="1:30" ht="15" thickBot="1">
      <c r="A37" s="441" t="s">
        <v>1793</v>
      </c>
      <c r="B37" s="442"/>
      <c r="C37" s="1163" t="e">
        <f>R37</f>
        <v>#DIV/0!</v>
      </c>
      <c r="D37" s="1163"/>
      <c r="E37" s="1163"/>
      <c r="F37" s="1163"/>
      <c r="G37" s="1163"/>
      <c r="H37" s="1163"/>
      <c r="I37" s="1163"/>
      <c r="J37" s="1163"/>
      <c r="K37" s="715"/>
      <c r="L37" s="2724"/>
      <c r="M37" s="2725"/>
      <c r="N37" s="2725"/>
      <c r="O37" s="2725"/>
      <c r="P37" s="3700" t="str">
        <f>A37</f>
        <v>估价对象XX用房的比较价值（楼面单价，元/平方米）</v>
      </c>
      <c r="Q37" s="3701"/>
      <c r="R37" s="3768" t="e">
        <f>IF(F1="售价",ROUND(IF(D36="简单平均",AVERAGE(R36:W36),R36*F36+T36*H36+V36*J36),0),ROUND(IF(D36="简单平均",AVERAGE(R36:V36),R36*F36+T36*H36+V36*J36),1))</f>
        <v>#DIV/0!</v>
      </c>
      <c r="S37" s="3768"/>
      <c r="T37" s="3768"/>
      <c r="U37" s="3768"/>
      <c r="V37" s="3768"/>
      <c r="W37" s="3768"/>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1797</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2013-5</v>
      </c>
      <c r="D46" s="1185">
        <f>EDATE(C46,-1)</f>
        <v>41365</v>
      </c>
      <c r="E46" s="1185">
        <f t="shared" ref="E46:O46" si="16">EDATE(D46,-1)</f>
        <v>41334</v>
      </c>
      <c r="F46" s="1185">
        <f t="shared" si="16"/>
        <v>41306</v>
      </c>
      <c r="G46" s="1185">
        <f t="shared" si="16"/>
        <v>41275</v>
      </c>
      <c r="H46" s="1185">
        <f t="shared" si="16"/>
        <v>41244</v>
      </c>
      <c r="I46" s="1185">
        <f t="shared" si="16"/>
        <v>41214</v>
      </c>
      <c r="J46" s="1185">
        <f t="shared" si="16"/>
        <v>41183</v>
      </c>
      <c r="K46" s="1185">
        <f t="shared" si="16"/>
        <v>41153</v>
      </c>
      <c r="L46" s="1185">
        <f t="shared" si="16"/>
        <v>41122</v>
      </c>
      <c r="M46" s="1185">
        <f t="shared" si="16"/>
        <v>41091</v>
      </c>
      <c r="N46" s="1185">
        <f t="shared" si="16"/>
        <v>41061</v>
      </c>
      <c r="O46" s="1185">
        <f t="shared" si="16"/>
        <v>41030</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1715</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1775</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1718</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1725</v>
      </c>
      <c r="C61" s="522" t="s">
        <v>1720</v>
      </c>
      <c r="D61" s="522" t="s">
        <v>1721</v>
      </c>
      <c r="E61" s="522" t="s">
        <v>1722</v>
      </c>
      <c r="F61" s="522" t="s">
        <v>1723</v>
      </c>
      <c r="G61" s="522" t="s">
        <v>1724</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1862</v>
      </c>
      <c r="C63" s="527" t="s">
        <v>1720</v>
      </c>
      <c r="D63" s="527" t="s">
        <v>1721</v>
      </c>
      <c r="E63" s="527" t="s">
        <v>1722</v>
      </c>
      <c r="F63" s="527" t="s">
        <v>1723</v>
      </c>
      <c r="G63" s="527" t="s">
        <v>1724</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1812</v>
      </c>
      <c r="C65" s="608" t="s">
        <v>1798</v>
      </c>
      <c r="D65" s="608" t="s">
        <v>1799</v>
      </c>
      <c r="E65" s="608" t="s">
        <v>1800</v>
      </c>
      <c r="F65" s="608" t="s">
        <v>1801</v>
      </c>
      <c r="G65" s="608" t="s">
        <v>1802</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1732</v>
      </c>
      <c r="C67" s="527" t="s">
        <v>1720</v>
      </c>
      <c r="D67" s="527" t="s">
        <v>1721</v>
      </c>
      <c r="E67" s="527" t="s">
        <v>1722</v>
      </c>
      <c r="F67" s="527" t="s">
        <v>1723</v>
      </c>
      <c r="G67" s="527" t="s">
        <v>1724</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1851</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1693</v>
      </c>
      <c r="B77" s="477" t="s">
        <v>1739</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1855</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1863</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1865</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1768</v>
      </c>
      <c r="B4" s="356"/>
      <c r="C4" s="3718" t="s">
        <v>1769</v>
      </c>
      <c r="D4" s="3719"/>
      <c r="E4" s="3720" t="s">
        <v>1770</v>
      </c>
      <c r="F4" s="3721"/>
      <c r="G4" s="3718" t="s">
        <v>1771</v>
      </c>
      <c r="H4" s="3719"/>
      <c r="I4" s="3718" t="s">
        <v>1772</v>
      </c>
      <c r="J4" s="3719"/>
      <c r="K4" s="559" t="s">
        <v>1773</v>
      </c>
      <c r="L4" s="2715"/>
      <c r="M4" s="2716"/>
      <c r="N4" s="2716"/>
      <c r="O4" s="2716"/>
      <c r="P4" s="3722" t="s">
        <v>1774</v>
      </c>
      <c r="Q4" s="3723"/>
      <c r="R4" s="3728" t="s">
        <v>1770</v>
      </c>
      <c r="S4" s="3729"/>
      <c r="T4" s="3728" t="s">
        <v>1771</v>
      </c>
      <c r="U4" s="3729"/>
      <c r="V4" s="3734" t="s">
        <v>1772</v>
      </c>
      <c r="W4" s="3734"/>
      <c r="X4" s="1355"/>
      <c r="Y4" s="3728" t="s">
        <v>1774</v>
      </c>
      <c r="Z4" s="3729"/>
      <c r="AA4" s="3715" t="s">
        <v>1770</v>
      </c>
      <c r="AB4" s="3716" t="s">
        <v>1771</v>
      </c>
      <c r="AC4" s="3715" t="s">
        <v>1772</v>
      </c>
    </row>
    <row r="5" spans="1:30">
      <c r="A5" s="358"/>
      <c r="B5" s="359"/>
      <c r="C5" s="3748" t="s">
        <v>1673</v>
      </c>
      <c r="D5" s="3743"/>
      <c r="E5" s="3750" t="s">
        <v>1674</v>
      </c>
      <c r="F5" s="3751"/>
      <c r="G5" s="3748" t="s">
        <v>1675</v>
      </c>
      <c r="H5" s="3743"/>
      <c r="I5" s="3748" t="s">
        <v>1676</v>
      </c>
      <c r="J5" s="3743"/>
      <c r="K5" s="559"/>
      <c r="L5" s="2715"/>
      <c r="M5" s="2716"/>
      <c r="N5" s="2716"/>
      <c r="O5" s="2716"/>
      <c r="P5" s="3724"/>
      <c r="Q5" s="3725"/>
      <c r="R5" s="3730"/>
      <c r="S5" s="3731"/>
      <c r="T5" s="3730"/>
      <c r="U5" s="3731"/>
      <c r="V5" s="3734"/>
      <c r="W5" s="3734"/>
      <c r="X5" s="1355"/>
      <c r="Y5" s="3730"/>
      <c r="Z5" s="3731"/>
      <c r="AA5" s="3716"/>
      <c r="AB5" s="3716"/>
      <c r="AC5" s="3716"/>
    </row>
    <row r="6" spans="1:30" ht="15" thickBot="1">
      <c r="A6" s="360"/>
      <c r="B6" s="361"/>
      <c r="C6" s="3747" t="s">
        <v>1677</v>
      </c>
      <c r="D6" s="3736"/>
      <c r="E6" s="3749" t="s">
        <v>1677</v>
      </c>
      <c r="F6" s="3745"/>
      <c r="G6" s="3747" t="s">
        <v>1677</v>
      </c>
      <c r="H6" s="3736"/>
      <c r="I6" s="3747" t="s">
        <v>1677</v>
      </c>
      <c r="J6" s="3736"/>
      <c r="K6" s="559" t="s">
        <v>1678</v>
      </c>
      <c r="L6" s="2715"/>
      <c r="M6" s="2716"/>
      <c r="N6" s="2716"/>
      <c r="O6" s="2716"/>
      <c r="P6" s="3726"/>
      <c r="Q6" s="3727"/>
      <c r="R6" s="3730"/>
      <c r="S6" s="3731"/>
      <c r="T6" s="3732"/>
      <c r="U6" s="3733"/>
      <c r="V6" s="3734"/>
      <c r="W6" s="3734"/>
      <c r="X6" s="1355"/>
      <c r="Y6" s="3732"/>
      <c r="Z6" s="3733"/>
      <c r="AA6" s="3717"/>
      <c r="AB6" s="3717"/>
      <c r="AC6" s="3717"/>
    </row>
    <row r="7" spans="1:30" s="108" customFormat="1" ht="15" thickBot="1">
      <c r="A7" s="362" t="s">
        <v>1679</v>
      </c>
      <c r="B7" s="363"/>
      <c r="C7" s="364">
        <f>'数据-取费表'!B2</f>
        <v>41424</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39" t="s">
        <v>1680</v>
      </c>
      <c r="Q7" s="3741"/>
      <c r="R7" s="701" t="s">
        <v>14</v>
      </c>
      <c r="S7" s="702">
        <f t="shared" ref="S7:S15" si="0">F7</f>
        <v>0</v>
      </c>
      <c r="T7" s="701" t="s">
        <v>14</v>
      </c>
      <c r="U7" s="702">
        <f t="shared" ref="U7:U15" si="1">H7</f>
        <v>0</v>
      </c>
      <c r="V7" s="701" t="s">
        <v>14</v>
      </c>
      <c r="W7" s="702">
        <f t="shared" ref="W7:W15" si="2">J7</f>
        <v>0</v>
      </c>
      <c r="X7" s="703"/>
      <c r="Y7" s="3739" t="s">
        <v>1680</v>
      </c>
      <c r="Z7" s="3740"/>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39" t="s">
        <v>1683</v>
      </c>
      <c r="Q8" s="3740"/>
      <c r="R8" s="701" t="s">
        <v>14</v>
      </c>
      <c r="S8" s="702">
        <f t="shared" si="0"/>
        <v>0</v>
      </c>
      <c r="T8" s="701" t="s">
        <v>14</v>
      </c>
      <c r="U8" s="702">
        <f t="shared" si="1"/>
        <v>0</v>
      </c>
      <c r="V8" s="701" t="s">
        <v>14</v>
      </c>
      <c r="W8" s="702">
        <f t="shared" si="2"/>
        <v>0</v>
      </c>
      <c r="X8" s="703"/>
      <c r="Y8" s="3739" t="s">
        <v>1683</v>
      </c>
      <c r="Z8" s="3740"/>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3" t="s">
        <v>1686</v>
      </c>
      <c r="Q9" s="1343" t="str">
        <f t="shared" ref="Q9:Q15" si="6">B9</f>
        <v>用途</v>
      </c>
      <c r="R9" s="701" t="s">
        <v>14</v>
      </c>
      <c r="S9" s="702">
        <f t="shared" si="0"/>
        <v>100</v>
      </c>
      <c r="T9" s="701" t="s">
        <v>14</v>
      </c>
      <c r="U9" s="702">
        <f t="shared" si="1"/>
        <v>100</v>
      </c>
      <c r="V9" s="701" t="s">
        <v>14</v>
      </c>
      <c r="W9" s="702">
        <f t="shared" si="2"/>
        <v>100</v>
      </c>
      <c r="X9" s="703"/>
      <c r="Y9" s="3578"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03"/>
      <c r="Q10" s="1343" t="str">
        <f t="shared" si="6"/>
        <v>土地使用年限（年）</v>
      </c>
      <c r="R10" s="701" t="s">
        <v>14</v>
      </c>
      <c r="S10" s="702" t="e">
        <f t="shared" si="0"/>
        <v>#DIV/0!</v>
      </c>
      <c r="T10" s="701" t="s">
        <v>14</v>
      </c>
      <c r="U10" s="702" t="e">
        <f t="shared" si="1"/>
        <v>#DIV/0!</v>
      </c>
      <c r="V10" s="701" t="s">
        <v>14</v>
      </c>
      <c r="W10" s="702" t="e">
        <f t="shared" si="2"/>
        <v>#DIV/0!</v>
      </c>
      <c r="X10" s="703"/>
      <c r="Y10" s="3578"/>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3"/>
      <c r="Q11" s="1343" t="str">
        <f t="shared" si="6"/>
        <v>容积率</v>
      </c>
      <c r="R11" s="701" t="s">
        <v>14</v>
      </c>
      <c r="S11" s="702" t="e">
        <f t="shared" si="0"/>
        <v>#N/A</v>
      </c>
      <c r="T11" s="701" t="s">
        <v>14</v>
      </c>
      <c r="U11" s="702" t="e">
        <f t="shared" si="1"/>
        <v>#N/A</v>
      </c>
      <c r="V11" s="701" t="s">
        <v>14</v>
      </c>
      <c r="W11" s="702" t="e">
        <f t="shared" si="2"/>
        <v>#N/A</v>
      </c>
      <c r="X11" s="703"/>
      <c r="Y11" s="3578"/>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3"/>
      <c r="Q12" s="1343" t="str">
        <f t="shared" si="6"/>
        <v>配建</v>
      </c>
      <c r="R12" s="701" t="s">
        <v>14</v>
      </c>
      <c r="S12" s="702">
        <f t="shared" si="0"/>
        <v>100</v>
      </c>
      <c r="T12" s="701" t="s">
        <v>14</v>
      </c>
      <c r="U12" s="702">
        <f t="shared" si="1"/>
        <v>100</v>
      </c>
      <c r="V12" s="701" t="s">
        <v>14</v>
      </c>
      <c r="W12" s="702">
        <f t="shared" si="2"/>
        <v>100</v>
      </c>
      <c r="X12" s="703"/>
      <c r="Y12" s="357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3"/>
      <c r="Q13" s="1343">
        <f t="shared" si="6"/>
        <v>111</v>
      </c>
      <c r="R13" s="701" t="s">
        <v>14</v>
      </c>
      <c r="S13" s="702">
        <f t="shared" si="0"/>
        <v>100</v>
      </c>
      <c r="T13" s="701" t="s">
        <v>14</v>
      </c>
      <c r="U13" s="702">
        <f t="shared" si="1"/>
        <v>100</v>
      </c>
      <c r="V13" s="701" t="s">
        <v>14</v>
      </c>
      <c r="W13" s="702">
        <f t="shared" si="2"/>
        <v>100</v>
      </c>
      <c r="X13" s="703"/>
      <c r="Y13" s="3578"/>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3"/>
      <c r="Q14" s="1343">
        <f t="shared" si="6"/>
        <v>111</v>
      </c>
      <c r="R14" s="701" t="s">
        <v>14</v>
      </c>
      <c r="S14" s="702">
        <f t="shared" si="0"/>
        <v>100</v>
      </c>
      <c r="T14" s="701" t="s">
        <v>14</v>
      </c>
      <c r="U14" s="702">
        <f t="shared" si="1"/>
        <v>100</v>
      </c>
      <c r="V14" s="701" t="s">
        <v>14</v>
      </c>
      <c r="W14" s="702">
        <f t="shared" si="2"/>
        <v>100</v>
      </c>
      <c r="X14" s="703"/>
      <c r="Y14" s="3578"/>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5" t="s">
        <v>1691</v>
      </c>
      <c r="Q15" s="1352" t="str">
        <f t="shared" si="6"/>
        <v>居住社区成熟度</v>
      </c>
      <c r="R15" s="705" t="s">
        <v>14</v>
      </c>
      <c r="S15" s="706">
        <f t="shared" si="0"/>
        <v>100</v>
      </c>
      <c r="T15" s="705" t="s">
        <v>14</v>
      </c>
      <c r="U15" s="706">
        <f t="shared" si="1"/>
        <v>100</v>
      </c>
      <c r="V15" s="705" t="s">
        <v>14</v>
      </c>
      <c r="W15" s="706">
        <f t="shared" si="2"/>
        <v>100</v>
      </c>
      <c r="X15" s="1355"/>
      <c r="Y15" s="370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6"/>
      <c r="Q16" s="1352"/>
      <c r="R16" s="705"/>
      <c r="S16" s="706"/>
      <c r="T16" s="705"/>
      <c r="U16" s="706"/>
      <c r="V16" s="705"/>
      <c r="W16" s="706"/>
      <c r="X16" s="1355"/>
      <c r="Y16" s="3706"/>
      <c r="Z16" s="1356"/>
      <c r="AA16" s="1353">
        <v>1</v>
      </c>
      <c r="AB16" s="1353">
        <v>1</v>
      </c>
      <c r="AC16" s="1353">
        <v>1</v>
      </c>
    </row>
    <row r="17" spans="1:29" ht="82.8">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6"/>
      <c r="Q17" s="1352" t="str">
        <f>B17</f>
        <v>商业繁华度</v>
      </c>
      <c r="R17" s="705" t="s">
        <v>14</v>
      </c>
      <c r="S17" s="706">
        <f>F17</f>
        <v>100</v>
      </c>
      <c r="T17" s="705" t="s">
        <v>14</v>
      </c>
      <c r="U17" s="706">
        <f>H17</f>
        <v>100</v>
      </c>
      <c r="V17" s="705" t="s">
        <v>14</v>
      </c>
      <c r="W17" s="706">
        <f>J17</f>
        <v>100</v>
      </c>
      <c r="X17" s="1355"/>
      <c r="Y17" s="370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6"/>
      <c r="Q18" s="1352"/>
      <c r="R18" s="705"/>
      <c r="S18" s="706"/>
      <c r="T18" s="705"/>
      <c r="U18" s="706"/>
      <c r="V18" s="705"/>
      <c r="W18" s="706"/>
      <c r="X18" s="1355"/>
      <c r="Y18" s="3706"/>
      <c r="Z18" s="1356"/>
      <c r="AA18" s="1353">
        <v>1</v>
      </c>
      <c r="AB18" s="1353">
        <v>1</v>
      </c>
      <c r="AC18" s="1353">
        <v>1</v>
      </c>
    </row>
    <row r="19" spans="1:29" ht="82.8">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6"/>
      <c r="Q19" s="1352" t="str">
        <f>B19</f>
        <v>办公集聚程度</v>
      </c>
      <c r="R19" s="705" t="s">
        <v>14</v>
      </c>
      <c r="S19" s="706">
        <f>F19</f>
        <v>100</v>
      </c>
      <c r="T19" s="705" t="s">
        <v>14</v>
      </c>
      <c r="U19" s="706">
        <f>H19</f>
        <v>100</v>
      </c>
      <c r="V19" s="705" t="s">
        <v>14</v>
      </c>
      <c r="W19" s="706">
        <f>J19</f>
        <v>100</v>
      </c>
      <c r="X19" s="1355"/>
      <c r="Y19" s="370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6"/>
      <c r="Q20" s="1352"/>
      <c r="R20" s="705"/>
      <c r="S20" s="706"/>
      <c r="T20" s="705"/>
      <c r="U20" s="706"/>
      <c r="V20" s="705"/>
      <c r="W20" s="706"/>
      <c r="X20" s="1355"/>
      <c r="Y20" s="3706"/>
      <c r="Z20" s="1356"/>
      <c r="AA20" s="1353">
        <v>1</v>
      </c>
      <c r="AB20" s="1353">
        <v>1</v>
      </c>
      <c r="AC20" s="1353">
        <v>1</v>
      </c>
    </row>
    <row r="21" spans="1:29" ht="96.6">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6"/>
      <c r="Q21" s="1352" t="str">
        <f>B21</f>
        <v>交通便捷度</v>
      </c>
      <c r="R21" s="705" t="s">
        <v>14</v>
      </c>
      <c r="S21" s="706">
        <f>F21</f>
        <v>100</v>
      </c>
      <c r="T21" s="705" t="s">
        <v>14</v>
      </c>
      <c r="U21" s="706">
        <f>H21</f>
        <v>100</v>
      </c>
      <c r="V21" s="705" t="s">
        <v>14</v>
      </c>
      <c r="W21" s="706">
        <f>J21</f>
        <v>100</v>
      </c>
      <c r="X21" s="1355"/>
      <c r="Y21" s="370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6"/>
      <c r="Q22" s="1352"/>
      <c r="R22" s="705"/>
      <c r="S22" s="706"/>
      <c r="T22" s="705"/>
      <c r="U22" s="706"/>
      <c r="V22" s="705"/>
      <c r="W22" s="706"/>
      <c r="X22" s="1355"/>
      <c r="Y22" s="3706"/>
      <c r="Z22" s="1356"/>
      <c r="AA22" s="1353">
        <v>1</v>
      </c>
      <c r="AB22" s="1353">
        <v>1</v>
      </c>
      <c r="AC22" s="1353">
        <v>1</v>
      </c>
    </row>
    <row r="23" spans="1:29" ht="28.8">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6"/>
      <c r="Q23" s="1352" t="str">
        <f t="shared" ref="Q23:Q37" si="8">B23</f>
        <v>区域土地利用方向</v>
      </c>
      <c r="R23" s="705" t="s">
        <v>14</v>
      </c>
      <c r="S23" s="706">
        <f>F23</f>
        <v>100</v>
      </c>
      <c r="T23" s="705" t="s">
        <v>14</v>
      </c>
      <c r="U23" s="706">
        <f>H23</f>
        <v>100</v>
      </c>
      <c r="V23" s="705" t="s">
        <v>14</v>
      </c>
      <c r="W23" s="706">
        <f>J23</f>
        <v>100</v>
      </c>
      <c r="X23" s="1355"/>
      <c r="Y23" s="370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6"/>
      <c r="Q24" s="1352"/>
      <c r="R24" s="705"/>
      <c r="S24" s="706"/>
      <c r="T24" s="705"/>
      <c r="U24" s="706"/>
      <c r="V24" s="705"/>
      <c r="W24" s="706"/>
      <c r="X24" s="1355"/>
      <c r="Y24" s="3706"/>
      <c r="Z24" s="1356"/>
      <c r="AA24" s="1353"/>
      <c r="AB24" s="1353"/>
      <c r="AC24" s="1353"/>
    </row>
    <row r="25" spans="1:29" ht="55.2">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6"/>
      <c r="Q25" s="1352" t="str">
        <f t="shared" si="8"/>
        <v>自然及人文环境状况</v>
      </c>
      <c r="R25" s="705" t="s">
        <v>14</v>
      </c>
      <c r="S25" s="706">
        <f>F25</f>
        <v>100</v>
      </c>
      <c r="T25" s="705" t="s">
        <v>14</v>
      </c>
      <c r="U25" s="706">
        <f>H25</f>
        <v>100</v>
      </c>
      <c r="V25" s="705" t="s">
        <v>14</v>
      </c>
      <c r="W25" s="706">
        <f>J25</f>
        <v>100</v>
      </c>
      <c r="X25" s="1355"/>
      <c r="Y25" s="370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6"/>
      <c r="Q26" s="1352"/>
      <c r="R26" s="705"/>
      <c r="S26" s="706"/>
      <c r="T26" s="705"/>
      <c r="U26" s="706"/>
      <c r="V26" s="705"/>
      <c r="W26" s="706"/>
      <c r="X26" s="1355"/>
      <c r="Y26" s="3706"/>
      <c r="Z26" s="1356"/>
      <c r="AA26" s="1353">
        <v>1</v>
      </c>
      <c r="AB26" s="1353">
        <v>1</v>
      </c>
      <c r="AC26" s="1353">
        <v>1</v>
      </c>
    </row>
    <row r="27" spans="1:29" s="108" customFormat="1" ht="41.4">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6"/>
      <c r="Q27" s="1343" t="str">
        <f t="shared" si="8"/>
        <v>公共配套设施</v>
      </c>
      <c r="R27" s="701" t="s">
        <v>14</v>
      </c>
      <c r="S27" s="702">
        <f>F27</f>
        <v>100</v>
      </c>
      <c r="T27" s="701" t="s">
        <v>14</v>
      </c>
      <c r="U27" s="702">
        <f>H27</f>
        <v>100</v>
      </c>
      <c r="V27" s="701" t="s">
        <v>14</v>
      </c>
      <c r="W27" s="702">
        <f>J27</f>
        <v>100</v>
      </c>
      <c r="X27" s="703"/>
      <c r="Y27" s="370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6"/>
      <c r="Q28" s="1343"/>
      <c r="R28" s="701"/>
      <c r="S28" s="702"/>
      <c r="T28" s="701"/>
      <c r="U28" s="702"/>
      <c r="V28" s="701"/>
      <c r="W28" s="702"/>
      <c r="X28" s="703"/>
      <c r="Y28" s="3706"/>
      <c r="Z28" s="52"/>
      <c r="AA28" s="1353">
        <v>1</v>
      </c>
      <c r="AB28" s="1353">
        <v>1</v>
      </c>
      <c r="AC28" s="1353">
        <v>1</v>
      </c>
    </row>
    <row r="29" spans="1:29" s="108" customFormat="1" ht="41.4">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6"/>
      <c r="Q29" s="1343" t="str">
        <f t="shared" ref="Q29" si="9">B29</f>
        <v>基础设施水平</v>
      </c>
      <c r="R29" s="701" t="s">
        <v>14</v>
      </c>
      <c r="S29" s="702">
        <f>F29</f>
        <v>100</v>
      </c>
      <c r="T29" s="701" t="s">
        <v>14</v>
      </c>
      <c r="U29" s="702">
        <f>H29</f>
        <v>100</v>
      </c>
      <c r="V29" s="701" t="s">
        <v>14</v>
      </c>
      <c r="W29" s="702">
        <f>J29</f>
        <v>100</v>
      </c>
      <c r="X29" s="703"/>
      <c r="Y29" s="370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6"/>
      <c r="Q30" s="1343"/>
      <c r="R30" s="701"/>
      <c r="S30" s="702"/>
      <c r="T30" s="701"/>
      <c r="U30" s="702"/>
      <c r="V30" s="701"/>
      <c r="W30" s="702"/>
      <c r="X30" s="703"/>
      <c r="Y30" s="3706"/>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6"/>
      <c r="Z31" s="1356" t="str">
        <f t="shared" ref="Z31:Z45" si="13">Q31</f>
        <v>临街状况</v>
      </c>
      <c r="AA31" s="1353">
        <f t="shared" si="3"/>
        <v>1</v>
      </c>
      <c r="AB31" s="1353">
        <f t="shared" si="4"/>
        <v>1</v>
      </c>
      <c r="AC31" s="1353">
        <f t="shared" si="5"/>
        <v>1</v>
      </c>
    </row>
    <row r="32" spans="1:29" ht="28.8">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6"/>
      <c r="Q32" s="1352" t="str">
        <f t="shared" si="8"/>
        <v>毗邻道路的类型与等级</v>
      </c>
      <c r="R32" s="705" t="s">
        <v>14</v>
      </c>
      <c r="S32" s="706">
        <f t="shared" si="10"/>
        <v>100</v>
      </c>
      <c r="T32" s="705" t="s">
        <v>14</v>
      </c>
      <c r="U32" s="706">
        <f t="shared" si="11"/>
        <v>100</v>
      </c>
      <c r="V32" s="705" t="s">
        <v>14</v>
      </c>
      <c r="W32" s="706">
        <f t="shared" si="12"/>
        <v>100</v>
      </c>
      <c r="X32" s="1355"/>
      <c r="Y32" s="370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6"/>
      <c r="Q33" s="1352"/>
      <c r="R33" s="705"/>
      <c r="S33" s="706"/>
      <c r="T33" s="705"/>
      <c r="U33" s="706"/>
      <c r="V33" s="705"/>
      <c r="W33" s="706"/>
      <c r="X33" s="1355"/>
      <c r="Y33" s="3706"/>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6"/>
      <c r="Q34" s="1352" t="str">
        <f t="shared" si="8"/>
        <v>土地级别</v>
      </c>
      <c r="R34" s="705" t="s">
        <v>14</v>
      </c>
      <c r="S34" s="706">
        <f t="shared" si="10"/>
        <v>100</v>
      </c>
      <c r="T34" s="705" t="s">
        <v>14</v>
      </c>
      <c r="U34" s="706">
        <f t="shared" si="11"/>
        <v>100</v>
      </c>
      <c r="V34" s="705" t="s">
        <v>14</v>
      </c>
      <c r="W34" s="706">
        <f t="shared" si="12"/>
        <v>100</v>
      </c>
      <c r="X34" s="1355"/>
      <c r="Y34" s="370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6"/>
      <c r="Q35" s="1352">
        <f t="shared" si="8"/>
        <v>111</v>
      </c>
      <c r="R35" s="705" t="s">
        <v>14</v>
      </c>
      <c r="S35" s="706">
        <f t="shared" si="10"/>
        <v>100</v>
      </c>
      <c r="T35" s="705" t="s">
        <v>14</v>
      </c>
      <c r="U35" s="706">
        <f t="shared" si="11"/>
        <v>100</v>
      </c>
      <c r="V35" s="705" t="s">
        <v>14</v>
      </c>
      <c r="W35" s="706">
        <f t="shared" si="12"/>
        <v>100</v>
      </c>
      <c r="X35" s="1355"/>
      <c r="Y35" s="370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67" t="s">
        <v>1695</v>
      </c>
      <c r="Q36" s="1352">
        <f t="shared" si="8"/>
        <v>111</v>
      </c>
      <c r="R36" s="705" t="s">
        <v>14</v>
      </c>
      <c r="S36" s="706">
        <f t="shared" si="10"/>
        <v>100</v>
      </c>
      <c r="T36" s="705" t="s">
        <v>14</v>
      </c>
      <c r="U36" s="706">
        <f t="shared" si="11"/>
        <v>100</v>
      </c>
      <c r="V36" s="705" t="s">
        <v>14</v>
      </c>
      <c r="W36" s="706">
        <f t="shared" si="12"/>
        <v>100</v>
      </c>
      <c r="X36" s="1355"/>
      <c r="Y36" s="3710" t="s">
        <v>1695</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10"/>
      <c r="Q37" s="1352">
        <f t="shared" si="8"/>
        <v>111</v>
      </c>
      <c r="R37" s="708" t="s">
        <v>14</v>
      </c>
      <c r="S37" s="709">
        <f t="shared" si="10"/>
        <v>100</v>
      </c>
      <c r="T37" s="708" t="s">
        <v>14</v>
      </c>
      <c r="U37" s="709">
        <f t="shared" si="11"/>
        <v>100</v>
      </c>
      <c r="V37" s="708" t="s">
        <v>14</v>
      </c>
      <c r="W37" s="709">
        <f t="shared" si="12"/>
        <v>100</v>
      </c>
      <c r="X37" s="710"/>
      <c r="Y37" s="3710"/>
      <c r="Z37" s="711">
        <f t="shared" si="13"/>
        <v>111</v>
      </c>
      <c r="AA37" s="1353">
        <f t="shared" si="3"/>
        <v>1</v>
      </c>
      <c r="AB37" s="1353">
        <f t="shared" si="4"/>
        <v>1</v>
      </c>
      <c r="AC37" s="1353">
        <f t="shared" si="5"/>
        <v>1</v>
      </c>
    </row>
    <row r="38" spans="1:29" ht="15.6">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10"/>
      <c r="Q38" s="1352" t="str">
        <f>B38</f>
        <v>宗地面积</v>
      </c>
      <c r="R38" s="705" t="s">
        <v>14</v>
      </c>
      <c r="S38" s="706" t="e">
        <f t="shared" si="10"/>
        <v>#N/A</v>
      </c>
      <c r="T38" s="705" t="s">
        <v>14</v>
      </c>
      <c r="U38" s="706" t="e">
        <f t="shared" si="11"/>
        <v>#N/A</v>
      </c>
      <c r="V38" s="705" t="s">
        <v>14</v>
      </c>
      <c r="W38" s="706" t="e">
        <f t="shared" si="12"/>
        <v>#N/A</v>
      </c>
      <c r="X38" s="1355"/>
      <c r="Y38" s="3710"/>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10"/>
      <c r="Q39" s="1352" t="str">
        <f t="shared" ref="Q39:Q45" si="14">B39</f>
        <v>宗地形状</v>
      </c>
      <c r="R39" s="705" t="s">
        <v>14</v>
      </c>
      <c r="S39" s="706">
        <f t="shared" si="10"/>
        <v>100</v>
      </c>
      <c r="T39" s="705" t="s">
        <v>14</v>
      </c>
      <c r="U39" s="706">
        <f t="shared" si="11"/>
        <v>100</v>
      </c>
      <c r="V39" s="705" t="s">
        <v>14</v>
      </c>
      <c r="W39" s="706">
        <f t="shared" si="12"/>
        <v>100</v>
      </c>
      <c r="X39" s="1355"/>
      <c r="Y39" s="3710"/>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10"/>
      <c r="Q40" s="1352" t="str">
        <f t="shared" si="14"/>
        <v>临街宽度及深度</v>
      </c>
      <c r="R40" s="705" t="s">
        <v>14</v>
      </c>
      <c r="S40" s="706">
        <f t="shared" si="10"/>
        <v>100</v>
      </c>
      <c r="T40" s="705" t="s">
        <v>14</v>
      </c>
      <c r="U40" s="706">
        <f t="shared" si="11"/>
        <v>100</v>
      </c>
      <c r="V40" s="705" t="s">
        <v>14</v>
      </c>
      <c r="W40" s="706">
        <f t="shared" si="12"/>
        <v>100</v>
      </c>
      <c r="X40" s="1355"/>
      <c r="Y40" s="3710"/>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10"/>
      <c r="Q41" s="1352" t="str">
        <f t="shared" si="14"/>
        <v>宗地开发程度</v>
      </c>
      <c r="R41" s="701" t="s">
        <v>14</v>
      </c>
      <c r="S41" s="702">
        <f t="shared" si="10"/>
        <v>100</v>
      </c>
      <c r="T41" s="701" t="s">
        <v>14</v>
      </c>
      <c r="U41" s="702">
        <f t="shared" si="11"/>
        <v>100</v>
      </c>
      <c r="V41" s="701" t="s">
        <v>14</v>
      </c>
      <c r="W41" s="702">
        <f t="shared" si="12"/>
        <v>100</v>
      </c>
      <c r="X41" s="703"/>
      <c r="Y41" s="3710"/>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10" t="s">
        <v>1695</v>
      </c>
      <c r="Q42" s="1352" t="str">
        <f t="shared" si="14"/>
        <v>工程地质条件</v>
      </c>
      <c r="R42" s="705" t="s">
        <v>14</v>
      </c>
      <c r="S42" s="706">
        <f t="shared" si="10"/>
        <v>100</v>
      </c>
      <c r="T42" s="705" t="s">
        <v>14</v>
      </c>
      <c r="U42" s="706">
        <f t="shared" si="11"/>
        <v>100</v>
      </c>
      <c r="V42" s="705" t="s">
        <v>14</v>
      </c>
      <c r="W42" s="706">
        <f t="shared" si="12"/>
        <v>100</v>
      </c>
      <c r="X42" s="1355"/>
      <c r="Y42" s="3710"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10"/>
      <c r="Q43" s="1352">
        <f t="shared" si="14"/>
        <v>111</v>
      </c>
      <c r="R43" s="705" t="s">
        <v>14</v>
      </c>
      <c r="S43" s="706">
        <f t="shared" si="10"/>
        <v>100</v>
      </c>
      <c r="T43" s="705" t="s">
        <v>14</v>
      </c>
      <c r="U43" s="706">
        <f t="shared" si="11"/>
        <v>100</v>
      </c>
      <c r="V43" s="705" t="s">
        <v>14</v>
      </c>
      <c r="W43" s="706">
        <f t="shared" si="12"/>
        <v>100</v>
      </c>
      <c r="X43" s="1355"/>
      <c r="Y43" s="371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10"/>
      <c r="Q44" s="1352">
        <f t="shared" si="14"/>
        <v>111</v>
      </c>
      <c r="R44" s="705" t="s">
        <v>14</v>
      </c>
      <c r="S44" s="706">
        <f t="shared" si="10"/>
        <v>100</v>
      </c>
      <c r="T44" s="705" t="s">
        <v>14</v>
      </c>
      <c r="U44" s="706">
        <f t="shared" si="11"/>
        <v>100</v>
      </c>
      <c r="V44" s="705" t="s">
        <v>14</v>
      </c>
      <c r="W44" s="706">
        <f t="shared" si="12"/>
        <v>100</v>
      </c>
      <c r="X44" s="1355"/>
      <c r="Y44" s="3710"/>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10"/>
      <c r="Q45" s="1352">
        <f t="shared" si="14"/>
        <v>111</v>
      </c>
      <c r="R45" s="708" t="s">
        <v>14</v>
      </c>
      <c r="S45" s="709">
        <f t="shared" si="10"/>
        <v>100</v>
      </c>
      <c r="T45" s="708" t="s">
        <v>14</v>
      </c>
      <c r="U45" s="709">
        <f t="shared" si="11"/>
        <v>100</v>
      </c>
      <c r="V45" s="708" t="s">
        <v>14</v>
      </c>
      <c r="W45" s="709">
        <f t="shared" si="12"/>
        <v>100</v>
      </c>
      <c r="X45" s="710"/>
      <c r="Y45" s="3710"/>
      <c r="Z45" s="711">
        <f t="shared" si="13"/>
        <v>111</v>
      </c>
      <c r="AA45" s="1353">
        <f t="shared" si="3"/>
        <v>1</v>
      </c>
      <c r="AB45" s="1353">
        <f t="shared" si="4"/>
        <v>1</v>
      </c>
      <c r="AC45" s="1353">
        <f t="shared" si="5"/>
        <v>1</v>
      </c>
    </row>
    <row r="46" spans="1:29" ht="14.4">
      <c r="A46" s="430" t="s">
        <v>1843</v>
      </c>
      <c r="B46" s="1982" t="s">
        <v>1878</v>
      </c>
      <c r="C46" s="630" t="s">
        <v>0</v>
      </c>
      <c r="D46" s="432"/>
      <c r="E46" s="433"/>
      <c r="F46" s="434"/>
      <c r="G46" s="435"/>
      <c r="H46" s="436"/>
      <c r="I46" s="433"/>
      <c r="J46" s="436"/>
      <c r="K46" s="714"/>
      <c r="L46" s="2724"/>
      <c r="M46" s="2725"/>
      <c r="N46" s="2716"/>
      <c r="O46" s="2725"/>
      <c r="P46" s="3703" t="str">
        <f>A46</f>
        <v>成交单价</v>
      </c>
      <c r="Q46" s="3703"/>
      <c r="R46" s="3734">
        <f>E46</f>
        <v>0</v>
      </c>
      <c r="S46" s="3734"/>
      <c r="T46" s="3734">
        <f>G46</f>
        <v>0</v>
      </c>
      <c r="U46" s="3734"/>
      <c r="V46" s="3734">
        <f>I46</f>
        <v>0</v>
      </c>
      <c r="W46" s="3734"/>
      <c r="X46" s="690"/>
      <c r="Y46" s="712"/>
      <c r="Z46" s="690"/>
      <c r="AA46" s="690"/>
      <c r="AB46" s="690"/>
      <c r="AC46" s="690"/>
    </row>
    <row r="47" spans="1:29" ht="15" thickBot="1">
      <c r="A47" s="437" t="s">
        <v>1792</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703" t="str">
        <f>A47</f>
        <v>比较价值（元/平方米）</v>
      </c>
      <c r="Q47" s="3703"/>
      <c r="R47" s="3769" t="e">
        <f>ROUND(PRODUCT(R46,AA7:AA45),0)</f>
        <v>#DIV/0!</v>
      </c>
      <c r="S47" s="3769"/>
      <c r="T47" s="3769" t="e">
        <f>ROUND(PRODUCT(T46,AB7:AB45),0)</f>
        <v>#DIV/0!</v>
      </c>
      <c r="U47" s="3769"/>
      <c r="V47" s="3769" t="e">
        <f>ROUND(PRODUCT(V46,AC7:AC45),0)</f>
        <v>#DIV/0!</v>
      </c>
      <c r="W47" s="3769"/>
      <c r="X47" s="690"/>
      <c r="Y47" s="690"/>
      <c r="Z47" s="690"/>
      <c r="AA47" s="690"/>
      <c r="AB47" s="690"/>
      <c r="AC47" s="690"/>
    </row>
    <row r="48" spans="1:29" ht="15" thickBot="1">
      <c r="A48" s="441" t="s">
        <v>1879</v>
      </c>
      <c r="B48" s="442"/>
      <c r="C48" s="443" t="e">
        <f>R48</f>
        <v>#DIV/0!</v>
      </c>
      <c r="D48" s="443"/>
      <c r="E48" s="443"/>
      <c r="F48" s="443"/>
      <c r="G48" s="443"/>
      <c r="H48" s="443"/>
      <c r="I48" s="443"/>
      <c r="J48" s="443"/>
      <c r="K48" s="715"/>
      <c r="L48" s="2724"/>
      <c r="M48" s="2725"/>
      <c r="N48" s="2725"/>
      <c r="O48" s="2725"/>
      <c r="P48" s="3700" t="str">
        <f>A48</f>
        <v>估价对象XX用房的比较价值（楼面单价，元/平方米）</v>
      </c>
      <c r="Q48" s="3701"/>
      <c r="R48" s="3770" t="e">
        <f>ROUND(IF(D47="简单平均",AVERAGE(R47:W47),R47*F47+T47*H47+V47*J47),0)</f>
        <v>#DIV/0!</v>
      </c>
      <c r="S48" s="3770"/>
      <c r="T48" s="3770"/>
      <c r="U48" s="3770"/>
      <c r="V48" s="3770"/>
      <c r="W48" s="3770"/>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1880</v>
      </c>
      <c r="B55" s="633" t="s">
        <v>1881</v>
      </c>
      <c r="C55" s="1983" t="s">
        <v>1882</v>
      </c>
      <c r="D55" s="1984" t="s">
        <v>1883</v>
      </c>
      <c r="E55" s="634" t="s">
        <v>1884</v>
      </c>
      <c r="F55" s="890" t="s">
        <v>1885</v>
      </c>
      <c r="G55" s="3718" t="s">
        <v>1886</v>
      </c>
      <c r="H55" s="3771"/>
      <c r="I55" s="135" t="s">
        <v>1887</v>
      </c>
      <c r="J55" s="1985">
        <f>项目基本情况!F35</f>
        <v>0</v>
      </c>
      <c r="K55" s="1986" t="s">
        <v>1888</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1889</v>
      </c>
      <c r="B56" s="637" t="e">
        <f>C48</f>
        <v>#DIV/0!</v>
      </c>
      <c r="C56" s="638">
        <v>1</v>
      </c>
      <c r="D56" s="944">
        <v>1</v>
      </c>
      <c r="E56" s="638">
        <f>'数据-汇总表'!E8+'数据-汇总表'!E9</f>
        <v>102.54</v>
      </c>
      <c r="F56" s="886" t="e">
        <f t="shared" ref="F56:F64" si="15">ROUND(B56*E56/10000,0)</f>
        <v>#DIV/0!</v>
      </c>
      <c r="G56" s="3714"/>
      <c r="H56" s="370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1890</v>
      </c>
      <c r="B57" s="218" t="e">
        <f>ROUND($C$48*C57*D57,0)</f>
        <v>#DIV/0!</v>
      </c>
      <c r="C57" s="171">
        <f t="shared" ref="C57:C64" si="16">IF($C$55="北京市系数",I57,J57)</f>
        <v>0</v>
      </c>
      <c r="D57" s="945">
        <v>0.25</v>
      </c>
      <c r="E57" s="642"/>
      <c r="F57" s="886" t="e">
        <f t="shared" si="15"/>
        <v>#DIV/0!</v>
      </c>
      <c r="G57" s="3006" t="s">
        <v>1891</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1892</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1893</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1898</v>
      </c>
      <c r="B62" s="218" t="e">
        <f t="shared" si="17"/>
        <v>#DIV/0!</v>
      </c>
      <c r="C62" s="171">
        <f t="shared" si="16"/>
        <v>0.15</v>
      </c>
      <c r="D62" s="945">
        <v>0.25</v>
      </c>
      <c r="E62" s="217">
        <f>'数据-汇总表'!E13</f>
        <v>0</v>
      </c>
      <c r="F62" s="886" t="e">
        <f t="shared" si="15"/>
        <v>#DIV/0!</v>
      </c>
      <c r="G62" s="892" t="s">
        <v>1899</v>
      </c>
      <c r="H62" s="887" t="str">
        <f>IF(G62="商业",项目基本情况!B37,IF(G62="办公",项目基本情况!C37,IF(G62="住宅",项目基本情况!D37,项目基本情况!E37)))</f>
        <v>三级</v>
      </c>
      <c r="I62" s="891">
        <f>SUMIF(修正!A57:A68,H62,修正!G57:G68)</f>
        <v>0.15</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1902</v>
      </c>
      <c r="B65" s="644" t="s">
        <v>22</v>
      </c>
      <c r="C65" s="644" t="s">
        <v>23</v>
      </c>
      <c r="D65" s="644" t="s">
        <v>392</v>
      </c>
      <c r="E65" s="644">
        <f>IF(B46="楼面地价",SUM(E56:E64),'数据-汇总表'!D3)</f>
        <v>102.54</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2013-5-1</v>
      </c>
      <c r="D67" s="692">
        <f>EDATE(C67,-3)</f>
        <v>41306</v>
      </c>
      <c r="E67" s="692">
        <f>EDATE(D67,-3)</f>
        <v>41214</v>
      </c>
      <c r="F67" s="692">
        <f t="shared" ref="F67:O67" si="18">EDATE(E67,-3)</f>
        <v>41122</v>
      </c>
      <c r="G67" s="692">
        <f t="shared" si="18"/>
        <v>41030</v>
      </c>
      <c r="H67" s="692">
        <f t="shared" si="18"/>
        <v>40940</v>
      </c>
      <c r="I67" s="692">
        <f t="shared" si="18"/>
        <v>40848</v>
      </c>
      <c r="J67" s="692">
        <f t="shared" si="18"/>
        <v>40756</v>
      </c>
      <c r="K67" s="692">
        <f t="shared" si="18"/>
        <v>40664</v>
      </c>
      <c r="L67" s="692">
        <f t="shared" si="18"/>
        <v>40575</v>
      </c>
      <c r="M67" s="692">
        <f t="shared" si="18"/>
        <v>40483</v>
      </c>
      <c r="N67" s="692">
        <f t="shared" si="18"/>
        <v>40391</v>
      </c>
      <c r="O67" s="692">
        <f t="shared" si="18"/>
        <v>40299</v>
      </c>
      <c r="P67" s="2725"/>
      <c r="Q67" s="2725"/>
      <c r="R67" s="2725"/>
      <c r="S67" s="2725"/>
      <c r="T67" s="2725"/>
      <c r="U67" s="2725"/>
      <c r="V67" s="2725"/>
      <c r="W67" s="2725"/>
      <c r="X67" s="2725"/>
      <c r="Y67" s="2725"/>
      <c r="Z67" s="2725"/>
      <c r="AA67" s="2725"/>
      <c r="AB67" s="2725"/>
      <c r="AC67" s="2725"/>
    </row>
    <row r="68" spans="1:29" ht="22.2" thickBot="1">
      <c r="A68" s="694" t="s">
        <v>1797</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1903</v>
      </c>
      <c r="B69" s="1109"/>
      <c r="C69" s="1182" t="str">
        <f>YEAR(C67)&amp;"-"&amp;ROUNDUP(MONTH(C67)/3,0)</f>
        <v>2013-2</v>
      </c>
      <c r="D69" s="1182" t="str">
        <f>YEAR(D67)&amp;"-"&amp;ROUNDUP(MONTH(D67)/3,0)</f>
        <v>2013-1</v>
      </c>
      <c r="E69" s="1182" t="str">
        <f t="shared" ref="E69:O69" si="19">YEAR(E67)&amp;"-"&amp;ROUNDUP(MONTH(E67)/3,0)</f>
        <v>2012-4</v>
      </c>
      <c r="F69" s="1182" t="str">
        <f t="shared" si="19"/>
        <v>2012-3</v>
      </c>
      <c r="G69" s="1182" t="str">
        <f t="shared" si="19"/>
        <v>2012-2</v>
      </c>
      <c r="H69" s="1182" t="str">
        <f t="shared" si="19"/>
        <v>2012-1</v>
      </c>
      <c r="I69" s="1182" t="str">
        <f t="shared" si="19"/>
        <v>2011-4</v>
      </c>
      <c r="J69" s="1182" t="str">
        <f t="shared" si="19"/>
        <v>2011-3</v>
      </c>
      <c r="K69" s="1182" t="str">
        <f t="shared" si="19"/>
        <v>2011-2</v>
      </c>
      <c r="L69" s="1182" t="str">
        <f t="shared" si="19"/>
        <v>2011-1</v>
      </c>
      <c r="M69" s="1182" t="str">
        <f t="shared" si="19"/>
        <v>2010-4</v>
      </c>
      <c r="N69" s="1182" t="str">
        <f t="shared" si="19"/>
        <v>2010-3</v>
      </c>
      <c r="O69" s="1182" t="str">
        <f t="shared" si="19"/>
        <v>2010-2</v>
      </c>
      <c r="P69" s="2776"/>
      <c r="Q69" s="2741"/>
      <c r="R69" s="2741"/>
      <c r="S69" s="2741"/>
      <c r="T69" s="2741"/>
      <c r="U69" s="2741"/>
      <c r="V69" s="2741"/>
      <c r="W69" s="2741"/>
      <c r="X69" s="2741"/>
      <c r="Y69" s="2741"/>
      <c r="Z69" s="2741"/>
      <c r="AA69" s="2741"/>
      <c r="AB69" s="2741"/>
      <c r="AC69" s="2741"/>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1715</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1775</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1718</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1719</v>
      </c>
      <c r="C87" s="522" t="s">
        <v>1720</v>
      </c>
      <c r="D87" s="522" t="s">
        <v>1721</v>
      </c>
      <c r="E87" s="522" t="s">
        <v>1722</v>
      </c>
      <c r="F87" s="522" t="s">
        <v>1723</v>
      </c>
      <c r="G87" s="522" t="s">
        <v>1724</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1905</v>
      </c>
      <c r="C89" s="527" t="s">
        <v>1720</v>
      </c>
      <c r="D89" s="527" t="s">
        <v>1721</v>
      </c>
      <c r="E89" s="527" t="s">
        <v>1722</v>
      </c>
      <c r="F89" s="527" t="s">
        <v>1723</v>
      </c>
      <c r="G89" s="527" t="s">
        <v>1724</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1820</v>
      </c>
      <c r="C91" s="527" t="s">
        <v>1720</v>
      </c>
      <c r="D91" s="527" t="s">
        <v>1721</v>
      </c>
      <c r="E91" s="527" t="s">
        <v>1722</v>
      </c>
      <c r="F91" s="527" t="s">
        <v>1723</v>
      </c>
      <c r="G91" s="527" t="s">
        <v>1724</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1725</v>
      </c>
      <c r="C93" s="527" t="s">
        <v>1720</v>
      </c>
      <c r="D93" s="527" t="s">
        <v>1721</v>
      </c>
      <c r="E93" s="527" t="s">
        <v>1722</v>
      </c>
      <c r="F93" s="527" t="s">
        <v>1723</v>
      </c>
      <c r="G93" s="527" t="s">
        <v>1724</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1906</v>
      </c>
      <c r="C95" s="527" t="s">
        <v>1720</v>
      </c>
      <c r="D95" s="527" t="s">
        <v>1721</v>
      </c>
      <c r="E95" s="527" t="s">
        <v>1722</v>
      </c>
      <c r="F95" s="527" t="s">
        <v>1723</v>
      </c>
      <c r="G95" s="527" t="s">
        <v>1724</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1907</v>
      </c>
      <c r="C97" s="522" t="s">
        <v>1720</v>
      </c>
      <c r="D97" s="522" t="s">
        <v>1721</v>
      </c>
      <c r="E97" s="522" t="s">
        <v>1722</v>
      </c>
      <c r="F97" s="522" t="s">
        <v>1723</v>
      </c>
      <c r="G97" s="522" t="s">
        <v>1724</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1777</v>
      </c>
      <c r="C99" s="522" t="s">
        <v>1720</v>
      </c>
      <c r="D99" s="522" t="s">
        <v>1721</v>
      </c>
      <c r="E99" s="522" t="s">
        <v>1722</v>
      </c>
      <c r="F99" s="522" t="s">
        <v>1723</v>
      </c>
      <c r="G99" s="522" t="s">
        <v>1724</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1778</v>
      </c>
      <c r="C101" s="608" t="s">
        <v>1798</v>
      </c>
      <c r="D101" s="608" t="s">
        <v>1799</v>
      </c>
      <c r="E101" s="608" t="s">
        <v>1800</v>
      </c>
      <c r="F101" s="608" t="s">
        <v>1801</v>
      </c>
      <c r="G101" s="608" t="s">
        <v>1802</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1908</v>
      </c>
      <c r="D103" s="488" t="s">
        <v>1909</v>
      </c>
      <c r="E103" s="488" t="s">
        <v>1910</v>
      </c>
      <c r="F103" s="488" t="s">
        <v>1911</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1814</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1872</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1913</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1914</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1915</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1916</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718" t="s">
        <v>1769</v>
      </c>
      <c r="D4" s="3719"/>
      <c r="E4" s="3720" t="s">
        <v>1770</v>
      </c>
      <c r="F4" s="3721"/>
      <c r="G4" s="3718" t="s">
        <v>1771</v>
      </c>
      <c r="H4" s="3719"/>
      <c r="I4" s="3718" t="s">
        <v>1772</v>
      </c>
      <c r="J4" s="3719"/>
      <c r="K4" s="559" t="s">
        <v>1773</v>
      </c>
      <c r="L4" s="2715"/>
      <c r="M4" s="2716"/>
      <c r="N4" s="2716"/>
      <c r="O4" s="2716"/>
      <c r="P4" s="3722" t="s">
        <v>1774</v>
      </c>
      <c r="Q4" s="3723"/>
      <c r="R4" s="3728" t="s">
        <v>1770</v>
      </c>
      <c r="S4" s="3729"/>
      <c r="T4" s="3728" t="s">
        <v>1771</v>
      </c>
      <c r="U4" s="3729"/>
      <c r="V4" s="3734" t="s">
        <v>1772</v>
      </c>
      <c r="W4" s="3734"/>
      <c r="X4" s="1355"/>
      <c r="Y4" s="3728" t="s">
        <v>1774</v>
      </c>
      <c r="Z4" s="3729"/>
      <c r="AA4" s="3715" t="s">
        <v>1770</v>
      </c>
      <c r="AB4" s="3716" t="s">
        <v>1771</v>
      </c>
      <c r="AC4" s="3715" t="s">
        <v>1772</v>
      </c>
    </row>
    <row r="5" spans="1:29">
      <c r="A5" s="358"/>
      <c r="B5" s="359"/>
      <c r="C5" s="3748" t="s">
        <v>1673</v>
      </c>
      <c r="D5" s="3743"/>
      <c r="E5" s="3750" t="s">
        <v>1674</v>
      </c>
      <c r="F5" s="3751"/>
      <c r="G5" s="3748" t="s">
        <v>1675</v>
      </c>
      <c r="H5" s="3743"/>
      <c r="I5" s="3748" t="s">
        <v>1676</v>
      </c>
      <c r="J5" s="3743"/>
      <c r="K5" s="559"/>
      <c r="L5" s="2715"/>
      <c r="M5" s="2716"/>
      <c r="N5" s="2716"/>
      <c r="O5" s="2716"/>
      <c r="P5" s="3724"/>
      <c r="Q5" s="3725"/>
      <c r="R5" s="3730"/>
      <c r="S5" s="3731"/>
      <c r="T5" s="3730"/>
      <c r="U5" s="3731"/>
      <c r="V5" s="3734"/>
      <c r="W5" s="3734"/>
      <c r="X5" s="1355"/>
      <c r="Y5" s="3730"/>
      <c r="Z5" s="3731"/>
      <c r="AA5" s="3716"/>
      <c r="AB5" s="3716"/>
      <c r="AC5" s="3716"/>
    </row>
    <row r="6" spans="1:29" ht="15" thickBot="1">
      <c r="A6" s="360"/>
      <c r="B6" s="361"/>
      <c r="C6" s="3772" t="s">
        <v>1918</v>
      </c>
      <c r="D6" s="3773"/>
      <c r="E6" s="3774" t="s">
        <v>1918</v>
      </c>
      <c r="F6" s="3775"/>
      <c r="G6" s="3772" t="s">
        <v>1918</v>
      </c>
      <c r="H6" s="3773"/>
      <c r="I6" s="3772" t="s">
        <v>1918</v>
      </c>
      <c r="J6" s="3773"/>
      <c r="K6" s="559" t="s">
        <v>1678</v>
      </c>
      <c r="L6" s="2715"/>
      <c r="M6" s="2716"/>
      <c r="N6" s="2716"/>
      <c r="O6" s="2716"/>
      <c r="P6" s="3726"/>
      <c r="Q6" s="3727"/>
      <c r="R6" s="3730"/>
      <c r="S6" s="3731"/>
      <c r="T6" s="3732"/>
      <c r="U6" s="3733"/>
      <c r="V6" s="3734"/>
      <c r="W6" s="3734"/>
      <c r="X6" s="1355"/>
      <c r="Y6" s="3732"/>
      <c r="Z6" s="3733"/>
      <c r="AA6" s="3717"/>
      <c r="AB6" s="3717"/>
      <c r="AC6" s="3717"/>
    </row>
    <row r="7" spans="1:29" s="108" customFormat="1" ht="15" thickBot="1">
      <c r="A7" s="362" t="s">
        <v>1679</v>
      </c>
      <c r="B7" s="363"/>
      <c r="C7" s="364">
        <f>'数据-取费表'!B2</f>
        <v>41424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39" t="s">
        <v>1680</v>
      </c>
      <c r="Q7" s="3741"/>
      <c r="R7" s="701" t="s">
        <v>14</v>
      </c>
      <c r="S7" s="702">
        <f t="shared" ref="S7:S15" si="0">F7</f>
        <v>0</v>
      </c>
      <c r="T7" s="701" t="s">
        <v>14</v>
      </c>
      <c r="U7" s="702">
        <f t="shared" ref="U7:U15" si="1">H7</f>
        <v>0</v>
      </c>
      <c r="V7" s="701" t="s">
        <v>14</v>
      </c>
      <c r="W7" s="702">
        <f t="shared" ref="W7:W15" si="2">J7</f>
        <v>0</v>
      </c>
      <c r="X7" s="703"/>
      <c r="Y7" s="3739" t="s">
        <v>1680</v>
      </c>
      <c r="Z7" s="3740"/>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39" t="s">
        <v>1683</v>
      </c>
      <c r="Q8" s="3740"/>
      <c r="R8" s="701" t="s">
        <v>14</v>
      </c>
      <c r="S8" s="702">
        <f t="shared" si="0"/>
        <v>0</v>
      </c>
      <c r="T8" s="701" t="s">
        <v>14</v>
      </c>
      <c r="U8" s="702">
        <f t="shared" si="1"/>
        <v>0</v>
      </c>
      <c r="V8" s="701" t="s">
        <v>14</v>
      </c>
      <c r="W8" s="702">
        <f t="shared" si="2"/>
        <v>0</v>
      </c>
      <c r="X8" s="703"/>
      <c r="Y8" s="3739" t="s">
        <v>1683</v>
      </c>
      <c r="Z8" s="3740"/>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3" t="s">
        <v>1686</v>
      </c>
      <c r="Q9" s="1343" t="str">
        <f t="shared" ref="Q9:Q15" si="6">B9</f>
        <v>用途</v>
      </c>
      <c r="R9" s="701" t="s">
        <v>14</v>
      </c>
      <c r="S9" s="702">
        <f t="shared" si="0"/>
        <v>100</v>
      </c>
      <c r="T9" s="701" t="s">
        <v>14</v>
      </c>
      <c r="U9" s="702">
        <f t="shared" si="1"/>
        <v>100</v>
      </c>
      <c r="V9" s="701" t="s">
        <v>14</v>
      </c>
      <c r="W9" s="702">
        <f t="shared" si="2"/>
        <v>100</v>
      </c>
      <c r="X9" s="703"/>
      <c r="Y9" s="3578"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03"/>
      <c r="Q10" s="1343" t="str">
        <f t="shared" si="6"/>
        <v>土地使用年限（年）</v>
      </c>
      <c r="R10" s="701" t="s">
        <v>14</v>
      </c>
      <c r="S10" s="702" t="e">
        <f t="shared" si="0"/>
        <v>#DIV/0!</v>
      </c>
      <c r="T10" s="701" t="s">
        <v>14</v>
      </c>
      <c r="U10" s="702" t="e">
        <f t="shared" si="1"/>
        <v>#DIV/0!</v>
      </c>
      <c r="V10" s="701" t="s">
        <v>14</v>
      </c>
      <c r="W10" s="702" t="e">
        <f t="shared" si="2"/>
        <v>#DIV/0!</v>
      </c>
      <c r="X10" s="703"/>
      <c r="Y10" s="3578"/>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3"/>
      <c r="Q11" s="1343" t="str">
        <f t="shared" si="6"/>
        <v>容积率</v>
      </c>
      <c r="R11" s="701" t="s">
        <v>14</v>
      </c>
      <c r="S11" s="702" t="e">
        <f t="shared" si="0"/>
        <v>#N/A</v>
      </c>
      <c r="T11" s="701" t="s">
        <v>14</v>
      </c>
      <c r="U11" s="702" t="e">
        <f t="shared" si="1"/>
        <v>#N/A</v>
      </c>
      <c r="V11" s="701" t="s">
        <v>14</v>
      </c>
      <c r="W11" s="702" t="e">
        <f t="shared" si="2"/>
        <v>#N/A</v>
      </c>
      <c r="X11" s="703"/>
      <c r="Y11" s="357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3"/>
      <c r="Q12" s="1343">
        <f t="shared" si="6"/>
        <v>111</v>
      </c>
      <c r="R12" s="701" t="s">
        <v>14</v>
      </c>
      <c r="S12" s="702">
        <f t="shared" si="0"/>
        <v>100</v>
      </c>
      <c r="T12" s="701" t="s">
        <v>14</v>
      </c>
      <c r="U12" s="702">
        <f t="shared" si="1"/>
        <v>100</v>
      </c>
      <c r="V12" s="701" t="s">
        <v>14</v>
      </c>
      <c r="W12" s="702">
        <f t="shared" si="2"/>
        <v>100</v>
      </c>
      <c r="X12" s="703"/>
      <c r="Y12" s="357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3"/>
      <c r="Q13" s="1343">
        <f t="shared" si="6"/>
        <v>111</v>
      </c>
      <c r="R13" s="701" t="s">
        <v>14</v>
      </c>
      <c r="S13" s="702">
        <f t="shared" si="0"/>
        <v>100</v>
      </c>
      <c r="T13" s="701" t="s">
        <v>14</v>
      </c>
      <c r="U13" s="702">
        <f t="shared" si="1"/>
        <v>100</v>
      </c>
      <c r="V13" s="701" t="s">
        <v>14</v>
      </c>
      <c r="W13" s="702">
        <f t="shared" si="2"/>
        <v>100</v>
      </c>
      <c r="X13" s="703"/>
      <c r="Y13" s="3578"/>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3"/>
      <c r="Q14" s="1343">
        <f t="shared" si="6"/>
        <v>111</v>
      </c>
      <c r="R14" s="701" t="s">
        <v>14</v>
      </c>
      <c r="S14" s="702">
        <f t="shared" si="0"/>
        <v>100</v>
      </c>
      <c r="T14" s="701" t="s">
        <v>14</v>
      </c>
      <c r="U14" s="702">
        <f t="shared" si="1"/>
        <v>100</v>
      </c>
      <c r="V14" s="701" t="s">
        <v>14</v>
      </c>
      <c r="W14" s="702">
        <f t="shared" si="2"/>
        <v>100</v>
      </c>
      <c r="X14" s="703"/>
      <c r="Y14" s="3578"/>
      <c r="Z14" s="52">
        <f t="shared" si="7"/>
        <v>111</v>
      </c>
      <c r="AA14" s="704">
        <f t="shared" si="3"/>
        <v>1</v>
      </c>
      <c r="AB14" s="704">
        <f t="shared" si="4"/>
        <v>1</v>
      </c>
      <c r="AC14" s="704">
        <f t="shared" si="5"/>
        <v>1</v>
      </c>
    </row>
    <row r="15" spans="1:29" ht="69">
      <c r="A15" s="391" t="s">
        <v>1690</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5" t="s">
        <v>1691</v>
      </c>
      <c r="Q15" s="1352" t="str">
        <f t="shared" si="6"/>
        <v>产业集聚程度</v>
      </c>
      <c r="R15" s="705" t="s">
        <v>14</v>
      </c>
      <c r="S15" s="706">
        <f t="shared" si="0"/>
        <v>100</v>
      </c>
      <c r="T15" s="705" t="s">
        <v>14</v>
      </c>
      <c r="U15" s="706">
        <f t="shared" si="1"/>
        <v>100</v>
      </c>
      <c r="V15" s="705" t="s">
        <v>14</v>
      </c>
      <c r="W15" s="706">
        <f t="shared" si="2"/>
        <v>100</v>
      </c>
      <c r="X15" s="1355"/>
      <c r="Y15" s="370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6"/>
      <c r="Q16" s="1352"/>
      <c r="R16" s="705"/>
      <c r="S16" s="706"/>
      <c r="T16" s="705"/>
      <c r="U16" s="706"/>
      <c r="V16" s="705"/>
      <c r="W16" s="706"/>
      <c r="X16" s="1355"/>
      <c r="Y16" s="3706"/>
      <c r="Z16" s="1356"/>
      <c r="AA16" s="1353">
        <v>1</v>
      </c>
      <c r="AB16" s="1353">
        <v>1</v>
      </c>
      <c r="AC16" s="1353">
        <v>1</v>
      </c>
    </row>
    <row r="17" spans="1:29" ht="96.6">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6"/>
      <c r="Q17" s="1352" t="str">
        <f>B17</f>
        <v>交通便捷度</v>
      </c>
      <c r="R17" s="705" t="s">
        <v>14</v>
      </c>
      <c r="S17" s="706">
        <f>F17</f>
        <v>100</v>
      </c>
      <c r="T17" s="705" t="s">
        <v>14</v>
      </c>
      <c r="U17" s="706">
        <f>H17</f>
        <v>100</v>
      </c>
      <c r="V17" s="705" t="s">
        <v>14</v>
      </c>
      <c r="W17" s="706">
        <f>J17</f>
        <v>100</v>
      </c>
      <c r="X17" s="1355"/>
      <c r="Y17" s="370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6"/>
      <c r="Q18" s="1352"/>
      <c r="R18" s="705"/>
      <c r="S18" s="706"/>
      <c r="T18" s="705"/>
      <c r="U18" s="706"/>
      <c r="V18" s="705"/>
      <c r="W18" s="706"/>
      <c r="X18" s="1355"/>
      <c r="Y18" s="3706"/>
      <c r="Z18" s="1356"/>
      <c r="AA18" s="1353">
        <v>1</v>
      </c>
      <c r="AB18" s="1353">
        <v>1</v>
      </c>
      <c r="AC18" s="1353">
        <v>1</v>
      </c>
    </row>
    <row r="19" spans="1:29" ht="28.8">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6"/>
      <c r="Q19" s="1352" t="str">
        <f t="shared" ref="Q19:Q33" si="8">B19</f>
        <v>区域土地利用方向</v>
      </c>
      <c r="R19" s="705" t="s">
        <v>14</v>
      </c>
      <c r="S19" s="706">
        <f>F19</f>
        <v>100</v>
      </c>
      <c r="T19" s="705" t="s">
        <v>14</v>
      </c>
      <c r="U19" s="706">
        <f>H19</f>
        <v>100</v>
      </c>
      <c r="V19" s="705" t="s">
        <v>14</v>
      </c>
      <c r="W19" s="706">
        <f>J19</f>
        <v>100</v>
      </c>
      <c r="X19" s="1355"/>
      <c r="Y19" s="370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6"/>
      <c r="Q20" s="1352"/>
      <c r="R20" s="705"/>
      <c r="S20" s="706"/>
      <c r="T20" s="705"/>
      <c r="U20" s="706"/>
      <c r="V20" s="705"/>
      <c r="W20" s="706"/>
      <c r="X20" s="1355"/>
      <c r="Y20" s="3706"/>
      <c r="Z20" s="1356"/>
      <c r="AA20" s="1353"/>
      <c r="AB20" s="1353"/>
      <c r="AC20" s="1353"/>
    </row>
    <row r="21" spans="1:29" ht="82.8">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6"/>
      <c r="Q21" s="1352" t="str">
        <f t="shared" si="8"/>
        <v>环境状况</v>
      </c>
      <c r="R21" s="705" t="s">
        <v>14</v>
      </c>
      <c r="S21" s="706">
        <f>F21</f>
        <v>100</v>
      </c>
      <c r="T21" s="705" t="s">
        <v>14</v>
      </c>
      <c r="U21" s="706">
        <f>H21</f>
        <v>100</v>
      </c>
      <c r="V21" s="705" t="s">
        <v>14</v>
      </c>
      <c r="W21" s="706">
        <f>J21</f>
        <v>100</v>
      </c>
      <c r="X21" s="1355"/>
      <c r="Y21" s="370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6"/>
      <c r="Q22" s="1352"/>
      <c r="R22" s="705"/>
      <c r="S22" s="706"/>
      <c r="T22" s="705"/>
      <c r="U22" s="706"/>
      <c r="V22" s="705"/>
      <c r="W22" s="706"/>
      <c r="X22" s="1355"/>
      <c r="Y22" s="3706"/>
      <c r="Z22" s="1356"/>
      <c r="AA22" s="1353">
        <v>1</v>
      </c>
      <c r="AB22" s="1353">
        <v>1</v>
      </c>
      <c r="AC22" s="1353">
        <v>1</v>
      </c>
    </row>
    <row r="23" spans="1:29" s="108" customFormat="1" ht="41.4">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6"/>
      <c r="Q23" s="1343" t="str">
        <f t="shared" si="8"/>
        <v>公共配套设施</v>
      </c>
      <c r="R23" s="701" t="s">
        <v>14</v>
      </c>
      <c r="S23" s="702">
        <f>F23</f>
        <v>100</v>
      </c>
      <c r="T23" s="701" t="s">
        <v>14</v>
      </c>
      <c r="U23" s="702">
        <f>H23</f>
        <v>100</v>
      </c>
      <c r="V23" s="701" t="s">
        <v>14</v>
      </c>
      <c r="W23" s="702">
        <f>J23</f>
        <v>100</v>
      </c>
      <c r="X23" s="703"/>
      <c r="Y23" s="370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6"/>
      <c r="Q24" s="1343"/>
      <c r="R24" s="701"/>
      <c r="S24" s="702"/>
      <c r="T24" s="701"/>
      <c r="U24" s="702"/>
      <c r="V24" s="701"/>
      <c r="W24" s="702"/>
      <c r="X24" s="703"/>
      <c r="Y24" s="3706"/>
      <c r="Z24" s="52"/>
      <c r="AA24" s="704">
        <v>1</v>
      </c>
      <c r="AB24" s="704">
        <v>1</v>
      </c>
      <c r="AC24" s="704">
        <v>1</v>
      </c>
    </row>
    <row r="25" spans="1:29" s="108" customFormat="1" ht="41.4">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6"/>
      <c r="Q25" s="1343" t="str">
        <f t="shared" ref="Q25" si="9">B25</f>
        <v>基础设施水平</v>
      </c>
      <c r="R25" s="701" t="s">
        <v>14</v>
      </c>
      <c r="S25" s="702">
        <f>F25</f>
        <v>100</v>
      </c>
      <c r="T25" s="701" t="s">
        <v>14</v>
      </c>
      <c r="U25" s="702">
        <f>H25</f>
        <v>100</v>
      </c>
      <c r="V25" s="701" t="s">
        <v>14</v>
      </c>
      <c r="W25" s="702">
        <f>J25</f>
        <v>100</v>
      </c>
      <c r="X25" s="703"/>
      <c r="Y25" s="370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6"/>
      <c r="Q26" s="1343"/>
      <c r="R26" s="701"/>
      <c r="S26" s="702"/>
      <c r="T26" s="701"/>
      <c r="U26" s="702"/>
      <c r="V26" s="701"/>
      <c r="W26" s="702"/>
      <c r="X26" s="703"/>
      <c r="Y26" s="3706"/>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6"/>
      <c r="Z27" s="1356" t="str">
        <f t="shared" ref="Z27:Z40" si="13">Q27</f>
        <v>临街状况</v>
      </c>
      <c r="AA27" s="1353">
        <f t="shared" si="3"/>
        <v>1</v>
      </c>
      <c r="AB27" s="1353">
        <f t="shared" si="4"/>
        <v>1</v>
      </c>
      <c r="AC27" s="1353">
        <f t="shared" si="5"/>
        <v>1</v>
      </c>
    </row>
    <row r="28" spans="1:29" ht="28.8">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6"/>
      <c r="Q28" s="1352" t="str">
        <f t="shared" si="8"/>
        <v>毗邻道路的类型与等级</v>
      </c>
      <c r="R28" s="705" t="s">
        <v>14</v>
      </c>
      <c r="S28" s="706">
        <f t="shared" si="10"/>
        <v>100</v>
      </c>
      <c r="T28" s="705" t="s">
        <v>14</v>
      </c>
      <c r="U28" s="706">
        <f t="shared" si="11"/>
        <v>100</v>
      </c>
      <c r="V28" s="705" t="s">
        <v>14</v>
      </c>
      <c r="W28" s="706">
        <f t="shared" si="12"/>
        <v>100</v>
      </c>
      <c r="X28" s="1355"/>
      <c r="Y28" s="370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6"/>
      <c r="Q29" s="1352"/>
      <c r="R29" s="705"/>
      <c r="S29" s="706"/>
      <c r="T29" s="705"/>
      <c r="U29" s="706"/>
      <c r="V29" s="705"/>
      <c r="W29" s="706"/>
      <c r="X29" s="1355"/>
      <c r="Y29" s="3706"/>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6"/>
      <c r="Q30" s="1352" t="str">
        <f t="shared" si="8"/>
        <v>土地级别</v>
      </c>
      <c r="R30" s="705" t="s">
        <v>14</v>
      </c>
      <c r="S30" s="706">
        <f t="shared" si="10"/>
        <v>100</v>
      </c>
      <c r="T30" s="705" t="s">
        <v>14</v>
      </c>
      <c r="U30" s="706">
        <f t="shared" si="11"/>
        <v>100</v>
      </c>
      <c r="V30" s="705" t="s">
        <v>14</v>
      </c>
      <c r="W30" s="706">
        <f t="shared" si="12"/>
        <v>100</v>
      </c>
      <c r="X30" s="1355"/>
      <c r="Y30" s="370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6"/>
      <c r="Q31" s="1352">
        <f t="shared" si="8"/>
        <v>111</v>
      </c>
      <c r="R31" s="705" t="s">
        <v>14</v>
      </c>
      <c r="S31" s="706">
        <f t="shared" si="10"/>
        <v>100</v>
      </c>
      <c r="T31" s="705" t="s">
        <v>14</v>
      </c>
      <c r="U31" s="706">
        <f t="shared" si="11"/>
        <v>100</v>
      </c>
      <c r="V31" s="705" t="s">
        <v>14</v>
      </c>
      <c r="W31" s="706">
        <f t="shared" si="12"/>
        <v>100</v>
      </c>
      <c r="X31" s="1355"/>
      <c r="Y31" s="370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67" t="s">
        <v>1695</v>
      </c>
      <c r="Q32" s="1352">
        <f t="shared" si="8"/>
        <v>111</v>
      </c>
      <c r="R32" s="705" t="s">
        <v>14</v>
      </c>
      <c r="S32" s="706">
        <f t="shared" si="10"/>
        <v>100</v>
      </c>
      <c r="T32" s="705" t="s">
        <v>14</v>
      </c>
      <c r="U32" s="706">
        <f t="shared" si="11"/>
        <v>100</v>
      </c>
      <c r="V32" s="705" t="s">
        <v>14</v>
      </c>
      <c r="W32" s="706">
        <f t="shared" si="12"/>
        <v>100</v>
      </c>
      <c r="X32" s="1355"/>
      <c r="Y32" s="3710" t="s">
        <v>1695</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10"/>
      <c r="Q33" s="1352">
        <f t="shared" si="8"/>
        <v>111</v>
      </c>
      <c r="R33" s="708" t="s">
        <v>14</v>
      </c>
      <c r="S33" s="709">
        <f t="shared" si="10"/>
        <v>100</v>
      </c>
      <c r="T33" s="708" t="s">
        <v>14</v>
      </c>
      <c r="U33" s="709">
        <f t="shared" si="11"/>
        <v>100</v>
      </c>
      <c r="V33" s="708" t="s">
        <v>14</v>
      </c>
      <c r="W33" s="709">
        <f t="shared" si="12"/>
        <v>100</v>
      </c>
      <c r="X33" s="710"/>
      <c r="Y33" s="3710"/>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10"/>
      <c r="Q34" s="1352" t="str">
        <f>B34</f>
        <v>宗地面积</v>
      </c>
      <c r="R34" s="705" t="s">
        <v>14</v>
      </c>
      <c r="S34" s="706" t="e">
        <f t="shared" si="10"/>
        <v>#N/A</v>
      </c>
      <c r="T34" s="705" t="s">
        <v>14</v>
      </c>
      <c r="U34" s="706" t="e">
        <f t="shared" si="11"/>
        <v>#N/A</v>
      </c>
      <c r="V34" s="705" t="s">
        <v>14</v>
      </c>
      <c r="W34" s="706" t="e">
        <f t="shared" si="12"/>
        <v>#N/A</v>
      </c>
      <c r="X34" s="1355"/>
      <c r="Y34" s="3710"/>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10"/>
      <c r="Q35" s="1352" t="str">
        <f t="shared" ref="Q35:Q40" si="14">B35</f>
        <v>宗地形状</v>
      </c>
      <c r="R35" s="705" t="s">
        <v>14</v>
      </c>
      <c r="S35" s="706">
        <f t="shared" si="10"/>
        <v>100</v>
      </c>
      <c r="T35" s="705" t="s">
        <v>14</v>
      </c>
      <c r="U35" s="706">
        <f t="shared" si="11"/>
        <v>100</v>
      </c>
      <c r="V35" s="705" t="s">
        <v>14</v>
      </c>
      <c r="W35" s="706">
        <f t="shared" si="12"/>
        <v>100</v>
      </c>
      <c r="X35" s="1355"/>
      <c r="Y35" s="3710"/>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10"/>
      <c r="Q36" s="1352" t="str">
        <f t="shared" si="14"/>
        <v>宗地开发程度</v>
      </c>
      <c r="R36" s="701" t="s">
        <v>14</v>
      </c>
      <c r="S36" s="702">
        <f t="shared" si="10"/>
        <v>100</v>
      </c>
      <c r="T36" s="701" t="s">
        <v>14</v>
      </c>
      <c r="U36" s="702">
        <f t="shared" si="11"/>
        <v>100</v>
      </c>
      <c r="V36" s="701" t="s">
        <v>14</v>
      </c>
      <c r="W36" s="702">
        <f t="shared" si="12"/>
        <v>100</v>
      </c>
      <c r="X36" s="703"/>
      <c r="Y36" s="3710"/>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10" t="s">
        <v>1695</v>
      </c>
      <c r="Q37" s="1352" t="str">
        <f t="shared" si="14"/>
        <v>工程地质条件</v>
      </c>
      <c r="R37" s="705" t="s">
        <v>14</v>
      </c>
      <c r="S37" s="706">
        <f t="shared" si="10"/>
        <v>100</v>
      </c>
      <c r="T37" s="705" t="s">
        <v>14</v>
      </c>
      <c r="U37" s="706">
        <f t="shared" si="11"/>
        <v>100</v>
      </c>
      <c r="V37" s="705" t="s">
        <v>14</v>
      </c>
      <c r="W37" s="706">
        <f t="shared" si="12"/>
        <v>100</v>
      </c>
      <c r="X37" s="1355"/>
      <c r="Y37" s="3710"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10"/>
      <c r="Q38" s="1352">
        <f t="shared" si="14"/>
        <v>111</v>
      </c>
      <c r="R38" s="705" t="s">
        <v>14</v>
      </c>
      <c r="S38" s="706">
        <f t="shared" si="10"/>
        <v>100</v>
      </c>
      <c r="T38" s="705" t="s">
        <v>14</v>
      </c>
      <c r="U38" s="706">
        <f t="shared" si="11"/>
        <v>100</v>
      </c>
      <c r="V38" s="705" t="s">
        <v>14</v>
      </c>
      <c r="W38" s="706">
        <f t="shared" si="12"/>
        <v>100</v>
      </c>
      <c r="X38" s="1355"/>
      <c r="Y38" s="371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10"/>
      <c r="Q39" s="1352">
        <f t="shared" si="14"/>
        <v>111</v>
      </c>
      <c r="R39" s="705" t="s">
        <v>14</v>
      </c>
      <c r="S39" s="706">
        <f t="shared" si="10"/>
        <v>100</v>
      </c>
      <c r="T39" s="705" t="s">
        <v>14</v>
      </c>
      <c r="U39" s="706">
        <f t="shared" si="11"/>
        <v>100</v>
      </c>
      <c r="V39" s="705" t="s">
        <v>14</v>
      </c>
      <c r="W39" s="706">
        <f t="shared" si="12"/>
        <v>100</v>
      </c>
      <c r="X39" s="1355"/>
      <c r="Y39" s="3710"/>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10"/>
      <c r="Q40" s="1352">
        <f t="shared" si="14"/>
        <v>111</v>
      </c>
      <c r="R40" s="708" t="s">
        <v>14</v>
      </c>
      <c r="S40" s="709">
        <f t="shared" si="10"/>
        <v>100</v>
      </c>
      <c r="T40" s="708" t="s">
        <v>14</v>
      </c>
      <c r="U40" s="709">
        <f t="shared" si="11"/>
        <v>100</v>
      </c>
      <c r="V40" s="708" t="s">
        <v>14</v>
      </c>
      <c r="W40" s="709">
        <f t="shared" si="12"/>
        <v>100</v>
      </c>
      <c r="X40" s="710"/>
      <c r="Y40" s="3710"/>
      <c r="Z40" s="711">
        <f t="shared" si="13"/>
        <v>111</v>
      </c>
      <c r="AA40" s="1353">
        <f t="shared" si="3"/>
        <v>1</v>
      </c>
      <c r="AB40" s="1353">
        <f t="shared" si="4"/>
        <v>1</v>
      </c>
      <c r="AC40" s="1353">
        <f t="shared" si="5"/>
        <v>1</v>
      </c>
    </row>
    <row r="41" spans="1:31" ht="14.4">
      <c r="A41" s="430" t="s">
        <v>1843</v>
      </c>
      <c r="B41" s="1982" t="s">
        <v>1921</v>
      </c>
      <c r="C41" s="630" t="s">
        <v>0</v>
      </c>
      <c r="D41" s="432"/>
      <c r="E41" s="433"/>
      <c r="F41" s="434"/>
      <c r="G41" s="435"/>
      <c r="H41" s="436"/>
      <c r="I41" s="433"/>
      <c r="J41" s="436"/>
      <c r="K41" s="714"/>
      <c r="L41" s="2724"/>
      <c r="M41" s="2716"/>
      <c r="N41" s="2716"/>
      <c r="O41" s="2725"/>
      <c r="P41" s="3703" t="str">
        <f>A41</f>
        <v>成交单价</v>
      </c>
      <c r="Q41" s="3703"/>
      <c r="R41" s="3734">
        <f>E41</f>
        <v>0</v>
      </c>
      <c r="S41" s="3734"/>
      <c r="T41" s="3734">
        <f>G41</f>
        <v>0</v>
      </c>
      <c r="U41" s="3734"/>
      <c r="V41" s="3734">
        <f>I41</f>
        <v>0</v>
      </c>
      <c r="W41" s="3734"/>
      <c r="X41" s="690"/>
      <c r="Y41" s="712"/>
      <c r="Z41" s="690"/>
      <c r="AA41" s="690"/>
      <c r="AB41" s="690"/>
      <c r="AC41" s="690"/>
    </row>
    <row r="42" spans="1:31" ht="15" thickBot="1">
      <c r="A42" s="437" t="s">
        <v>1792</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703" t="str">
        <f>A42</f>
        <v>比较价值（元/平方米）</v>
      </c>
      <c r="Q42" s="3703"/>
      <c r="R42" s="3769" t="e">
        <f>ROUND(PRODUCT(R41,AA7:AA40),0)</f>
        <v>#DIV/0!</v>
      </c>
      <c r="S42" s="3769"/>
      <c r="T42" s="3769" t="e">
        <f>ROUND(PRODUCT(T41,AB7:AB40),0)</f>
        <v>#DIV/0!</v>
      </c>
      <c r="U42" s="3769"/>
      <c r="V42" s="3769" t="e">
        <f>ROUND(PRODUCT(V41,AC7:AC40),0)</f>
        <v>#DIV/0!</v>
      </c>
      <c r="W42" s="3769"/>
      <c r="X42" s="690"/>
      <c r="Y42" s="690"/>
      <c r="Z42" s="690"/>
      <c r="AA42" s="690"/>
      <c r="AB42" s="690"/>
      <c r="AC42" s="690"/>
    </row>
    <row r="43" spans="1:31" ht="15" thickBot="1">
      <c r="A43" s="441" t="s">
        <v>1793</v>
      </c>
      <c r="B43" s="442"/>
      <c r="C43" s="443" t="e">
        <f>R43</f>
        <v>#DIV/0!</v>
      </c>
      <c r="D43" s="443"/>
      <c r="E43" s="443"/>
      <c r="F43" s="443"/>
      <c r="G43" s="443"/>
      <c r="H43" s="443"/>
      <c r="I43" s="443"/>
      <c r="J43" s="443"/>
      <c r="K43" s="715"/>
      <c r="L43" s="2724"/>
      <c r="M43" s="2716"/>
      <c r="N43" s="2716"/>
      <c r="O43" s="2725"/>
      <c r="P43" s="3700" t="str">
        <f>A43</f>
        <v>估价对象XX用房的比较价值（楼面单价，元/平方米）</v>
      </c>
      <c r="Q43" s="3701"/>
      <c r="R43" s="3770" t="e">
        <f>ROUND(IF(D42="简单平均",AVERAGE(R42:W42),R42*F42+T42*H42+V42*J42),0)</f>
        <v>#DIV/0!</v>
      </c>
      <c r="S43" s="3770"/>
      <c r="T43" s="3770"/>
      <c r="U43" s="3770"/>
      <c r="V43" s="3770"/>
      <c r="W43" s="3770"/>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1880</v>
      </c>
      <c r="B50" s="633" t="s">
        <v>1881</v>
      </c>
      <c r="C50" s="1983" t="s">
        <v>1882</v>
      </c>
      <c r="D50" s="1984" t="s">
        <v>1883</v>
      </c>
      <c r="E50" s="634" t="s">
        <v>1884</v>
      </c>
      <c r="F50" s="635" t="s">
        <v>1885</v>
      </c>
      <c r="G50" s="3718" t="s">
        <v>1886</v>
      </c>
      <c r="H50" s="3771"/>
      <c r="I50" s="1356" t="s">
        <v>1922</v>
      </c>
      <c r="J50" s="1356">
        <f>项目基本情况!F35</f>
        <v>0</v>
      </c>
      <c r="K50" s="1986" t="s">
        <v>1888</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1889</v>
      </c>
      <c r="B51" s="637" t="e">
        <f>C43</f>
        <v>#DIV/0!</v>
      </c>
      <c r="C51" s="638">
        <v>1</v>
      </c>
      <c r="D51" s="944">
        <v>1</v>
      </c>
      <c r="E51" s="638">
        <f>'数据-汇总表'!E8+'数据-汇总表'!E9</f>
        <v>102.54</v>
      </c>
      <c r="F51" s="639" t="e">
        <f t="shared" ref="F51:F60" si="15">ROUND(B51*E51/10000,0)</f>
        <v>#DIV/0!</v>
      </c>
      <c r="G51" s="3714"/>
      <c r="H51" s="370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1890</v>
      </c>
      <c r="B52" s="218" t="e">
        <f>ROUND($C$43*C52*D52,0)</f>
        <v>#DIV/0!</v>
      </c>
      <c r="C52" s="171">
        <f t="shared" ref="C52:C60" si="16">IF($C$50="北京市系数",I52,J52)</f>
        <v>0</v>
      </c>
      <c r="D52" s="945">
        <v>0.25</v>
      </c>
      <c r="E52" s="642"/>
      <c r="F52" s="639" t="e">
        <f t="shared" si="15"/>
        <v>#DIV/0!</v>
      </c>
      <c r="G52" s="3006" t="s">
        <v>1891</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1892</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1893</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1898</v>
      </c>
      <c r="B58" s="218" t="e">
        <f t="shared" si="17"/>
        <v>#DIV/0!</v>
      </c>
      <c r="C58" s="171">
        <f t="shared" si="16"/>
        <v>0.15</v>
      </c>
      <c r="D58" s="945">
        <v>0.25</v>
      </c>
      <c r="E58" s="217">
        <f>'数据-汇总表'!E13</f>
        <v>0</v>
      </c>
      <c r="F58" s="639" t="e">
        <f t="shared" si="15"/>
        <v>#DIV/0!</v>
      </c>
      <c r="G58" s="892" t="s">
        <v>1899</v>
      </c>
      <c r="H58" s="887" t="str">
        <f>IF(G58="商业",项目基本情况!B37,IF(G58="办公",项目基本情况!C37,IF(G58="住宅",项目基本情况!D37,项目基本情况!E37)))</f>
        <v>三级</v>
      </c>
      <c r="I58" s="773">
        <f>SUMIF(修正!A57:A68,H58,修正!G57:G68)</f>
        <v>0.15</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2013-5-1</v>
      </c>
      <c r="D63" s="692">
        <f>EDATE(C63,-3)</f>
        <v>41306</v>
      </c>
      <c r="E63" s="692">
        <f>EDATE(D63,-3)</f>
        <v>41214</v>
      </c>
      <c r="F63" s="692">
        <f t="shared" ref="F63:O63" si="18">EDATE(E63,-3)</f>
        <v>41122</v>
      </c>
      <c r="G63" s="692">
        <f t="shared" si="18"/>
        <v>41030</v>
      </c>
      <c r="H63" s="692">
        <f t="shared" si="18"/>
        <v>40940</v>
      </c>
      <c r="I63" s="692">
        <f t="shared" si="18"/>
        <v>40848</v>
      </c>
      <c r="J63" s="692">
        <f t="shared" si="18"/>
        <v>40756</v>
      </c>
      <c r="K63" s="692">
        <f t="shared" si="18"/>
        <v>40664</v>
      </c>
      <c r="L63" s="692">
        <f t="shared" si="18"/>
        <v>40575</v>
      </c>
      <c r="M63" s="692">
        <f t="shared" si="18"/>
        <v>40483</v>
      </c>
      <c r="N63" s="692">
        <f t="shared" si="18"/>
        <v>40391</v>
      </c>
      <c r="O63" s="692">
        <f t="shared" si="18"/>
        <v>40299</v>
      </c>
      <c r="P63" s="2725"/>
      <c r="Q63" s="2725"/>
      <c r="R63" s="2725"/>
      <c r="S63" s="2725"/>
      <c r="T63" s="2725"/>
      <c r="U63" s="2725"/>
      <c r="V63" s="2725"/>
      <c r="W63" s="2725"/>
      <c r="X63" s="2725"/>
      <c r="Y63" s="2725"/>
      <c r="Z63" s="2725"/>
      <c r="AA63" s="2725"/>
      <c r="AB63" s="2725"/>
      <c r="AC63" s="2725"/>
      <c r="AD63" s="2725"/>
      <c r="AE63" s="2725"/>
    </row>
    <row r="64" spans="1:31" ht="22.2" thickBot="1">
      <c r="A64" s="694" t="s">
        <v>1797</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1903</v>
      </c>
      <c r="B65" s="1109"/>
      <c r="C65" s="1182" t="str">
        <f>YEAR(C63)&amp;"-"&amp;ROUNDUP(MONTH(C63)/3,0)</f>
        <v>2013-2</v>
      </c>
      <c r="D65" s="1182" t="str">
        <f t="shared" ref="D65:O65" si="19">YEAR(D63)&amp;"-"&amp;ROUNDUP(MONTH(D63)/3,0)</f>
        <v>2013-1</v>
      </c>
      <c r="E65" s="1182" t="str">
        <f t="shared" si="19"/>
        <v>2012-4</v>
      </c>
      <c r="F65" s="1182" t="str">
        <f t="shared" si="19"/>
        <v>2012-3</v>
      </c>
      <c r="G65" s="1182" t="str">
        <f t="shared" si="19"/>
        <v>2012-2</v>
      </c>
      <c r="H65" s="1182" t="str">
        <f t="shared" si="19"/>
        <v>2012-1</v>
      </c>
      <c r="I65" s="1182" t="str">
        <f t="shared" si="19"/>
        <v>2011-4</v>
      </c>
      <c r="J65" s="1182" t="str">
        <f t="shared" si="19"/>
        <v>2011-3</v>
      </c>
      <c r="K65" s="1182" t="str">
        <f t="shared" si="19"/>
        <v>2011-2</v>
      </c>
      <c r="L65" s="1182" t="str">
        <f t="shared" si="19"/>
        <v>2011-1</v>
      </c>
      <c r="M65" s="1182" t="str">
        <f t="shared" si="19"/>
        <v>2010-4</v>
      </c>
      <c r="N65" s="1182" t="str">
        <f t="shared" si="19"/>
        <v>2010-3</v>
      </c>
      <c r="O65" s="1182" t="str">
        <f t="shared" si="19"/>
        <v>2010-2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1715</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1775</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1718</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1828</v>
      </c>
      <c r="C83" s="522" t="s">
        <v>1720</v>
      </c>
      <c r="D83" s="522" t="s">
        <v>1721</v>
      </c>
      <c r="E83" s="522" t="s">
        <v>1722</v>
      </c>
      <c r="F83" s="522" t="s">
        <v>1723</v>
      </c>
      <c r="G83" s="522" t="s">
        <v>1724</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1725</v>
      </c>
      <c r="C85" s="527" t="s">
        <v>1720</v>
      </c>
      <c r="D85" s="527" t="s">
        <v>1721</v>
      </c>
      <c r="E85" s="527" t="s">
        <v>1722</v>
      </c>
      <c r="F85" s="527" t="s">
        <v>1723</v>
      </c>
      <c r="G85" s="527" t="s">
        <v>1724</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1906</v>
      </c>
      <c r="C87" s="522" t="s">
        <v>1720</v>
      </c>
      <c r="D87" s="522" t="s">
        <v>1721</v>
      </c>
      <c r="E87" s="522" t="s">
        <v>1722</v>
      </c>
      <c r="F87" s="522" t="s">
        <v>1723</v>
      </c>
      <c r="G87" s="522" t="s">
        <v>1724</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1907</v>
      </c>
      <c r="C89" s="522" t="s">
        <v>1720</v>
      </c>
      <c r="D89" s="522" t="s">
        <v>1721</v>
      </c>
      <c r="E89" s="522" t="s">
        <v>1722</v>
      </c>
      <c r="F89" s="522" t="s">
        <v>1723</v>
      </c>
      <c r="G89" s="522" t="s">
        <v>1724</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1777</v>
      </c>
      <c r="C91" s="522" t="s">
        <v>1720</v>
      </c>
      <c r="D91" s="522" t="s">
        <v>1721</v>
      </c>
      <c r="E91" s="522" t="s">
        <v>1722</v>
      </c>
      <c r="F91" s="522" t="s">
        <v>1723</v>
      </c>
      <c r="G91" s="522" t="s">
        <v>1724</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1924</v>
      </c>
      <c r="C93" s="608" t="s">
        <v>1798</v>
      </c>
      <c r="D93" s="608" t="s">
        <v>1799</v>
      </c>
      <c r="E93" s="608" t="s">
        <v>1800</v>
      </c>
      <c r="F93" s="608" t="s">
        <v>1801</v>
      </c>
      <c r="G93" s="608" t="s">
        <v>1802</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1908</v>
      </c>
      <c r="D95" s="488" t="s">
        <v>1909</v>
      </c>
      <c r="E95" s="488" t="s">
        <v>1910</v>
      </c>
      <c r="F95" s="488" t="s">
        <v>1911</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1814</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1872</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1913</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1915</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1916</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79" t="s">
        <v>2083</v>
      </c>
      <c r="D1" s="3780"/>
      <c r="E1" s="3780"/>
      <c r="F1" s="3780"/>
      <c r="G1" s="3780"/>
      <c r="H1" s="3780"/>
      <c r="I1" s="3780"/>
      <c r="J1" s="3780"/>
      <c r="K1" s="3780"/>
      <c r="L1" s="3780"/>
      <c r="M1" s="3780"/>
      <c r="N1" s="3780"/>
      <c r="O1" s="3780"/>
      <c r="P1" s="3780"/>
      <c r="Q1" s="3780"/>
      <c r="R1" s="3780"/>
      <c r="S1" s="3781"/>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2"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6">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76" t="s">
        <v>27</v>
      </c>
      <c r="D22" s="3777"/>
      <c r="E22" s="3777"/>
      <c r="F22" s="3777"/>
      <c r="G22" s="3777"/>
      <c r="H22" s="3777"/>
      <c r="I22" s="3777"/>
      <c r="J22" s="3777"/>
      <c r="K22" s="3777"/>
      <c r="L22" s="3777"/>
      <c r="M22" s="3777"/>
      <c r="N22" s="3777"/>
      <c r="O22" s="3777"/>
      <c r="P22" s="3777"/>
      <c r="Q22" s="3778"/>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2080</v>
      </c>
      <c r="B1" s="2147"/>
      <c r="C1" s="2147"/>
      <c r="D1" s="2147"/>
      <c r="E1" s="2147"/>
      <c r="F1" s="2793"/>
      <c r="G1" s="2793"/>
      <c r="H1" s="2793"/>
      <c r="I1" s="2793"/>
      <c r="J1" s="2793"/>
      <c r="K1" s="2793"/>
      <c r="L1" s="2793"/>
      <c r="M1" s="2793"/>
      <c r="N1" s="2793"/>
      <c r="O1" s="2793"/>
      <c r="P1" s="2793"/>
    </row>
    <row r="2" spans="1:16" ht="15.6">
      <c r="A2" s="2145" t="s">
        <v>2072</v>
      </c>
      <c r="B2" s="2602" t="e">
        <f ca="1">SUMIF(B6:B13,"&lt;&gt;#ref!",B6:B13)</f>
        <v>#DIV/0!</v>
      </c>
      <c r="C2" s="2145" t="s">
        <v>2073</v>
      </c>
      <c r="D2" s="2145" t="s">
        <v>2074</v>
      </c>
      <c r="E2" s="2612">
        <f ca="1">SUMIF(E6:E13,"&lt;&gt;#ref!",E6:E13)</f>
        <v>0</v>
      </c>
      <c r="F2" s="2793"/>
      <c r="G2" s="2793"/>
      <c r="H2" s="2793"/>
      <c r="I2" s="2793"/>
      <c r="J2" s="2793"/>
      <c r="K2" s="2793"/>
      <c r="L2" s="2793"/>
      <c r="M2" s="2793"/>
      <c r="N2" s="2793"/>
      <c r="O2" s="2793"/>
      <c r="P2" s="2793"/>
    </row>
    <row r="3" spans="1:16" ht="15.6">
      <c r="A3" s="2145" t="s">
        <v>2075</v>
      </c>
      <c r="B3" s="2602" t="e">
        <f ca="1">ROUND(B2*10000/E2,0)</f>
        <v>#DIV/0!</v>
      </c>
      <c r="C3" s="2145" t="s">
        <v>2081</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2076</v>
      </c>
      <c r="B5" s="2610" t="s">
        <v>2077</v>
      </c>
      <c r="C5" s="2146"/>
      <c r="D5" s="2793"/>
      <c r="E5" s="2611" t="s">
        <v>2078</v>
      </c>
      <c r="F5" s="2793"/>
      <c r="G5" s="2793"/>
      <c r="H5" s="2793"/>
      <c r="I5" s="2793"/>
      <c r="J5" s="2793"/>
      <c r="K5" s="2793"/>
      <c r="L5" s="2793"/>
      <c r="M5" s="2793"/>
      <c r="N5" s="2793"/>
      <c r="O5" s="2793"/>
      <c r="P5" s="2793"/>
    </row>
    <row r="6" spans="1:16" ht="15.6">
      <c r="A6" s="2609" t="s">
        <v>2079</v>
      </c>
      <c r="B6" s="2602" t="e">
        <f ca="1">SUMIF(INDIRECT("'"&amp;A6&amp;"'"&amp;"!A:A"),"总价",INDIRECT("'"&amp;A6&amp;"'"&amp;"!B:B"))</f>
        <v>#DIV/0!</v>
      </c>
      <c r="C6" s="2145" t="s">
        <v>2073</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2073</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2073</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2073</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2073</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2073</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2073</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2073</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 sqref="E1"/>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1925</v>
      </c>
      <c r="B1" s="197"/>
      <c r="C1" s="201" t="s">
        <v>1926</v>
      </c>
      <c r="D1" s="342">
        <f>SUM(D33:D34,D37:D42)</f>
        <v>0</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6">
      <c r="A2" s="201" t="s">
        <v>1933</v>
      </c>
      <c r="B2" s="204" t="e">
        <f>C30</f>
        <v>#DIV/0!</v>
      </c>
      <c r="C2" s="1999" t="s">
        <v>1934</v>
      </c>
      <c r="D2" s="2000" t="s">
        <v>1935</v>
      </c>
      <c r="E2" s="3422"/>
      <c r="F2" s="2000" t="s">
        <v>1936</v>
      </c>
      <c r="G2" s="2001">
        <f>IF(E2="商业",项目基本情况!B37,IF(E2="办公",项目基本情况!C37,IF(E2="住宅",项目基本情况!D37,IF(E2="工业",项目基本情况!E37,项目基本情况!F37))))</f>
        <v>0</v>
      </c>
      <c r="H2" s="2000" t="s">
        <v>1937</v>
      </c>
      <c r="I2" s="2001">
        <f>IF(E2="商业",项目基本情况!B38,IF(E2="办公",项目基本情况!C38,IF(E2="住宅",项目基本情况!D38,IF(E2="工业",项目基本情况!E38,项目基本情况!F38))))</f>
        <v>0</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1939</v>
      </c>
      <c r="B3" s="204" t="e">
        <f>ROUND(B2*10000/D1,0)</f>
        <v>#DIV/0!</v>
      </c>
      <c r="C3" s="1999" t="s">
        <v>1940</v>
      </c>
      <c r="D3" s="2000" t="s">
        <v>1941</v>
      </c>
      <c r="E3" s="3420"/>
      <c r="F3" s="2004"/>
      <c r="G3" s="752">
        <f>IF(F3="宗地容积率",'数据-汇总表'!I4,IF(F3="估价对象容积率",'数据-汇总表'!I6,'数据-汇总表'!I7))</f>
        <v>0</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789"/>
      <c r="B4" s="3790"/>
      <c r="C4" s="3790"/>
      <c r="D4" s="3791"/>
      <c r="E4" s="3791"/>
      <c r="F4" s="3791"/>
      <c r="G4" s="3791"/>
      <c r="H4" s="3791"/>
      <c r="I4" s="3791"/>
      <c r="J4" s="3792"/>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1946</v>
      </c>
      <c r="C5" s="753" t="e">
        <f>ROUND(IF(E2="商业",C6*C7*C17+C20,(IF(E2="住宅",C6*C13*C17+C20,IF(E2="办公",C6*C12*C17+C20,C6+C20)))),0)</f>
        <v>#DIV/0!</v>
      </c>
      <c r="D5" s="1339" t="e">
        <f>ROUND(C6*C17+C20,0)</f>
        <v>#DIV/0!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1948</v>
      </c>
      <c r="B6" s="2016" t="s">
        <v>1949</v>
      </c>
      <c r="C6" s="754">
        <f>SUMIF(L1:L12,G2,M1:M12)</f>
        <v>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3237</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1954</v>
      </c>
      <c r="X7" s="1214">
        <f>G2</f>
        <v>0</v>
      </c>
      <c r="Y7" s="1214" t="s">
        <v>1955</v>
      </c>
      <c r="Z7" s="1215">
        <f>G3</f>
        <v>0</v>
      </c>
      <c r="AA7" s="1216"/>
      <c r="AB7" s="1216"/>
      <c r="AC7" s="1217"/>
      <c r="AD7" s="1218"/>
      <c r="AE7" s="1218"/>
      <c r="AF7" s="1218"/>
      <c r="AG7" s="1218"/>
      <c r="AH7" s="1218"/>
      <c r="AI7" s="1218"/>
      <c r="AJ7" s="1219"/>
    </row>
    <row r="8" spans="1:36" ht="15">
      <c r="A8" s="3299"/>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86" t="s">
        <v>1959</v>
      </c>
      <c r="X8" s="3787"/>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9"/>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88"/>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88"/>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c r="D12" s="3307" t="s">
        <v>3240</v>
      </c>
      <c r="E12" s="3308" t="s">
        <v>3241</v>
      </c>
      <c r="F12" s="3309"/>
      <c r="G12" s="3310"/>
      <c r="H12" s="3310"/>
      <c r="I12" s="3310"/>
      <c r="J12" s="3311"/>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1981</v>
      </c>
      <c r="C13" s="755">
        <f>ROUND(C16*D16*E16*F16*G16*H16*I16*J16,4)</f>
        <v>0</v>
      </c>
      <c r="D13" s="2035" t="s">
        <v>1982</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1984</v>
      </c>
      <c r="C14" s="2041" t="s">
        <v>1985</v>
      </c>
      <c r="D14" s="1350" t="s">
        <v>1986</v>
      </c>
      <c r="E14" s="27" t="s">
        <v>1987</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1988</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93" t="s">
        <v>3254</v>
      </c>
      <c r="B20" s="167" t="s">
        <v>1993</v>
      </c>
      <c r="C20" s="3325" t="e">
        <f>ROUND(IF(F21="与级别开发程度一致",0,(G21-E21)/C21),0)</f>
        <v>#DIV/0!</v>
      </c>
      <c r="D20" s="3341" t="s">
        <v>1997</v>
      </c>
      <c r="E20" s="3342"/>
      <c r="F20" s="3799" t="s">
        <v>1994</v>
      </c>
      <c r="G20" s="3800"/>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794"/>
      <c r="B21" s="2164" t="s">
        <v>1996</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1999</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2000</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2001</v>
      </c>
      <c r="E23" s="761">
        <v>44197</v>
      </c>
      <c r="F23" s="2054" t="s">
        <v>2002</v>
      </c>
      <c r="G23" s="762">
        <f>'数据-取费表'!B2</f>
        <v>41424</v>
      </c>
      <c r="H23" s="3343" t="s">
        <v>3256</v>
      </c>
      <c r="I23" s="3344" t="str">
        <f>IF(H23="季度增幅（自定义）",SUMIF(N25:N28,E2,O25:O28),"")</f>
        <v/>
      </c>
      <c r="J23" s="3446" t="s">
        <v>3255</v>
      </c>
      <c r="K23" s="1125"/>
      <c r="L23" s="2055" t="s">
        <v>2003</v>
      </c>
      <c r="M23" s="1328">
        <f>ROUND(SUMIF(地价!B2:G2,E2,地价!B16:G16),0)</f>
        <v>0</v>
      </c>
      <c r="N23" s="2056" t="s">
        <v>2004</v>
      </c>
      <c r="O23" s="763" t="e">
        <f>ROUNDDOWN(DATEDIF(E23,G23,"M")/3,0)</f>
        <v>#NUM!</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2005</v>
      </c>
      <c r="C24" s="764" t="e">
        <f>ROUND(POWER(1+G24,J24-I24)*(POWER(1+G24,I24)-1)/(POWER(1+G24,J24)-1),4)</f>
        <v>#DIV/0!</v>
      </c>
      <c r="D24" s="2060" t="s">
        <v>2006</v>
      </c>
      <c r="E24" s="1335">
        <f>存贷款利率!E26/100</f>
        <v>4.3499999999999997E-2</v>
      </c>
      <c r="F24" s="2060" t="s">
        <v>1998</v>
      </c>
      <c r="G24" s="768">
        <f>SUMIF(M30:Q30,E2,M33:Q33)</f>
        <v>0</v>
      </c>
      <c r="H24" s="2060" t="s">
        <v>2007</v>
      </c>
      <c r="I24" s="769" t="e">
        <f>SUMIF('数据-取费表'!C6:C15,E2,'数据-取费表'!F6:F15)/COUNTIF('数据-取费表'!C6:C15,E2)</f>
        <v>#DIV/0!</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3335</v>
      </c>
      <c r="C25" s="771">
        <f>IF(B25="容积率修正",IF(G3&lt;10,D26,J26),C27)</f>
        <v>0</v>
      </c>
      <c r="D25" s="2067"/>
      <c r="E25" s="2067"/>
      <c r="F25" s="2067"/>
      <c r="G25" s="2067"/>
      <c r="H25" s="2067"/>
      <c r="I25" s="2067"/>
      <c r="J25" s="2068"/>
      <c r="K25" s="1125"/>
      <c r="L25" s="2788"/>
      <c r="M25" s="2788"/>
      <c r="N25" s="2069" t="s">
        <v>2012</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2013</v>
      </c>
      <c r="B26" s="2070" t="s">
        <v>2014</v>
      </c>
      <c r="C26" s="3345"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3258</v>
      </c>
      <c r="J26" s="772" t="str">
        <f>IF(G3&gt;=10,D115,"——")</f>
        <v>——</v>
      </c>
      <c r="K26" s="1125"/>
      <c r="L26" s="2788"/>
      <c r="M26" s="2788"/>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2019</v>
      </c>
      <c r="C28" s="760">
        <f>SUMIF(A47:A101,E2,B47:B101)</f>
        <v>0</v>
      </c>
      <c r="D28" s="2052"/>
      <c r="E28" s="2077"/>
      <c r="F28" s="2077"/>
      <c r="G28" s="2077"/>
      <c r="H28" s="2077"/>
      <c r="I28" s="2077"/>
      <c r="J28" s="2078"/>
      <c r="K28" s="1125"/>
      <c r="L28" s="2788"/>
      <c r="M28" s="2788"/>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2021</v>
      </c>
      <c r="C29" s="765"/>
      <c r="D29" s="2024"/>
      <c r="E29" s="2024"/>
      <c r="F29" s="2081"/>
      <c r="G29" s="2024"/>
      <c r="H29" s="2024"/>
      <c r="I29" s="2024"/>
      <c r="J29" s="2025"/>
      <c r="K29" s="1119"/>
      <c r="L29" s="1997"/>
      <c r="M29" s="1997"/>
      <c r="N29" s="2785" t="s">
        <v>2022</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2023</v>
      </c>
      <c r="C30" s="2321" t="e">
        <f>IF(B25="容积率修正",E33+SUM(E37:E42),SUM(V2:V16)+SUM(E37:E42))</f>
        <v>#DIV/0!</v>
      </c>
      <c r="D30" s="2083"/>
      <c r="E30" s="2046"/>
      <c r="F30" s="2084"/>
      <c r="G30" s="2046"/>
      <c r="H30" s="2046"/>
      <c r="I30" s="2046"/>
      <c r="J30" s="2085"/>
      <c r="K30" s="1119"/>
      <c r="L30" s="3351" t="s">
        <v>1935</v>
      </c>
      <c r="M30" s="3352" t="s">
        <v>1989</v>
      </c>
      <c r="N30" s="3352" t="s">
        <v>1990</v>
      </c>
      <c r="O30" s="3352" t="s">
        <v>1991</v>
      </c>
      <c r="P30" s="3352" t="s">
        <v>1992</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2024</v>
      </c>
      <c r="C31" s="766" t="e">
        <f>E34+SUM(I37:I42)</f>
        <v>#DIV/0!</v>
      </c>
      <c r="D31" s="2087"/>
      <c r="E31" s="2088"/>
      <c r="F31" s="2089"/>
      <c r="G31" s="2088"/>
      <c r="H31" s="2088"/>
      <c r="I31" s="2088"/>
      <c r="J31" s="2090"/>
      <c r="K31" s="1119"/>
      <c r="L31" s="3353" t="s">
        <v>1995</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2025</v>
      </c>
      <c r="C32" s="2093" t="s">
        <v>2026</v>
      </c>
      <c r="D32" s="2093" t="s">
        <v>2027</v>
      </c>
      <c r="E32" s="2094" t="s">
        <v>2028</v>
      </c>
      <c r="F32" s="2095"/>
      <c r="G32" s="2037"/>
      <c r="H32" s="2037"/>
      <c r="I32" s="2037"/>
      <c r="J32" s="2038"/>
      <c r="K32" s="1119"/>
      <c r="L32" s="3354" t="s">
        <v>1998</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2029</v>
      </c>
      <c r="C33" s="175" t="e">
        <f>ROUND(C5*C22*C23*C24*C25*C28,0)</f>
        <v>#DIV/0!</v>
      </c>
      <c r="D33" s="2098"/>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2030</v>
      </c>
      <c r="C34" s="187" t="e">
        <f>ROUND(IF(E2="工业",C33*M42,IF(B25="楼层修正",SUM(V2:V16)*M41*10000/D34,C33*M41)),0)</f>
        <v>#DIV/0!</v>
      </c>
      <c r="D34" s="2103"/>
      <c r="E34" s="773" t="e">
        <f>ROUND(IF(B25="楼层修正",SUM(V2:V16)*M40,C34*D34/10000),0)</f>
        <v>#DIV/0!</v>
      </c>
      <c r="F34" s="2104" t="s">
        <v>2031</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7" t="s">
        <v>3261</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2026</v>
      </c>
      <c r="D36" s="447" t="s">
        <v>2027</v>
      </c>
      <c r="E36" s="447" t="s">
        <v>2028</v>
      </c>
      <c r="F36" s="342" t="s">
        <v>2034</v>
      </c>
      <c r="G36" s="2112" t="s">
        <v>2026</v>
      </c>
      <c r="H36" s="2112" t="s">
        <v>2027</v>
      </c>
      <c r="I36" s="2112" t="s">
        <v>2028</v>
      </c>
      <c r="J36" s="243"/>
      <c r="K36" s="3357" t="s">
        <v>3265</v>
      </c>
      <c r="L36" s="3447">
        <f ca="1">'数据-取费表'!B40</f>
        <v>6.1500000000000006E-2</v>
      </c>
      <c r="M36" s="3358">
        <f ca="1">ROUND($L$36*(1+M31),3)</f>
        <v>7.6999999999999999E-2</v>
      </c>
      <c r="N36" s="3358">
        <f ca="1">ROUND($L$36*(1+N31),3)</f>
        <v>7.3999999999999996E-2</v>
      </c>
      <c r="O36" s="3358">
        <f ca="1">ROUND($L$36*(1+O31),3)</f>
        <v>7.0999999999999994E-2</v>
      </c>
      <c r="P36" s="3358">
        <f ca="1">ROUND($L$36*(1+P31),3)</f>
        <v>6.8000000000000005E-2</v>
      </c>
      <c r="Q36" s="3358">
        <f ca="1">ROUND($L$36*(1+Q31),3)</f>
        <v>7.0999999999999994E-2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97"/>
      <c r="B37" s="2113" t="s">
        <v>2035</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3266</v>
      </c>
      <c r="L37" s="3357">
        <f ca="1">L36+K38</f>
        <v>6.6500000000000004E-2</v>
      </c>
      <c r="M37" s="3358">
        <f ca="1">ROUND($L$37*(1+M31),3)</f>
        <v>8.3000000000000004E-2</v>
      </c>
      <c r="N37" s="3358">
        <f t="shared" ref="N37:Q37" ca="1" si="3">ROUND($L$37*(1+N31),3)</f>
        <v>0.08</v>
      </c>
      <c r="O37" s="3358">
        <f t="shared" ca="1" si="3"/>
        <v>7.5999999999999998E-2</v>
      </c>
      <c r="P37" s="3358">
        <f t="shared" ca="1" si="3"/>
        <v>7.2999999999999995E-2</v>
      </c>
      <c r="Q37" s="3358">
        <f t="shared" ca="1" si="3"/>
        <v>7.5999999999999998E-2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98"/>
      <c r="B38" s="2041" t="s">
        <v>2036</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98"/>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3267</v>
      </c>
      <c r="M41" s="2118">
        <v>0.25</v>
      </c>
      <c r="Z41" s="1120"/>
      <c r="AA41" s="1120"/>
      <c r="AB41" s="1120"/>
      <c r="AC41" s="1120"/>
      <c r="AD41" s="1120"/>
      <c r="AE41" s="1120"/>
      <c r="AF41" s="1120"/>
      <c r="AG41" s="1120"/>
      <c r="AH41" s="1120"/>
      <c r="AI41" s="1120"/>
      <c r="AJ41" s="1120"/>
    </row>
    <row r="42" spans="1:37" s="1119" customFormat="1" ht="13.8" thickBot="1">
      <c r="A42" s="2101"/>
      <c r="B42" s="2119" t="s">
        <v>2040</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2121</v>
      </c>
      <c r="C44" s="342" t="e">
        <f>ROUND(POWER(1+E44,H44-G44)*(POWER(1+E44,G44)-1)/(POWER(1+E44,H44)-1),4)</f>
        <v>#DIV/0!</v>
      </c>
      <c r="D44" s="171" t="s">
        <v>1998</v>
      </c>
      <c r="E44" s="2153">
        <f>G24</f>
        <v>0</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9.6">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2053</v>
      </c>
      <c r="B53" s="2135" t="s">
        <v>2054</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2056</v>
      </c>
      <c r="B55" s="2136" t="s">
        <v>2057</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2058</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2059</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9.6">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2053</v>
      </c>
      <c r="B64" s="2135" t="s">
        <v>2054</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2056</v>
      </c>
      <c r="B66" s="2136" t="s">
        <v>2057</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2058</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2059</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2.8">
      <c r="A72" s="2130" t="s">
        <v>2065</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2052</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2066</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2058</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2059</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2056</v>
      </c>
      <c r="B78" s="2136" t="s">
        <v>2057</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2060</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2067</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2068</v>
      </c>
      <c r="B81" s="2127">
        <f>1+E83</f>
        <v>1</v>
      </c>
      <c r="C81" s="741"/>
      <c r="D81" s="741"/>
      <c r="E81" s="742"/>
      <c r="F81" s="2129"/>
      <c r="G81" s="3"/>
      <c r="H81" s="3"/>
      <c r="I81" s="3"/>
      <c r="J81" s="4"/>
      <c r="K81" s="4"/>
      <c r="L81" s="4"/>
      <c r="M81" s="4"/>
      <c r="N81" s="4"/>
      <c r="Z81" s="1998"/>
      <c r="AA81" s="2053"/>
      <c r="AG81" s="1121"/>
      <c r="AK81" s="2053"/>
    </row>
    <row r="82" spans="1:37" ht="25.2">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9.6">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2066</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2058</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2059</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2056</v>
      </c>
      <c r="B89" s="2136" t="s">
        <v>2070</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95" t="s">
        <v>3294</v>
      </c>
      <c r="B103" s="3795"/>
      <c r="C103" s="3795"/>
      <c r="D103" s="3795"/>
      <c r="E103" s="3795"/>
      <c r="F103" s="3795"/>
      <c r="G103" s="3795"/>
      <c r="H103" s="3795"/>
      <c r="I103" s="3795"/>
      <c r="J103" s="3795"/>
      <c r="K103" s="3390"/>
      <c r="L103" s="3390"/>
      <c r="M103" s="3390"/>
      <c r="N103" s="3390"/>
    </row>
    <row r="104" spans="1:14">
      <c r="A104" s="3796" t="s">
        <v>3295</v>
      </c>
      <c r="B104" s="3796" t="s">
        <v>3296</v>
      </c>
      <c r="C104" s="3391" t="s">
        <v>3297</v>
      </c>
      <c r="D104" s="3392"/>
      <c r="E104" s="3392"/>
      <c r="F104" s="3392"/>
      <c r="G104" s="3392"/>
      <c r="H104" s="3392"/>
      <c r="I104" s="3392"/>
      <c r="J104" s="3393"/>
      <c r="K104" s="3394"/>
      <c r="L104" s="3394"/>
      <c r="M104" s="3394"/>
      <c r="N104" s="3394"/>
    </row>
    <row r="105" spans="1:14">
      <c r="A105" s="3796"/>
      <c r="B105" s="3796"/>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82"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83"/>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83"/>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83"/>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83"/>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83"/>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84"/>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85" t="s">
        <v>3311</v>
      </c>
      <c r="B113" s="3785"/>
      <c r="C113" s="3785"/>
      <c r="D113" s="3785"/>
      <c r="E113" s="3785"/>
      <c r="F113" s="3785"/>
      <c r="G113" s="3785"/>
      <c r="H113" s="3785"/>
      <c r="I113" s="3785"/>
      <c r="J113" s="3785"/>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3312</v>
      </c>
      <c r="B116" s="3416">
        <f>G3</f>
        <v>0</v>
      </c>
      <c r="C116" s="3400" t="s">
        <v>3313</v>
      </c>
      <c r="D116" s="3401">
        <f>SUMPRODUCT((A118:A122=F116)*(B117:M117=H116)*B118:M122)</f>
        <v>0</v>
      </c>
      <c r="E116" s="2000" t="s">
        <v>3314</v>
      </c>
      <c r="F116" s="3402">
        <f>E2</f>
        <v>0</v>
      </c>
      <c r="G116" s="2000" t="s">
        <v>3315</v>
      </c>
      <c r="H116" s="3402">
        <f>G2</f>
        <v>0</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3329</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3330</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3331</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810" t="s">
        <v>2607</v>
      </c>
      <c r="B20" s="3805" t="s">
        <v>2628</v>
      </c>
      <c r="C20" s="3103" t="s">
        <v>2439</v>
      </c>
      <c r="D20" s="3104"/>
      <c r="E20" s="3105">
        <v>1</v>
      </c>
      <c r="F20" s="3106" t="s">
        <v>2440</v>
      </c>
      <c r="G20" s="3106"/>
    </row>
    <row r="21" spans="1:13" ht="19.5" customHeight="1">
      <c r="A21" s="3811"/>
      <c r="B21" s="3804"/>
      <c r="C21" s="3107" t="s">
        <v>2441</v>
      </c>
      <c r="D21" s="3108"/>
      <c r="E21" s="3109">
        <v>1</v>
      </c>
      <c r="F21" s="3106" t="s">
        <v>2442</v>
      </c>
      <c r="G21" s="3106"/>
    </row>
    <row r="22" spans="1:13" ht="19.5" customHeight="1">
      <c r="A22" s="3811"/>
      <c r="B22" s="3804"/>
      <c r="C22" s="3107" t="s">
        <v>2443</v>
      </c>
      <c r="D22" s="3108"/>
      <c r="E22" s="3109">
        <v>0.9</v>
      </c>
      <c r="F22" s="3106" t="s">
        <v>2444</v>
      </c>
      <c r="G22" s="3106"/>
    </row>
    <row r="23" spans="1:13" ht="19.5" customHeight="1">
      <c r="A23" s="3811"/>
      <c r="B23" s="3804"/>
      <c r="C23" s="3107" t="s">
        <v>2445</v>
      </c>
      <c r="D23" s="3108"/>
      <c r="E23" s="3109">
        <v>0.9</v>
      </c>
      <c r="F23" s="3106" t="s">
        <v>2446</v>
      </c>
      <c r="G23" s="3106"/>
    </row>
    <row r="24" spans="1:13" ht="19.5" customHeight="1">
      <c r="A24" s="3811"/>
      <c r="B24" s="3804"/>
      <c r="C24" s="3107" t="s">
        <v>2447</v>
      </c>
      <c r="D24" s="3108"/>
      <c r="E24" s="3109">
        <v>0.8</v>
      </c>
      <c r="F24" s="3106" t="s">
        <v>2448</v>
      </c>
      <c r="G24" s="3106"/>
    </row>
    <row r="25" spans="1:13" ht="19.5" customHeight="1" thickBot="1">
      <c r="A25" s="3812"/>
      <c r="B25" s="3806"/>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807" t="s">
        <v>2631</v>
      </c>
      <c r="B27" s="3805" t="s">
        <v>2612</v>
      </c>
      <c r="C27" s="3103" t="s">
        <v>2452</v>
      </c>
      <c r="D27" s="3104"/>
      <c r="E27" s="3105">
        <v>1</v>
      </c>
      <c r="F27" s="3106" t="s">
        <v>2453</v>
      </c>
      <c r="G27" s="3106"/>
    </row>
    <row r="28" spans="1:13" ht="19.5" customHeight="1">
      <c r="A28" s="3808"/>
      <c r="B28" s="3804"/>
      <c r="C28" s="3107" t="s">
        <v>2454</v>
      </c>
      <c r="D28" s="3108"/>
      <c r="E28" s="3109">
        <v>1</v>
      </c>
      <c r="F28" s="3106" t="s">
        <v>2455</v>
      </c>
      <c r="G28" s="3106"/>
    </row>
    <row r="29" spans="1:13" ht="19.5" customHeight="1">
      <c r="A29" s="3808"/>
      <c r="B29" s="3804"/>
      <c r="C29" s="3107" t="s">
        <v>2456</v>
      </c>
      <c r="D29" s="3108"/>
      <c r="E29" s="3109">
        <v>0.8</v>
      </c>
      <c r="F29" s="3106" t="s">
        <v>2457</v>
      </c>
      <c r="G29" s="3106"/>
    </row>
    <row r="30" spans="1:13" ht="19.5" customHeight="1">
      <c r="A30" s="3808"/>
      <c r="B30" s="3804"/>
      <c r="C30" s="3107" t="s">
        <v>2458</v>
      </c>
      <c r="D30" s="3108"/>
      <c r="E30" s="3109">
        <v>0.8</v>
      </c>
      <c r="F30" s="3106" t="s">
        <v>2459</v>
      </c>
      <c r="G30" s="3106"/>
    </row>
    <row r="31" spans="1:13" ht="19.5" customHeight="1">
      <c r="A31" s="3808"/>
      <c r="B31" s="3804"/>
      <c r="C31" s="3107" t="s">
        <v>2460</v>
      </c>
      <c r="D31" s="3108"/>
      <c r="E31" s="3109">
        <v>0.8</v>
      </c>
      <c r="F31" s="3106" t="s">
        <v>2461</v>
      </c>
      <c r="G31" s="3106"/>
    </row>
    <row r="32" spans="1:13" ht="19.5" customHeight="1">
      <c r="A32" s="3808"/>
      <c r="B32" s="3804"/>
      <c r="C32" s="3107" t="s">
        <v>2462</v>
      </c>
      <c r="D32" s="3108"/>
      <c r="E32" s="3109">
        <v>0.7</v>
      </c>
      <c r="F32" s="3106" t="s">
        <v>2463</v>
      </c>
      <c r="G32" s="3106"/>
    </row>
    <row r="33" spans="1:7" ht="19.5" customHeight="1">
      <c r="A33" s="3808"/>
      <c r="B33" s="3804"/>
      <c r="C33" s="3107" t="s">
        <v>2464</v>
      </c>
      <c r="D33" s="3108"/>
      <c r="E33" s="3109">
        <v>0.8</v>
      </c>
      <c r="F33" s="3106" t="s">
        <v>2465</v>
      </c>
      <c r="G33" s="3106"/>
    </row>
    <row r="34" spans="1:7" ht="19.5" customHeight="1">
      <c r="A34" s="3808"/>
      <c r="B34" s="3804"/>
      <c r="C34" s="3107" t="s">
        <v>2466</v>
      </c>
      <c r="D34" s="3108"/>
      <c r="E34" s="3109">
        <v>0.6</v>
      </c>
      <c r="F34" s="3106" t="s">
        <v>2467</v>
      </c>
      <c r="G34" s="3106"/>
    </row>
    <row r="35" spans="1:7" ht="19.5" customHeight="1">
      <c r="A35" s="3808"/>
      <c r="B35" s="3804"/>
      <c r="C35" s="3107" t="s">
        <v>2468</v>
      </c>
      <c r="D35" s="3108"/>
      <c r="E35" s="3109">
        <v>0.2</v>
      </c>
      <c r="F35" s="3106" t="s">
        <v>2469</v>
      </c>
      <c r="G35" s="3106"/>
    </row>
    <row r="36" spans="1:7" ht="19.5" customHeight="1">
      <c r="A36" s="3808"/>
      <c r="B36" s="3804"/>
      <c r="C36" s="3107" t="s">
        <v>2470</v>
      </c>
      <c r="D36" s="3108"/>
      <c r="E36" s="3109">
        <v>0.2</v>
      </c>
      <c r="F36" s="3106" t="s">
        <v>2471</v>
      </c>
      <c r="G36" s="3106"/>
    </row>
    <row r="37" spans="1:7" ht="19.5" customHeight="1">
      <c r="A37" s="3808"/>
      <c r="B37" s="3802" t="s">
        <v>2632</v>
      </c>
      <c r="C37" s="3107" t="s">
        <v>2472</v>
      </c>
      <c r="D37" s="3108"/>
      <c r="E37" s="3109">
        <v>0.6</v>
      </c>
      <c r="F37" s="3106" t="s">
        <v>2473</v>
      </c>
      <c r="G37" s="3106"/>
    </row>
    <row r="38" spans="1:7" ht="19.5" customHeight="1">
      <c r="A38" s="3808"/>
      <c r="B38" s="3804"/>
      <c r="C38" s="3107" t="s">
        <v>2474</v>
      </c>
      <c r="D38" s="3108"/>
      <c r="E38" s="3109">
        <v>0.6</v>
      </c>
      <c r="F38" s="3106" t="s">
        <v>2475</v>
      </c>
      <c r="G38" s="3106"/>
    </row>
    <row r="39" spans="1:7" ht="19.5" customHeight="1" thickBot="1">
      <c r="A39" s="3809"/>
      <c r="B39" s="3806"/>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810" t="s">
        <v>2610</v>
      </c>
      <c r="B41" s="3805" t="s">
        <v>2634</v>
      </c>
      <c r="C41" s="3103" t="s">
        <v>2479</v>
      </c>
      <c r="D41" s="3104"/>
      <c r="E41" s="3105">
        <v>1</v>
      </c>
      <c r="F41" s="3106" t="s">
        <v>2480</v>
      </c>
      <c r="G41" s="3106"/>
    </row>
    <row r="42" spans="1:7" ht="19.5" customHeight="1">
      <c r="A42" s="3811"/>
      <c r="B42" s="3804"/>
      <c r="C42" s="3107" t="s">
        <v>2481</v>
      </c>
      <c r="D42" s="3108"/>
      <c r="E42" s="3109">
        <v>1</v>
      </c>
      <c r="F42" s="3106" t="s">
        <v>2482</v>
      </c>
      <c r="G42" s="3106"/>
    </row>
    <row r="43" spans="1:7" ht="19.5" customHeight="1">
      <c r="A43" s="3811"/>
      <c r="B43" s="3803"/>
      <c r="C43" s="3107" t="s">
        <v>2483</v>
      </c>
      <c r="D43" s="3108"/>
      <c r="E43" s="3109">
        <v>1.5</v>
      </c>
      <c r="F43" s="3106" t="s">
        <v>2484</v>
      </c>
      <c r="G43" s="3106"/>
    </row>
    <row r="44" spans="1:7" ht="19.5" customHeight="1">
      <c r="A44" s="3811"/>
      <c r="B44" s="3118" t="s">
        <v>2635</v>
      </c>
      <c r="C44" s="3107" t="s">
        <v>2636</v>
      </c>
      <c r="D44" s="3108"/>
      <c r="E44" s="3109">
        <v>2</v>
      </c>
      <c r="F44" s="3106" t="s">
        <v>2485</v>
      </c>
      <c r="G44" s="3106"/>
    </row>
    <row r="45" spans="1:7" ht="19.5" customHeight="1">
      <c r="A45" s="3811"/>
      <c r="B45" s="3802" t="s">
        <v>2637</v>
      </c>
      <c r="C45" s="3107" t="s">
        <v>2486</v>
      </c>
      <c r="D45" s="3108"/>
      <c r="E45" s="3109">
        <v>1</v>
      </c>
      <c r="F45" s="3106" t="s">
        <v>2487</v>
      </c>
      <c r="G45" s="3106"/>
    </row>
    <row r="46" spans="1:7" ht="19.5" customHeight="1">
      <c r="A46" s="3811"/>
      <c r="B46" s="3804"/>
      <c r="C46" s="3107" t="s">
        <v>2488</v>
      </c>
      <c r="D46" s="3108"/>
      <c r="E46" s="3109">
        <v>1</v>
      </c>
      <c r="F46" s="3106" t="s">
        <v>2489</v>
      </c>
      <c r="G46" s="3106"/>
    </row>
    <row r="47" spans="1:7" ht="19.5" customHeight="1">
      <c r="A47" s="3811"/>
      <c r="B47" s="3804"/>
      <c r="C47" s="3107" t="s">
        <v>2490</v>
      </c>
      <c r="D47" s="3108"/>
      <c r="E47" s="3109">
        <v>1</v>
      </c>
      <c r="F47" s="3106" t="s">
        <v>2491</v>
      </c>
      <c r="G47" s="3106"/>
    </row>
    <row r="48" spans="1:7" ht="19.5" customHeight="1">
      <c r="A48" s="3811"/>
      <c r="B48" s="3804"/>
      <c r="C48" s="3107" t="s">
        <v>2492</v>
      </c>
      <c r="D48" s="3108"/>
      <c r="E48" s="3109">
        <v>1</v>
      </c>
      <c r="F48" s="3106" t="s">
        <v>2493</v>
      </c>
      <c r="G48" s="3106"/>
    </row>
    <row r="49" spans="1:7" ht="19.5" customHeight="1">
      <c r="A49" s="3811"/>
      <c r="B49" s="3804"/>
      <c r="C49" s="3107" t="s">
        <v>2494</v>
      </c>
      <c r="D49" s="3108"/>
      <c r="E49" s="3109">
        <v>1</v>
      </c>
      <c r="F49" s="3106" t="s">
        <v>2495</v>
      </c>
      <c r="G49" s="3106"/>
    </row>
    <row r="50" spans="1:7" ht="19.5" customHeight="1">
      <c r="A50" s="3811"/>
      <c r="B50" s="3804"/>
      <c r="C50" s="3107" t="s">
        <v>2496</v>
      </c>
      <c r="D50" s="3108"/>
      <c r="E50" s="3109">
        <v>1</v>
      </c>
      <c r="F50" s="3106" t="s">
        <v>2497</v>
      </c>
      <c r="G50" s="3106"/>
    </row>
    <row r="51" spans="1:7" ht="19.5" customHeight="1" thickBot="1">
      <c r="A51" s="3812"/>
      <c r="B51" s="3806"/>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4.4">
      <c r="A72" s="3118"/>
      <c r="B72" s="3118"/>
      <c r="C72" s="3118" t="s">
        <v>2650</v>
      </c>
      <c r="D72" s="3118"/>
      <c r="E72" s="3118" t="s">
        <v>2621</v>
      </c>
      <c r="F72" s="3118" t="s">
        <v>2621</v>
      </c>
    </row>
    <row r="73" spans="1:7" ht="14.4">
      <c r="A73" s="3118">
        <v>1</v>
      </c>
      <c r="B73" s="3802" t="s">
        <v>2651</v>
      </c>
      <c r="C73" s="3092" t="s">
        <v>2652</v>
      </c>
      <c r="D73" s="3092" t="s">
        <v>2653</v>
      </c>
      <c r="E73" s="3118">
        <v>0.2</v>
      </c>
      <c r="F73" s="3118">
        <v>25</v>
      </c>
    </row>
    <row r="74" spans="1:7" ht="24">
      <c r="A74" s="3118">
        <v>2</v>
      </c>
      <c r="B74" s="3804"/>
      <c r="C74" s="3092" t="s">
        <v>2654</v>
      </c>
      <c r="D74" s="3092" t="s">
        <v>2655</v>
      </c>
      <c r="E74" s="3118">
        <v>0.2</v>
      </c>
      <c r="F74" s="3118">
        <v>25</v>
      </c>
    </row>
    <row r="75" spans="1:7" ht="24">
      <c r="A75" s="3118">
        <v>3</v>
      </c>
      <c r="B75" s="3804"/>
      <c r="C75" s="3092" t="s">
        <v>2656</v>
      </c>
      <c r="D75" s="3092" t="s">
        <v>2657</v>
      </c>
      <c r="E75" s="3118">
        <v>0.2</v>
      </c>
      <c r="F75" s="3118">
        <v>25</v>
      </c>
    </row>
    <row r="76" spans="1:7" ht="14.4">
      <c r="A76" s="3118">
        <v>4</v>
      </c>
      <c r="B76" s="3804"/>
      <c r="C76" s="3092" t="s">
        <v>2658</v>
      </c>
      <c r="D76" s="3092" t="s">
        <v>2659</v>
      </c>
      <c r="E76" s="3118">
        <v>0.15</v>
      </c>
      <c r="F76" s="3118">
        <v>20</v>
      </c>
    </row>
    <row r="77" spans="1:7" ht="24">
      <c r="A77" s="3118">
        <v>5</v>
      </c>
      <c r="B77" s="3804"/>
      <c r="C77" s="3092" t="s">
        <v>2660</v>
      </c>
      <c r="D77" s="3092" t="s">
        <v>2661</v>
      </c>
      <c r="E77" s="3118">
        <v>0.15</v>
      </c>
      <c r="F77" s="3118">
        <v>20</v>
      </c>
    </row>
    <row r="78" spans="1:7" ht="24">
      <c r="A78" s="3118">
        <v>6</v>
      </c>
      <c r="B78" s="3804"/>
      <c r="C78" s="3092" t="s">
        <v>2662</v>
      </c>
      <c r="D78" s="3092" t="s">
        <v>2663</v>
      </c>
      <c r="E78" s="3118">
        <v>0.15</v>
      </c>
      <c r="F78" s="3118">
        <v>20</v>
      </c>
    </row>
    <row r="79" spans="1:7" ht="24">
      <c r="A79" s="3118">
        <v>7</v>
      </c>
      <c r="B79" s="3804"/>
      <c r="C79" s="3092" t="s">
        <v>2664</v>
      </c>
      <c r="D79" s="3092" t="s">
        <v>2665</v>
      </c>
      <c r="E79" s="3118">
        <v>0.15</v>
      </c>
      <c r="F79" s="3118">
        <v>20</v>
      </c>
    </row>
    <row r="80" spans="1:7" ht="24">
      <c r="A80" s="3118">
        <v>8</v>
      </c>
      <c r="B80" s="3804"/>
      <c r="C80" s="3092" t="s">
        <v>2666</v>
      </c>
      <c r="D80" s="3092" t="s">
        <v>2667</v>
      </c>
      <c r="E80" s="3118">
        <v>0.1</v>
      </c>
      <c r="F80" s="3118">
        <v>15</v>
      </c>
    </row>
    <row r="81" spans="1:6" ht="24">
      <c r="A81" s="3118">
        <v>9</v>
      </c>
      <c r="B81" s="3804"/>
      <c r="C81" s="3092" t="s">
        <v>2668</v>
      </c>
      <c r="D81" s="3092" t="s">
        <v>2669</v>
      </c>
      <c r="E81" s="3118">
        <v>0.1</v>
      </c>
      <c r="F81" s="3118">
        <v>15</v>
      </c>
    </row>
    <row r="82" spans="1:6" ht="24">
      <c r="A82" s="3118">
        <v>10</v>
      </c>
      <c r="B82" s="3804"/>
      <c r="C82" s="3092" t="s">
        <v>2670</v>
      </c>
      <c r="D82" s="3092" t="s">
        <v>2671</v>
      </c>
      <c r="E82" s="3118">
        <v>0.1</v>
      </c>
      <c r="F82" s="3118">
        <v>15</v>
      </c>
    </row>
    <row r="83" spans="1:6" ht="24">
      <c r="A83" s="3118">
        <v>11</v>
      </c>
      <c r="B83" s="3804"/>
      <c r="C83" s="3092" t="s">
        <v>2672</v>
      </c>
      <c r="D83" s="3092" t="s">
        <v>2673</v>
      </c>
      <c r="E83" s="3118">
        <v>0.1</v>
      </c>
      <c r="F83" s="3118">
        <v>15</v>
      </c>
    </row>
    <row r="84" spans="1:6" ht="24">
      <c r="A84" s="3118">
        <v>12</v>
      </c>
      <c r="B84" s="3804"/>
      <c r="C84" s="3092" t="s">
        <v>2674</v>
      </c>
      <c r="D84" s="3092" t="s">
        <v>2675</v>
      </c>
      <c r="E84" s="3118">
        <v>0.1</v>
      </c>
      <c r="F84" s="3118">
        <v>15</v>
      </c>
    </row>
    <row r="85" spans="1:6" ht="24">
      <c r="A85" s="3118">
        <v>13</v>
      </c>
      <c r="B85" s="3804"/>
      <c r="C85" s="3092" t="s">
        <v>2676</v>
      </c>
      <c r="D85" s="3092" t="s">
        <v>2677</v>
      </c>
      <c r="E85" s="3118">
        <v>0.1</v>
      </c>
      <c r="F85" s="3118">
        <v>15</v>
      </c>
    </row>
    <row r="86" spans="1:6" ht="24">
      <c r="A86" s="3118">
        <v>14</v>
      </c>
      <c r="B86" s="3804"/>
      <c r="C86" s="3092" t="s">
        <v>2678</v>
      </c>
      <c r="D86" s="3092" t="s">
        <v>2679</v>
      </c>
      <c r="E86" s="3118">
        <v>0.1</v>
      </c>
      <c r="F86" s="3118">
        <v>15</v>
      </c>
    </row>
    <row r="87" spans="1:6" ht="24">
      <c r="A87" s="3118">
        <v>15</v>
      </c>
      <c r="B87" s="3804"/>
      <c r="C87" s="3092" t="s">
        <v>2680</v>
      </c>
      <c r="D87" s="3092" t="s">
        <v>2681</v>
      </c>
      <c r="E87" s="3118">
        <v>0.1</v>
      </c>
      <c r="F87" s="3118">
        <v>15</v>
      </c>
    </row>
    <row r="88" spans="1:6" ht="24">
      <c r="A88" s="3118">
        <v>16</v>
      </c>
      <c r="B88" s="3804"/>
      <c r="C88" s="3092" t="s">
        <v>2682</v>
      </c>
      <c r="D88" s="3092" t="s">
        <v>2683</v>
      </c>
      <c r="E88" s="3118">
        <v>0.1</v>
      </c>
      <c r="F88" s="3118">
        <v>15</v>
      </c>
    </row>
    <row r="89" spans="1:6" ht="24">
      <c r="A89" s="3118">
        <v>17</v>
      </c>
      <c r="B89" s="3803"/>
      <c r="C89" s="3092" t="s">
        <v>2684</v>
      </c>
      <c r="D89" s="3092" t="s">
        <v>2685</v>
      </c>
      <c r="E89" s="3118">
        <v>0.1</v>
      </c>
      <c r="F89" s="3118">
        <v>15</v>
      </c>
    </row>
    <row r="90" spans="1:6" ht="14.4">
      <c r="A90" s="3118">
        <v>18</v>
      </c>
      <c r="B90" s="3802" t="s">
        <v>2686</v>
      </c>
      <c r="C90" s="3092" t="s">
        <v>2687</v>
      </c>
      <c r="D90" s="3092" t="s">
        <v>2688</v>
      </c>
      <c r="E90" s="3118">
        <v>0.2</v>
      </c>
      <c r="F90" s="3118">
        <v>25</v>
      </c>
    </row>
    <row r="91" spans="1:6" ht="24">
      <c r="A91" s="3118">
        <v>19</v>
      </c>
      <c r="B91" s="3804"/>
      <c r="C91" s="3092" t="s">
        <v>2689</v>
      </c>
      <c r="D91" s="3092" t="s">
        <v>2690</v>
      </c>
      <c r="E91" s="3118">
        <v>0.2</v>
      </c>
      <c r="F91" s="3118">
        <v>25</v>
      </c>
    </row>
    <row r="92" spans="1:6" ht="14.4">
      <c r="A92" s="3118">
        <v>20</v>
      </c>
      <c r="B92" s="3804"/>
      <c r="C92" s="3092" t="s">
        <v>2691</v>
      </c>
      <c r="D92" s="3092" t="s">
        <v>2692</v>
      </c>
      <c r="E92" s="3118">
        <v>0.15</v>
      </c>
      <c r="F92" s="3118">
        <v>20</v>
      </c>
    </row>
    <row r="93" spans="1:6" ht="24">
      <c r="A93" s="3118">
        <v>21</v>
      </c>
      <c r="B93" s="3804"/>
      <c r="C93" s="3092" t="s">
        <v>2693</v>
      </c>
      <c r="D93" s="3092" t="s">
        <v>2694</v>
      </c>
      <c r="E93" s="3118">
        <v>0.15</v>
      </c>
      <c r="F93" s="3118">
        <v>20</v>
      </c>
    </row>
    <row r="94" spans="1:6" ht="24">
      <c r="A94" s="3118">
        <v>22</v>
      </c>
      <c r="B94" s="3804"/>
      <c r="C94" s="3092" t="s">
        <v>2695</v>
      </c>
      <c r="D94" s="3092" t="s">
        <v>2696</v>
      </c>
      <c r="E94" s="3118">
        <v>0.15</v>
      </c>
      <c r="F94" s="3118">
        <v>20</v>
      </c>
    </row>
    <row r="95" spans="1:6" ht="36">
      <c r="A95" s="3118">
        <v>23</v>
      </c>
      <c r="B95" s="3804"/>
      <c r="C95" s="3092" t="s">
        <v>2697</v>
      </c>
      <c r="D95" s="3092" t="s">
        <v>2698</v>
      </c>
      <c r="E95" s="3118">
        <v>0.15</v>
      </c>
      <c r="F95" s="3118">
        <v>20</v>
      </c>
    </row>
    <row r="96" spans="1:6" ht="24">
      <c r="A96" s="3118">
        <v>24</v>
      </c>
      <c r="B96" s="3804"/>
      <c r="C96" s="3092" t="s">
        <v>2699</v>
      </c>
      <c r="D96" s="3092" t="s">
        <v>2700</v>
      </c>
      <c r="E96" s="3118">
        <v>0.1</v>
      </c>
      <c r="F96" s="3118">
        <v>15</v>
      </c>
    </row>
    <row r="97" spans="1:6" ht="24">
      <c r="A97" s="3118">
        <v>25</v>
      </c>
      <c r="B97" s="3804"/>
      <c r="C97" s="3092" t="s">
        <v>2701</v>
      </c>
      <c r="D97" s="3092" t="s">
        <v>2702</v>
      </c>
      <c r="E97" s="3118">
        <v>0.1</v>
      </c>
      <c r="F97" s="3118">
        <v>15</v>
      </c>
    </row>
    <row r="98" spans="1:6" ht="24">
      <c r="A98" s="3118">
        <v>26</v>
      </c>
      <c r="B98" s="3804"/>
      <c r="C98" s="3092" t="s">
        <v>2703</v>
      </c>
      <c r="D98" s="3092" t="s">
        <v>2704</v>
      </c>
      <c r="E98" s="3118">
        <v>0.1</v>
      </c>
      <c r="F98" s="3118">
        <v>15</v>
      </c>
    </row>
    <row r="99" spans="1:6" ht="24">
      <c r="A99" s="3118">
        <v>27</v>
      </c>
      <c r="B99" s="3804"/>
      <c r="C99" s="3092" t="s">
        <v>2705</v>
      </c>
      <c r="D99" s="3092" t="s">
        <v>2706</v>
      </c>
      <c r="E99" s="3118">
        <v>0.1</v>
      </c>
      <c r="F99" s="3118">
        <v>15</v>
      </c>
    </row>
    <row r="100" spans="1:6" ht="24">
      <c r="A100" s="3118">
        <v>28</v>
      </c>
      <c r="B100" s="3804"/>
      <c r="C100" s="3092" t="s">
        <v>2707</v>
      </c>
      <c r="D100" s="3092" t="s">
        <v>2708</v>
      </c>
      <c r="E100" s="3118">
        <v>0.1</v>
      </c>
      <c r="F100" s="3118">
        <v>15</v>
      </c>
    </row>
    <row r="101" spans="1:6" ht="24">
      <c r="A101" s="3118">
        <v>29</v>
      </c>
      <c r="B101" s="3804"/>
      <c r="C101" s="3092" t="s">
        <v>2709</v>
      </c>
      <c r="D101" s="3092" t="s">
        <v>2710</v>
      </c>
      <c r="E101" s="3118">
        <v>0.1</v>
      </c>
      <c r="F101" s="3118">
        <v>15</v>
      </c>
    </row>
    <row r="102" spans="1:6" ht="24">
      <c r="A102" s="3118">
        <v>30</v>
      </c>
      <c r="B102" s="3804"/>
      <c r="C102" s="3092" t="s">
        <v>2711</v>
      </c>
      <c r="D102" s="3092" t="s">
        <v>2712</v>
      </c>
      <c r="E102" s="3118">
        <v>0.1</v>
      </c>
      <c r="F102" s="3118">
        <v>15</v>
      </c>
    </row>
    <row r="103" spans="1:6" ht="24">
      <c r="A103" s="3118">
        <v>31</v>
      </c>
      <c r="B103" s="3804"/>
      <c r="C103" s="3092" t="s">
        <v>2713</v>
      </c>
      <c r="D103" s="3092" t="s">
        <v>2714</v>
      </c>
      <c r="E103" s="3118">
        <v>0.1</v>
      </c>
      <c r="F103" s="3118">
        <v>15</v>
      </c>
    </row>
    <row r="104" spans="1:6" ht="24">
      <c r="A104" s="3118">
        <v>32</v>
      </c>
      <c r="B104" s="3804"/>
      <c r="C104" s="3092" t="s">
        <v>2715</v>
      </c>
      <c r="D104" s="3092" t="s">
        <v>2716</v>
      </c>
      <c r="E104" s="3118">
        <v>0.1</v>
      </c>
      <c r="F104" s="3118">
        <v>15</v>
      </c>
    </row>
    <row r="105" spans="1:6" ht="24">
      <c r="A105" s="3118">
        <v>33</v>
      </c>
      <c r="B105" s="3804"/>
      <c r="C105" s="3092" t="s">
        <v>2717</v>
      </c>
      <c r="D105" s="3092" t="s">
        <v>2718</v>
      </c>
      <c r="E105" s="3118">
        <v>0.1</v>
      </c>
      <c r="F105" s="3118">
        <v>15</v>
      </c>
    </row>
    <row r="106" spans="1:6" ht="24">
      <c r="A106" s="3118">
        <v>34</v>
      </c>
      <c r="B106" s="3803"/>
      <c r="C106" s="3092" t="s">
        <v>2719</v>
      </c>
      <c r="D106" s="3092" t="s">
        <v>2720</v>
      </c>
      <c r="E106" s="3118">
        <v>0.1</v>
      </c>
      <c r="F106" s="3118">
        <v>15</v>
      </c>
    </row>
    <row r="107" spans="1:6" ht="36">
      <c r="A107" s="3118">
        <v>35</v>
      </c>
      <c r="B107" s="3802" t="s">
        <v>2721</v>
      </c>
      <c r="C107" s="3118" t="s">
        <v>2722</v>
      </c>
      <c r="D107" s="3092" t="s">
        <v>2723</v>
      </c>
      <c r="E107" s="3118">
        <v>0.15</v>
      </c>
      <c r="F107" s="3118">
        <v>20</v>
      </c>
    </row>
    <row r="108" spans="1:6" ht="24">
      <c r="A108" s="3118">
        <v>36</v>
      </c>
      <c r="B108" s="3804"/>
      <c r="C108" s="3118" t="s">
        <v>2724</v>
      </c>
      <c r="D108" s="3092" t="s">
        <v>2725</v>
      </c>
      <c r="E108" s="3118">
        <v>0.15</v>
      </c>
      <c r="F108" s="3118">
        <v>20</v>
      </c>
    </row>
    <row r="109" spans="1:6" ht="24">
      <c r="A109" s="3118">
        <v>37</v>
      </c>
      <c r="B109" s="3804"/>
      <c r="C109" s="3118" t="s">
        <v>2726</v>
      </c>
      <c r="D109" s="3092" t="s">
        <v>2727</v>
      </c>
      <c r="E109" s="3118">
        <v>0.15</v>
      </c>
      <c r="F109" s="3118">
        <v>20</v>
      </c>
    </row>
    <row r="110" spans="1:6" ht="24">
      <c r="A110" s="3118">
        <v>38</v>
      </c>
      <c r="B110" s="3804"/>
      <c r="C110" s="3118" t="s">
        <v>2728</v>
      </c>
      <c r="D110" s="3092" t="s">
        <v>2729</v>
      </c>
      <c r="E110" s="3118">
        <v>0.1</v>
      </c>
      <c r="F110" s="3118">
        <v>15</v>
      </c>
    </row>
    <row r="111" spans="1:6" ht="24">
      <c r="A111" s="3118">
        <v>39</v>
      </c>
      <c r="B111" s="3804"/>
      <c r="C111" s="3118" t="s">
        <v>2730</v>
      </c>
      <c r="D111" s="3092" t="s">
        <v>2731</v>
      </c>
      <c r="E111" s="3118">
        <v>0.1</v>
      </c>
      <c r="F111" s="3118">
        <v>15</v>
      </c>
    </row>
    <row r="112" spans="1:6" ht="24">
      <c r="A112" s="3118">
        <v>40</v>
      </c>
      <c r="B112" s="3803"/>
      <c r="C112" s="3118" t="s">
        <v>2732</v>
      </c>
      <c r="D112" s="3092" t="s">
        <v>2733</v>
      </c>
      <c r="E112" s="3118">
        <v>0.1</v>
      </c>
      <c r="F112" s="3118">
        <v>15</v>
      </c>
    </row>
    <row r="113" spans="1:6" ht="24">
      <c r="A113" s="3118">
        <v>41</v>
      </c>
      <c r="B113" s="3801" t="s">
        <v>2734</v>
      </c>
      <c r="C113" s="3118" t="s">
        <v>2735</v>
      </c>
      <c r="D113" s="3092" t="s">
        <v>2736</v>
      </c>
      <c r="E113" s="3118">
        <v>0.1</v>
      </c>
      <c r="F113" s="3118">
        <v>15</v>
      </c>
    </row>
    <row r="114" spans="1:6" ht="24">
      <c r="A114" s="3118">
        <v>42</v>
      </c>
      <c r="B114" s="3801"/>
      <c r="C114" s="3118" t="s">
        <v>2737</v>
      </c>
      <c r="D114" s="3092" t="s">
        <v>2738</v>
      </c>
      <c r="E114" s="3118">
        <v>0.1</v>
      </c>
      <c r="F114" s="3118">
        <v>15</v>
      </c>
    </row>
    <row r="115" spans="1:6" ht="24">
      <c r="A115" s="3118">
        <v>43</v>
      </c>
      <c r="B115" s="3801"/>
      <c r="C115" s="3118" t="s">
        <v>2739</v>
      </c>
      <c r="D115" s="3092" t="s">
        <v>2740</v>
      </c>
      <c r="E115" s="3118">
        <v>0.1</v>
      </c>
      <c r="F115" s="3118">
        <v>15</v>
      </c>
    </row>
    <row r="116" spans="1:6" ht="24">
      <c r="A116" s="3118">
        <v>44</v>
      </c>
      <c r="B116" s="3802" t="s">
        <v>2741</v>
      </c>
      <c r="C116" s="3118" t="s">
        <v>2742</v>
      </c>
      <c r="D116" s="3092" t="s">
        <v>2743</v>
      </c>
      <c r="E116" s="3118">
        <v>0.1</v>
      </c>
      <c r="F116" s="3118">
        <v>15</v>
      </c>
    </row>
    <row r="117" spans="1:6" ht="24">
      <c r="A117" s="3118">
        <v>45</v>
      </c>
      <c r="B117" s="3803"/>
      <c r="C117" s="3092" t="s">
        <v>2744</v>
      </c>
      <c r="D117" s="3092" t="s">
        <v>2745</v>
      </c>
      <c r="E117" s="3118">
        <v>0.1</v>
      </c>
      <c r="F117" s="3118">
        <v>15</v>
      </c>
    </row>
    <row r="118" spans="1:6" ht="24">
      <c r="A118" s="3118">
        <v>46</v>
      </c>
      <c r="B118" s="3802" t="s">
        <v>2746</v>
      </c>
      <c r="C118" s="3118" t="s">
        <v>2747</v>
      </c>
      <c r="D118" s="3092" t="s">
        <v>2748</v>
      </c>
      <c r="E118" s="3118">
        <v>0.1</v>
      </c>
      <c r="F118" s="3118">
        <v>15</v>
      </c>
    </row>
    <row r="119" spans="1:6" ht="24">
      <c r="A119" s="3118">
        <v>47</v>
      </c>
      <c r="B119" s="3803"/>
      <c r="C119" s="3118" t="s">
        <v>2749</v>
      </c>
      <c r="D119" s="3092" t="s">
        <v>2750</v>
      </c>
      <c r="E119" s="3118">
        <v>0.1</v>
      </c>
      <c r="F119" s="3118">
        <v>15</v>
      </c>
    </row>
    <row r="120" spans="1:6" ht="24">
      <c r="A120" s="3118">
        <v>48</v>
      </c>
      <c r="B120" s="3802" t="s">
        <v>2751</v>
      </c>
      <c r="C120" s="3118" t="s">
        <v>2752</v>
      </c>
      <c r="D120" s="3092" t="s">
        <v>2753</v>
      </c>
      <c r="E120" s="3118">
        <v>0.1</v>
      </c>
      <c r="F120" s="3118">
        <v>15</v>
      </c>
    </row>
    <row r="121" spans="1:6" ht="24">
      <c r="A121" s="3118">
        <v>49</v>
      </c>
      <c r="B121" s="3803"/>
      <c r="C121" s="3118" t="s">
        <v>2754</v>
      </c>
      <c r="D121" s="3092" t="s">
        <v>2755</v>
      </c>
      <c r="E121" s="3118">
        <v>0.1</v>
      </c>
      <c r="F121" s="3118">
        <v>15</v>
      </c>
    </row>
    <row r="122" spans="1:6" ht="24">
      <c r="A122" s="3118">
        <v>50</v>
      </c>
      <c r="B122" s="3801" t="s">
        <v>2756</v>
      </c>
      <c r="C122" s="3118" t="s">
        <v>2757</v>
      </c>
      <c r="D122" s="3092" t="s">
        <v>2758</v>
      </c>
      <c r="E122" s="3118">
        <v>0.1</v>
      </c>
      <c r="F122" s="3118">
        <v>15</v>
      </c>
    </row>
    <row r="123" spans="1:6" ht="24">
      <c r="A123" s="3118">
        <v>51</v>
      </c>
      <c r="B123" s="3801"/>
      <c r="C123" s="3118" t="s">
        <v>2759</v>
      </c>
      <c r="D123" s="3092" t="s">
        <v>2760</v>
      </c>
      <c r="E123" s="3118">
        <v>0.1</v>
      </c>
      <c r="F123" s="3118">
        <v>15</v>
      </c>
    </row>
    <row r="124" spans="1:6" ht="24">
      <c r="A124" s="3118">
        <v>52</v>
      </c>
      <c r="B124" s="3801" t="s">
        <v>2761</v>
      </c>
      <c r="C124" s="3118" t="s">
        <v>2762</v>
      </c>
      <c r="D124" s="3092" t="s">
        <v>2763</v>
      </c>
      <c r="E124" s="3118">
        <v>0.1</v>
      </c>
      <c r="F124" s="3118">
        <v>15</v>
      </c>
    </row>
    <row r="125" spans="1:6" ht="24">
      <c r="A125" s="3118">
        <v>53</v>
      </c>
      <c r="B125" s="3801"/>
      <c r="C125" s="3118" t="s">
        <v>2764</v>
      </c>
      <c r="D125" s="3092" t="s">
        <v>2765</v>
      </c>
      <c r="E125" s="3118">
        <v>0.1</v>
      </c>
      <c r="F125" s="3118">
        <v>15</v>
      </c>
    </row>
    <row r="126" spans="1:6" ht="24">
      <c r="A126" s="3118">
        <v>54</v>
      </c>
      <c r="B126" s="3118" t="s">
        <v>2766</v>
      </c>
      <c r="C126" s="3118" t="s">
        <v>2767</v>
      </c>
      <c r="D126" s="3092" t="s">
        <v>2768</v>
      </c>
      <c r="E126" s="3118">
        <v>0.1</v>
      </c>
      <c r="F126" s="3118">
        <v>15</v>
      </c>
    </row>
    <row r="127" spans="1:6" ht="24">
      <c r="A127" s="3118">
        <v>55</v>
      </c>
      <c r="B127" s="3801" t="s">
        <v>2769</v>
      </c>
      <c r="C127" s="3118" t="s">
        <v>2770</v>
      </c>
      <c r="D127" s="3092" t="s">
        <v>2771</v>
      </c>
      <c r="E127" s="3118">
        <v>0.1</v>
      </c>
      <c r="F127" s="3118">
        <v>15</v>
      </c>
    </row>
    <row r="128" spans="1:6" ht="24">
      <c r="A128" s="3118">
        <v>56</v>
      </c>
      <c r="B128" s="3801"/>
      <c r="C128" s="3118" t="s">
        <v>2772</v>
      </c>
      <c r="D128" s="3092" t="s">
        <v>2773</v>
      </c>
      <c r="E128" s="3118">
        <v>0.1</v>
      </c>
      <c r="F128" s="3118">
        <v>15</v>
      </c>
    </row>
    <row r="129" spans="1:6" ht="24">
      <c r="A129" s="3118">
        <v>57</v>
      </c>
      <c r="B129" s="3801"/>
      <c r="C129" s="3118" t="s">
        <v>2774</v>
      </c>
      <c r="D129" s="3092" t="s">
        <v>2775</v>
      </c>
      <c r="E129" s="3118">
        <v>0.1</v>
      </c>
      <c r="F129" s="3118">
        <v>15</v>
      </c>
    </row>
    <row r="130" spans="1:6" ht="24">
      <c r="A130" s="3118">
        <v>58</v>
      </c>
      <c r="B130" s="3801" t="s">
        <v>2776</v>
      </c>
      <c r="C130" s="3118" t="s">
        <v>2777</v>
      </c>
      <c r="D130" s="3092" t="s">
        <v>2778</v>
      </c>
      <c r="E130" s="3118">
        <v>0.1</v>
      </c>
      <c r="F130" s="3118">
        <v>15</v>
      </c>
    </row>
    <row r="131" spans="1:6" ht="24">
      <c r="A131" s="3118">
        <v>59</v>
      </c>
      <c r="B131" s="3801"/>
      <c r="C131" s="3118" t="s">
        <v>2779</v>
      </c>
      <c r="D131" s="3092" t="s">
        <v>2780</v>
      </c>
      <c r="E131" s="3118">
        <v>0.1</v>
      </c>
      <c r="F131" s="3118">
        <v>15</v>
      </c>
    </row>
    <row r="132" spans="1:6" ht="24">
      <c r="A132" s="3118">
        <v>60</v>
      </c>
      <c r="B132" s="3802" t="s">
        <v>2781</v>
      </c>
      <c r="C132" s="3118" t="s">
        <v>2782</v>
      </c>
      <c r="D132" s="3092" t="s">
        <v>2783</v>
      </c>
      <c r="E132" s="3118">
        <v>0.1</v>
      </c>
      <c r="F132" s="3118">
        <v>15</v>
      </c>
    </row>
    <row r="133" spans="1:6" ht="24">
      <c r="A133" s="3118">
        <v>61</v>
      </c>
      <c r="B133" s="3803"/>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24">
      <c r="A135" s="3118">
        <v>63</v>
      </c>
      <c r="B135" s="3801" t="s">
        <v>2789</v>
      </c>
      <c r="C135" s="3118" t="s">
        <v>2790</v>
      </c>
      <c r="D135" s="3092" t="s">
        <v>2791</v>
      </c>
      <c r="E135" s="3118">
        <v>0.1</v>
      </c>
      <c r="F135" s="3118">
        <v>15</v>
      </c>
    </row>
    <row r="136" spans="1:6" ht="24">
      <c r="A136" s="3118">
        <v>64</v>
      </c>
      <c r="B136" s="3801"/>
      <c r="C136" s="3118" t="s">
        <v>2792</v>
      </c>
      <c r="D136" s="3092" t="s">
        <v>2793</v>
      </c>
      <c r="E136" s="3118">
        <v>0.1</v>
      </c>
      <c r="F136" s="3118">
        <v>15</v>
      </c>
    </row>
    <row r="137" spans="1:6" ht="24">
      <c r="A137" s="3118">
        <v>65</v>
      </c>
      <c r="B137" s="3118" t="s">
        <v>2794</v>
      </c>
      <c r="C137" s="3118" t="s">
        <v>2795</v>
      </c>
      <c r="D137" s="3092" t="s">
        <v>2796</v>
      </c>
      <c r="E137" s="3118">
        <v>0.1</v>
      </c>
      <c r="F137" s="3118">
        <v>15</v>
      </c>
    </row>
    <row r="138" spans="1:6" ht="14.4">
      <c r="A138" s="3118"/>
      <c r="B138" s="3118"/>
      <c r="C138" s="3118"/>
      <c r="D138" s="3118"/>
      <c r="E138" s="3118" t="s">
        <v>2797</v>
      </c>
      <c r="F138" s="311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93"/>
      <c r="C2" s="3493"/>
      <c r="D2" s="3493"/>
      <c r="E2" s="3493"/>
    </row>
    <row r="3" spans="1:5" ht="17.399999999999999">
      <c r="A3" s="3494" t="str">
        <f>IF(项目基本情况!B9="房地产市场价值","估价结果一览表（市场价值不需“结果表-1”）","估价结果一览表")</f>
        <v>估价结果一览表（市场价值不需“结果表-1”）</v>
      </c>
      <c r="B3" s="3494"/>
      <c r="C3" s="3494"/>
      <c r="D3" s="3494"/>
      <c r="E3" s="3494"/>
    </row>
    <row r="4" spans="1:5" ht="18" thickBot="1">
      <c r="A4" s="1493"/>
      <c r="B4" s="3492" t="s">
        <v>917</v>
      </c>
      <c r="C4" s="3492"/>
      <c r="D4" s="3492"/>
      <c r="E4" s="1493"/>
    </row>
    <row r="5" spans="1:5" ht="16.2" thickTop="1">
      <c r="A5" s="1491"/>
      <c r="B5" s="3490" t="s">
        <v>909</v>
      </c>
      <c r="C5" s="1494" t="s">
        <v>910</v>
      </c>
      <c r="D5" s="850" t="e">
        <f ca="1">结果表!H101</f>
        <v>#REF!</v>
      </c>
      <c r="E5" s="1491"/>
    </row>
    <row r="6" spans="1:5" ht="15.6">
      <c r="A6" s="1491"/>
      <c r="B6" s="3490"/>
      <c r="C6" s="1494" t="s">
        <v>911</v>
      </c>
      <c r="D6" s="850" t="e">
        <f ca="1">NUMBERSTRING(INT(D5*10000),2)&amp;"元整"</f>
        <v>#REF!</v>
      </c>
      <c r="E6" s="1491"/>
    </row>
    <row r="7" spans="1:5" ht="15.6">
      <c r="A7" s="1491"/>
      <c r="B7" s="3495"/>
      <c r="C7" s="1495" t="s">
        <v>912</v>
      </c>
      <c r="D7" s="851" t="e">
        <f ca="1">结果表!H102</f>
        <v>#REF!</v>
      </c>
      <c r="E7" s="1491"/>
    </row>
    <row r="8" spans="1:5" ht="15.6">
      <c r="A8" s="1491"/>
      <c r="B8" s="3496" t="str">
        <f>结果表!E103</f>
        <v>2.估价师知悉的法定优先受偿款</v>
      </c>
      <c r="C8" s="1496" t="s">
        <v>913</v>
      </c>
      <c r="D8" s="851">
        <f>结果表!H103</f>
        <v>0</v>
      </c>
      <c r="E8" s="1491"/>
    </row>
    <row r="9" spans="1:5" ht="15.6">
      <c r="A9" s="1491"/>
      <c r="B9" s="3498"/>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89" t="str">
        <f>结果表!E107</f>
        <v>3.房地产抵押价值</v>
      </c>
      <c r="C13" s="1499" t="s">
        <v>910</v>
      </c>
      <c r="D13" s="853" t="e">
        <f ca="1">结果表!H107</f>
        <v>#REF!</v>
      </c>
      <c r="E13" s="1491"/>
    </row>
    <row r="14" spans="1:5" ht="15.6">
      <c r="A14" s="1491"/>
      <c r="B14" s="3490"/>
      <c r="C14" s="1494" t="s">
        <v>911</v>
      </c>
      <c r="D14" s="850" t="e">
        <f ca="1">NUMBERSTRING(INT(D13*10000),2)&amp;"元整"</f>
        <v>#REF!</v>
      </c>
      <c r="E14" s="1491"/>
    </row>
    <row r="15" spans="1:5" ht="15.6">
      <c r="A15" s="1491"/>
      <c r="B15" s="3495"/>
      <c r="C15" s="1495" t="s">
        <v>921</v>
      </c>
      <c r="D15" s="859" t="e">
        <f ca="1">结果表!H108</f>
        <v>#REF!</v>
      </c>
      <c r="E15" s="1491"/>
    </row>
    <row r="16" spans="1:5" ht="15.6">
      <c r="A16" s="1491"/>
      <c r="B16" s="3496" t="str">
        <f>结果表!E109</f>
        <v>——</v>
      </c>
      <c r="C16" s="1499" t="s">
        <v>922</v>
      </c>
      <c r="D16" s="1500" t="str">
        <f>结果表!H109</f>
        <v>——</v>
      </c>
      <c r="E16" s="1491"/>
    </row>
    <row r="17" spans="1:5" ht="15.6">
      <c r="A17" s="1491"/>
      <c r="B17" s="3497"/>
      <c r="C17" s="1494" t="s">
        <v>923</v>
      </c>
      <c r="D17" s="850" t="e">
        <f>NUMBERSTRING(INT(D16*10000),2)&amp;"元整"</f>
        <v>#VALUE!</v>
      </c>
      <c r="E17" s="1491"/>
    </row>
    <row r="18" spans="1:5" ht="15.6">
      <c r="A18" s="1491"/>
      <c r="B18" s="3498"/>
      <c r="C18" s="1495" t="s">
        <v>912</v>
      </c>
      <c r="D18" s="859" t="str">
        <f>结果表!H110</f>
        <v>——</v>
      </c>
      <c r="E18" s="1491"/>
    </row>
    <row r="19" spans="1:5" ht="15.6">
      <c r="A19" s="1491"/>
      <c r="B19" s="3489" t="str">
        <f>结果表!E111</f>
        <v>——</v>
      </c>
      <c r="C19" s="1499" t="s">
        <v>910</v>
      </c>
      <c r="D19" s="851" t="str">
        <f>结果表!H111</f>
        <v>——</v>
      </c>
      <c r="E19" s="1491"/>
    </row>
    <row r="20" spans="1:5" ht="15.6">
      <c r="A20" s="1491"/>
      <c r="B20" s="3490"/>
      <c r="C20" s="1494" t="s">
        <v>923</v>
      </c>
      <c r="D20" s="850" t="e">
        <f>NUMBERSTRING(INT(D19*10000),2)&amp;"元整"</f>
        <v>#VALUE!</v>
      </c>
      <c r="E20" s="1491"/>
    </row>
    <row r="21" spans="1:5" ht="16.2" thickBot="1">
      <c r="A21" s="1491"/>
      <c r="B21" s="3491"/>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31011</v>
      </c>
      <c r="C2" s="2" t="s">
        <v>106</v>
      </c>
      <c r="D2" s="199"/>
      <c r="E2" s="199"/>
      <c r="F2" s="199"/>
      <c r="G2" s="199"/>
    </row>
    <row r="3" spans="1:7" s="200" customFormat="1" ht="18" customHeight="1" thickBot="1">
      <c r="A3" s="203" t="s">
        <v>58</v>
      </c>
      <c r="B3" s="204">
        <f ca="1">ROUND(B2*10000/'数据-汇总表'!E3,0)</f>
        <v>3024283</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2</v>
      </c>
      <c r="D9" s="845">
        <f>'数据-汇总表'!E5</f>
        <v>102.54</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102.54</v>
      </c>
      <c r="E19" s="211">
        <f>'数据-取费表'!B31</f>
        <v>200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2651</v>
      </c>
      <c r="D22" s="235">
        <f ca="1">C26</f>
        <v>1.8E-3</v>
      </c>
      <c r="E22" s="236" t="s">
        <v>99</v>
      </c>
      <c r="F22" s="237">
        <f ca="1">'数据-取费表'!B40</f>
        <v>6.1500000000000006E-2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2613</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38</v>
      </c>
      <c r="D25" s="238"/>
      <c r="E25" s="241"/>
      <c r="F25" s="239"/>
      <c r="G25" s="242" t="s">
        <v>83</v>
      </c>
    </row>
    <row r="26" spans="1:7" s="214" customFormat="1">
      <c r="A26" s="780" t="s">
        <v>350</v>
      </c>
      <c r="B26" s="215" t="s">
        <v>422</v>
      </c>
      <c r="C26" s="238">
        <f ca="1">ROUND(IF('数据-取费表'!B22&lt;=1,F21*F22*'数据-取费表'!B23/2,F21*(POWER((1+F22),'数据-取费表'!B23/2)-1)),4)</f>
        <v>1.8E-3</v>
      </c>
      <c r="D26" s="238"/>
      <c r="E26" s="241"/>
      <c r="F26" s="239"/>
      <c r="G26" s="243"/>
    </row>
    <row r="27" spans="1:7" s="214" customFormat="1" ht="26.4">
      <c r="A27" s="777" t="s">
        <v>342</v>
      </c>
      <c r="B27" s="244" t="s">
        <v>85</v>
      </c>
      <c r="C27" s="245">
        <f>C28</f>
        <v>4246</v>
      </c>
      <c r="D27" s="235">
        <f>C29</f>
        <v>6.0000000000000001E-3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4246</v>
      </c>
      <c r="D28" s="235"/>
      <c r="E28" s="236"/>
      <c r="F28" s="246"/>
      <c r="G28" s="247"/>
    </row>
    <row r="29" spans="1:7" s="214" customFormat="1" ht="13.5" customHeight="1">
      <c r="A29" s="780" t="s">
        <v>347</v>
      </c>
      <c r="B29" s="248" t="s">
        <v>425</v>
      </c>
      <c r="C29" s="238">
        <f>ROUND(C21*F27*'数据-取费表'!B21/'数据-取费表'!B20,4)</f>
        <v>6.0000000000000001E-3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30947</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47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36</v>
      </c>
      <c r="D34" s="217"/>
      <c r="E34" s="220"/>
      <c r="F34" s="257">
        <f>IF('数据-取费表'!B24=0,1,'数据-取费表'!N16)</f>
        <v>1</v>
      </c>
      <c r="G34" s="219" t="s">
        <v>89</v>
      </c>
    </row>
    <row r="35" spans="1:7" ht="13.5" customHeight="1">
      <c r="A35" s="780" t="s">
        <v>351</v>
      </c>
      <c r="B35" s="215" t="s">
        <v>33</v>
      </c>
      <c r="C35" s="220">
        <f>ROUND(C34*F35,0)</f>
        <v>4</v>
      </c>
      <c r="D35" s="220"/>
      <c r="E35" s="220"/>
      <c r="F35" s="259">
        <f>'数据-取费表'!B33</f>
        <v>0.1</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4</v>
      </c>
      <c r="D36" s="220"/>
      <c r="E36" s="220"/>
      <c r="F36" s="259">
        <f>'数据-取费表'!B34</f>
        <v>0.1</v>
      </c>
      <c r="G36" s="260" t="s">
        <v>35</v>
      </c>
    </row>
    <row r="37" spans="1:7" s="258" customFormat="1" ht="13.5" customHeight="1">
      <c r="A37" s="780" t="s">
        <v>353</v>
      </c>
      <c r="B37" s="215" t="s">
        <v>91</v>
      </c>
      <c r="C37" s="249">
        <f>ROUND(E37*D37*F34/10000,0)</f>
        <v>2</v>
      </c>
      <c r="D37" s="217">
        <f>'数据-汇总表'!E3</f>
        <v>102.54</v>
      </c>
      <c r="E37" s="249">
        <f>'数据-取费表'!B35</f>
        <v>200</v>
      </c>
      <c r="F37" s="259"/>
      <c r="G37" s="261" t="s">
        <v>92</v>
      </c>
    </row>
    <row r="38" spans="1:7" ht="13.5" customHeight="1">
      <c r="A38" s="780" t="s">
        <v>354</v>
      </c>
      <c r="B38" s="215" t="s">
        <v>36</v>
      </c>
      <c r="C38" s="220">
        <f>ROUND(C34*F38,0)</f>
        <v>1</v>
      </c>
      <c r="D38" s="220"/>
      <c r="E38" s="220"/>
      <c r="F38" s="259">
        <f>'数据-取费表'!B36</f>
        <v>0.02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3</v>
      </c>
      <c r="D41" s="235">
        <f ca="1">C44</f>
        <v>1.8E-3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71" t="s">
        <v>94</v>
      </c>
    </row>
    <row r="43" spans="1:7" ht="13.5" customHeight="1">
      <c r="A43" s="780" t="s">
        <v>347</v>
      </c>
      <c r="B43" s="215" t="s">
        <v>426</v>
      </c>
      <c r="C43" s="238">
        <f ca="1">ROUND(IF('数据-取费表'!B22&lt;=1,C39*F22*'数据-取费表'!B21/2,C39*(POWER((1+F22),'数据-取费表'!B21/2)-1)),0)</f>
        <v>0</v>
      </c>
      <c r="D43" s="238"/>
      <c r="E43" s="238"/>
      <c r="F43" s="239"/>
      <c r="G43" s="3672"/>
    </row>
    <row r="44" spans="1:7" ht="13.5" customHeight="1">
      <c r="A44" s="780" t="s">
        <v>348</v>
      </c>
      <c r="B44" s="215" t="s">
        <v>428</v>
      </c>
      <c r="C44" s="238">
        <f ca="1">ROUND(IF('数据-取费表'!B22&lt;=1,C40*F22*'数据-取费表'!B21/2,C40*(POWER((1+F22),'数据-取费表'!B21/2)-1)),4)</f>
        <v>1.8E-3</v>
      </c>
      <c r="D44" s="238"/>
      <c r="E44" s="238"/>
      <c r="F44" s="239"/>
      <c r="G44" s="3673"/>
    </row>
    <row r="45" spans="1:7" s="214" customFormat="1" ht="13.5" customHeight="1">
      <c r="A45" s="777" t="s">
        <v>341</v>
      </c>
      <c r="B45" s="244" t="s">
        <v>85</v>
      </c>
      <c r="C45" s="245">
        <f>C46</f>
        <v>10</v>
      </c>
      <c r="D45" s="235">
        <f>C47</f>
        <v>6.0000000000000001E-3</v>
      </c>
      <c r="E45" s="236" t="s">
        <v>102</v>
      </c>
      <c r="F45" s="246"/>
      <c r="G45" s="247" t="s">
        <v>434</v>
      </c>
    </row>
    <row r="46" spans="1:7" s="214" customFormat="1" ht="13.5" customHeight="1">
      <c r="A46" s="780" t="s">
        <v>349</v>
      </c>
      <c r="B46" s="248" t="s">
        <v>427</v>
      </c>
      <c r="C46" s="249">
        <f>ROUND((C33+C39)*F27,0)</f>
        <v>10</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67</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64</v>
      </c>
      <c r="D51" s="232"/>
      <c r="E51" s="232"/>
      <c r="F51" s="264"/>
      <c r="G51" s="234" t="s">
        <v>37</v>
      </c>
    </row>
    <row r="52" spans="1:7" s="208" customFormat="1" ht="16.8" thickBot="1">
      <c r="A52" s="265" t="s">
        <v>38</v>
      </c>
      <c r="B52" s="266"/>
      <c r="C52" s="267">
        <f ca="1">C31+C51</f>
        <v>31011</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15" t="s">
        <v>2839</v>
      </c>
      <c r="B1" s="3815"/>
      <c r="C1" s="3815"/>
      <c r="D1" s="3815"/>
      <c r="E1" s="3815"/>
      <c r="F1" s="3815"/>
      <c r="G1" s="3816"/>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3"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814"/>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17" t="s">
        <v>3181</v>
      </c>
      <c r="B1" s="3817"/>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18" t="s">
        <v>3232</v>
      </c>
      <c r="B1" s="3818"/>
      <c r="C1" s="3818"/>
      <c r="D1" s="3818"/>
      <c r="E1" s="3818"/>
      <c r="F1" s="3819"/>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21">
        <f>基准地价修正!G23</f>
        <v>41424</v>
      </c>
      <c r="B1" s="3210" t="s">
        <v>3371</v>
      </c>
      <c r="C1" s="3211"/>
      <c r="D1" s="3211"/>
      <c r="E1" s="3211"/>
      <c r="F1" s="3211"/>
      <c r="G1" s="3211"/>
      <c r="H1" s="3211"/>
      <c r="I1" s="3211"/>
      <c r="J1" s="3165"/>
      <c r="K1" s="3211" t="s">
        <v>454</v>
      </c>
      <c r="L1" s="3211"/>
      <c r="M1" s="3211"/>
      <c r="N1" s="3211"/>
      <c r="O1" s="3211"/>
      <c r="P1" s="3211"/>
      <c r="Q1" s="3165"/>
      <c r="R1" s="3820" t="s">
        <v>456</v>
      </c>
      <c r="S1" s="3821"/>
      <c r="T1" s="3821"/>
      <c r="U1" s="3821"/>
      <c r="V1" s="3821"/>
      <c r="W1" s="3821"/>
      <c r="X1" s="3165"/>
      <c r="Y1" s="3820" t="s">
        <v>457</v>
      </c>
      <c r="Z1" s="3821"/>
      <c r="AA1" s="3821"/>
      <c r="AB1" s="3821"/>
      <c r="AC1" s="3821"/>
      <c r="AD1" s="3821"/>
    </row>
    <row r="2" spans="1:30"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3.2">
      <c r="A3" s="3149" t="s">
        <v>2819</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3377</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3378</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3.2">
      <c r="A7" s="3176" t="s">
        <v>3380</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3.2">
      <c r="A8" s="3176" t="s">
        <v>3375</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3.2">
      <c r="A9" s="3176" t="s">
        <v>3374</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3.2">
      <c r="A10" s="3176" t="s">
        <v>3370</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3.2">
      <c r="A11" s="3176" t="s">
        <v>3369</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3.2">
      <c r="A12" s="3176" t="s">
        <v>3368</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3.2">
      <c r="A13" s="3176" t="s">
        <v>3364</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3.2">
      <c r="A14" s="3176" t="s">
        <v>3355</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3.2">
      <c r="A15" s="3176" t="s">
        <v>2820</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3.2">
      <c r="A16" s="3176" t="s">
        <v>2821</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3.2">
      <c r="A17" s="3176" t="s">
        <v>2822</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3.2">
      <c r="A18" s="3176" t="s">
        <v>2823</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ht="13.8" thickBot="1">
      <c r="A19" s="3197" t="s">
        <v>2824</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5" thickTop="1"/>
    <row r="21" spans="1:30" s="3009" customFormat="1">
      <c r="A21" s="3448" t="s">
        <v>3366</v>
      </c>
    </row>
    <row r="22" spans="1:30" s="3009" customFormat="1">
      <c r="I22" s="3208" t="s">
        <v>2825</v>
      </c>
    </row>
    <row r="23" spans="1:30" s="3009" customFormat="1"/>
    <row r="24" spans="1:30" s="3209" customFormat="1" ht="13.2">
      <c r="B24" s="3210" t="s">
        <v>3372</v>
      </c>
      <c r="C24" s="3211"/>
      <c r="D24" s="3211"/>
      <c r="E24" s="3211"/>
      <c r="F24" s="3211"/>
      <c r="G24" s="3211"/>
      <c r="H24" s="3211"/>
      <c r="I24" s="3211"/>
      <c r="J24" s="3165"/>
      <c r="K24" s="3211" t="s">
        <v>2826</v>
      </c>
      <c r="L24" s="3211"/>
      <c r="M24" s="3211"/>
      <c r="N24" s="3211"/>
      <c r="O24" s="3211"/>
      <c r="P24" s="3211"/>
      <c r="Q24" s="3165"/>
      <c r="R24" s="3820" t="s">
        <v>2827</v>
      </c>
      <c r="S24" s="3821"/>
      <c r="T24" s="3821"/>
      <c r="U24" s="3821"/>
      <c r="V24" s="3821"/>
      <c r="W24" s="3821"/>
      <c r="X24" s="3165"/>
      <c r="Y24" s="3820" t="s">
        <v>2828</v>
      </c>
      <c r="Z24" s="3821"/>
      <c r="AA24" s="3821"/>
      <c r="AB24" s="3821"/>
      <c r="AC24" s="3821"/>
      <c r="AD24" s="3821"/>
    </row>
    <row r="25" spans="1:30" s="3143" customFormat="1" ht="15" thickBot="1">
      <c r="B25" s="3144"/>
      <c r="C25" s="3145"/>
      <c r="D25" s="3146" t="s">
        <v>2829</v>
      </c>
      <c r="E25" s="3147" t="s">
        <v>2830</v>
      </c>
      <c r="F25" s="3147" t="s">
        <v>2831</v>
      </c>
      <c r="G25" s="3147" t="s">
        <v>2832</v>
      </c>
      <c r="H25" s="3147"/>
      <c r="I25" s="3147" t="s">
        <v>2833</v>
      </c>
      <c r="J25" s="3148"/>
      <c r="K25" s="3146" t="s">
        <v>2829</v>
      </c>
      <c r="L25" s="3147" t="s">
        <v>2830</v>
      </c>
      <c r="M25" s="3147" t="s">
        <v>2831</v>
      </c>
      <c r="N25" s="3147" t="s">
        <v>2832</v>
      </c>
      <c r="O25" s="3147"/>
      <c r="P25" s="3147" t="s">
        <v>2833</v>
      </c>
      <c r="Q25" s="3148"/>
      <c r="R25" s="3146" t="s">
        <v>2829</v>
      </c>
      <c r="S25" s="3147" t="s">
        <v>2830</v>
      </c>
      <c r="T25" s="3147" t="s">
        <v>2831</v>
      </c>
      <c r="U25" s="3147" t="s">
        <v>2832</v>
      </c>
      <c r="V25" s="3147"/>
      <c r="W25" s="3147" t="s">
        <v>2833</v>
      </c>
      <c r="X25" s="3148"/>
      <c r="Y25" s="3146" t="s">
        <v>2829</v>
      </c>
      <c r="Z25" s="3147" t="s">
        <v>2830</v>
      </c>
      <c r="AA25" s="3147" t="s">
        <v>2831</v>
      </c>
      <c r="AB25" s="3147" t="s">
        <v>2832</v>
      </c>
      <c r="AC25" s="3147"/>
      <c r="AD25" s="3147" t="s">
        <v>2833</v>
      </c>
    </row>
    <row r="26" spans="1:30" s="3161" customFormat="1" ht="13.2">
      <c r="A26" s="3149" t="s">
        <v>2834</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3.2">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3.2">
      <c r="A28" s="2205" t="s">
        <v>3377</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3.2">
      <c r="A29" s="3186" t="s">
        <v>3378</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3.2">
      <c r="A30" s="3176" t="s">
        <v>3379</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3.2">
      <c r="A31" s="3176" t="s">
        <v>3376</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3.2">
      <c r="A32" s="3176" t="s">
        <v>3374</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3.2">
      <c r="A33" s="3176" t="s">
        <v>3373</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3.2">
      <c r="A34" s="3176" t="s">
        <v>3369</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3.2">
      <c r="A35" s="3176" t="s">
        <v>3368</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3.2">
      <c r="A36" s="3176" t="s">
        <v>3365</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3.2">
      <c r="A37" s="3176" t="s">
        <v>3355</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3.2">
      <c r="A38" s="3176" t="s">
        <v>2835</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3.2">
      <c r="A39" s="3176" t="s">
        <v>2836</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3.2">
      <c r="A40" s="3176" t="s">
        <v>2837</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3.2">
      <c r="A41" s="3176" t="s">
        <v>2838</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ht="13.8" thickBot="1">
      <c r="A42" s="3197" t="s">
        <v>2824</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5" thickTop="1"/>
    <row r="44" spans="1:30">
      <c r="A44" s="3448" t="s">
        <v>3367</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27" t="s">
        <v>452</v>
      </c>
      <c r="C1" s="3827"/>
      <c r="D1" s="3827"/>
      <c r="E1" s="3827"/>
      <c r="F1" s="3827"/>
      <c r="G1" s="3826" t="s">
        <v>453</v>
      </c>
      <c r="H1" s="3826"/>
      <c r="I1" s="3826"/>
      <c r="J1" s="3826"/>
      <c r="K1" s="3826"/>
      <c r="L1" s="3826"/>
      <c r="N1" s="3826" t="s">
        <v>454</v>
      </c>
      <c r="O1" s="3826"/>
      <c r="P1" s="3826"/>
      <c r="Q1" s="3826"/>
      <c r="S1" s="3826" t="s">
        <v>455</v>
      </c>
      <c r="T1" s="3826"/>
      <c r="U1" s="3826"/>
      <c r="V1" s="3826"/>
      <c r="X1" s="3825" t="s">
        <v>456</v>
      </c>
      <c r="Y1" s="3826"/>
      <c r="Z1" s="3826"/>
      <c r="AA1" s="3826"/>
      <c r="AB1" s="3826"/>
      <c r="AD1" s="3825" t="s">
        <v>457</v>
      </c>
      <c r="AE1" s="3826"/>
      <c r="AF1" s="3826"/>
      <c r="AG1" s="3826"/>
      <c r="AH1" s="3826"/>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2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2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2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3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2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2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2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3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2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2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2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2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2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2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2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2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2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3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3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3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2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2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2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2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2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2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2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2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2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2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2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2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2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2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2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2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2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2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2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2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2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2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2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2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2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2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2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2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2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2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23">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24">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2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2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23">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24">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41424</v>
      </c>
      <c r="D1" s="1302" t="s">
        <v>603</v>
      </c>
      <c r="E1" s="1297">
        <f>'数据-取费表'!B22</f>
        <v>2</v>
      </c>
      <c r="F1" s="1302" t="s">
        <v>604</v>
      </c>
      <c r="G1" s="1298">
        <f ca="1">INDIRECT("d"&amp;$K$1)/100</f>
        <v>6.1500000000000006E-2</v>
      </c>
      <c r="H1" s="1302" t="s">
        <v>634</v>
      </c>
      <c r="I1" s="1298">
        <f ca="1">F4/100</f>
        <v>0.03</v>
      </c>
      <c r="J1" s="1303">
        <f>IF(C1&gt;C13,0,MATCH(C1,C$13:C$113,-1))+IF(SUMIF(C13:C113,C1,D13:D113)=0,13,12)</f>
        <v>32</v>
      </c>
      <c r="K1" s="1303">
        <f>MATCH(E1,C3:C7,1)+IF(SUMIF(C3:C7,E1,D3:D7)=0,2,1)</f>
        <v>5</v>
      </c>
      <c r="L1" s="1303">
        <f>IF(C1&gt;M13,0,MATCH(C1,M$13:M$100,-1))+IF(SUMIF(M13:M100,C1,N13:N100)=0,13,12)</f>
        <v>19</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5.6</v>
      </c>
      <c r="E3" s="1246">
        <v>0.5</v>
      </c>
      <c r="F3" s="1247">
        <f ca="1">INDIRECT("p"&amp;$L$1)</f>
        <v>2.8</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6</v>
      </c>
      <c r="E4" s="1252">
        <v>1</v>
      </c>
      <c r="F4" s="1253">
        <f ca="1">INDIRECT("q"&amp;$L$1)</f>
        <v>3</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6.15</v>
      </c>
      <c r="E5" s="1252">
        <v>2</v>
      </c>
      <c r="F5" s="1253">
        <f ca="1">INDIRECT("r"&amp;$L$1)</f>
        <v>3.75</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6.4</v>
      </c>
      <c r="E6" s="1252">
        <v>3</v>
      </c>
      <c r="F6" s="1253">
        <f ca="1">INDIRECT("s"&amp;$L$1)</f>
        <v>4.25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6.55</v>
      </c>
      <c r="E7" s="1257">
        <v>5</v>
      </c>
      <c r="F7" s="1258">
        <f ca="1">INDIRECT("t"&amp;$L$1)</f>
        <v>4.75</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6" t="s">
        <v>2310</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06" t="str">
        <f>IF(项目基本情况!B9="房地产市场价值","估价结果一览表","结果表-2")</f>
        <v>估价结果一览表</v>
      </c>
      <c r="B1" s="3506"/>
      <c r="C1" s="3506"/>
      <c r="D1" s="3506"/>
      <c r="E1" s="3506"/>
      <c r="F1" s="3506"/>
      <c r="G1" s="3506"/>
      <c r="H1" s="3506"/>
      <c r="I1" s="3506"/>
    </row>
    <row r="2" spans="1:9" ht="30" customHeight="1" thickTop="1">
      <c r="A2" s="3507" t="s">
        <v>928</v>
      </c>
      <c r="B2" s="3507" t="s">
        <v>929</v>
      </c>
      <c r="C2" s="3507" t="s">
        <v>930</v>
      </c>
      <c r="D2" s="3507" t="str">
        <f>结果表!D116</f>
        <v>出让国有建设用地使用权价值</v>
      </c>
      <c r="E2" s="3507"/>
      <c r="F2" s="3507" t="str">
        <f>结果表!F116</f>
        <v>在建建筑物价值</v>
      </c>
      <c r="G2" s="3507"/>
      <c r="H2" s="3507" t="str">
        <f>IF(项目基本情况!B9="房地产市场价值","房地产市场价值","房地产价值")</f>
        <v>房地产市场价值</v>
      </c>
      <c r="I2" s="3507"/>
    </row>
    <row r="3" spans="1:9" ht="15.6">
      <c r="A3" s="3502"/>
      <c r="B3" s="3502"/>
      <c r="C3" s="3502"/>
      <c r="D3" s="854" t="s">
        <v>925</v>
      </c>
      <c r="E3" s="854" t="s">
        <v>931</v>
      </c>
      <c r="F3" s="854" t="s">
        <v>925</v>
      </c>
      <c r="G3" s="854" t="s">
        <v>926</v>
      </c>
      <c r="H3" s="854" t="s">
        <v>925</v>
      </c>
      <c r="I3" s="854" t="s">
        <v>926</v>
      </c>
    </row>
    <row r="4" spans="1:9" ht="15">
      <c r="A4" s="1505" t="str">
        <f>项目基本情况!S2</f>
        <v>北京市房地产</v>
      </c>
      <c r="B4" s="854">
        <f>项目基本情况!C17</f>
        <v>102.54</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02" t="s">
        <v>927</v>
      </c>
      <c r="B5" s="3502"/>
      <c r="C5" s="3502"/>
      <c r="D5" s="3502" t="e">
        <f ca="1">结果表!D119</f>
        <v>#REF!</v>
      </c>
      <c r="E5" s="3502"/>
      <c r="F5" s="3502" t="e">
        <f ca="1">结果表!F119</f>
        <v>#REF!</v>
      </c>
      <c r="G5" s="3502"/>
      <c r="H5" s="3502" t="e">
        <f ca="1">结果表!H119</f>
        <v>#REF!</v>
      </c>
      <c r="I5" s="3502"/>
    </row>
    <row r="6" spans="1:9" ht="15.6">
      <c r="A6" s="3501" t="str">
        <f>结果表!A120</f>
        <v/>
      </c>
      <c r="B6" s="3501"/>
      <c r="C6" s="3501"/>
      <c r="D6" s="3501">
        <f>结果表!D120</f>
        <v>0</v>
      </c>
      <c r="E6" s="3501"/>
      <c r="F6" s="3501"/>
      <c r="G6" s="3501"/>
      <c r="H6" s="3501"/>
      <c r="I6" s="3501"/>
    </row>
    <row r="7" spans="1:9" ht="15">
      <c r="A7" s="3502" t="s">
        <v>927</v>
      </c>
      <c r="B7" s="3502"/>
      <c r="C7" s="3502"/>
      <c r="D7" s="3503" t="str">
        <f>结果表!D121</f>
        <v>零元整</v>
      </c>
      <c r="E7" s="3504"/>
      <c r="F7" s="3504"/>
      <c r="G7" s="3504"/>
      <c r="H7" s="3504"/>
      <c r="I7" s="3505"/>
    </row>
    <row r="8" spans="1:9" ht="15.6">
      <c r="A8" s="3501" t="str">
        <f>结果表!A122</f>
        <v/>
      </c>
      <c r="B8" s="3501"/>
      <c r="C8" s="3501"/>
      <c r="D8" s="3501" t="e">
        <f ca="1">结果表!D122</f>
        <v>#REF!</v>
      </c>
      <c r="E8" s="3501"/>
      <c r="F8" s="3501"/>
      <c r="G8" s="3501"/>
      <c r="H8" s="3501"/>
      <c r="I8" s="3501"/>
    </row>
    <row r="9" spans="1:9" ht="15">
      <c r="A9" s="3502" t="s">
        <v>927</v>
      </c>
      <c r="B9" s="3502"/>
      <c r="C9" s="3502"/>
      <c r="D9" s="3502" t="e">
        <f ca="1">结果表!D123</f>
        <v>#REF!</v>
      </c>
      <c r="E9" s="3502"/>
      <c r="F9" s="3502"/>
      <c r="G9" s="3502"/>
      <c r="H9" s="3502"/>
      <c r="I9" s="3502"/>
    </row>
    <row r="10" spans="1:9" ht="15.6">
      <c r="A10" s="3501" t="str">
        <f>结果表!A124</f>
        <v/>
      </c>
      <c r="B10" s="3501"/>
      <c r="C10" s="3501"/>
      <c r="D10" s="3501" t="str">
        <f>结果表!D124</f>
        <v>——</v>
      </c>
      <c r="E10" s="3501"/>
      <c r="F10" s="3501"/>
      <c r="G10" s="3501"/>
      <c r="H10" s="3501"/>
      <c r="I10" s="3501"/>
    </row>
    <row r="11" spans="1:9" ht="15">
      <c r="A11" s="3502" t="s">
        <v>927</v>
      </c>
      <c r="B11" s="3502"/>
      <c r="C11" s="3502"/>
      <c r="D11" s="3502" t="e">
        <f>结果表!D125</f>
        <v>#VALUE!</v>
      </c>
      <c r="E11" s="3502"/>
      <c r="F11" s="3502"/>
      <c r="G11" s="3502"/>
      <c r="H11" s="3502"/>
      <c r="I11" s="3502"/>
    </row>
    <row r="12" spans="1:9" ht="15.6">
      <c r="A12" s="3501" t="str">
        <f>结果表!A126</f>
        <v/>
      </c>
      <c r="B12" s="3501"/>
      <c r="C12" s="3501"/>
      <c r="D12" s="3501" t="str">
        <f>结果表!D126</f>
        <v>——</v>
      </c>
      <c r="E12" s="3501"/>
      <c r="F12" s="3501"/>
      <c r="G12" s="3501"/>
      <c r="H12" s="3501"/>
      <c r="I12" s="3501"/>
    </row>
    <row r="13" spans="1:9" ht="15.6" thickBot="1">
      <c r="A13" s="3499" t="s">
        <v>927</v>
      </c>
      <c r="B13" s="3499"/>
      <c r="C13" s="3499"/>
      <c r="D13" s="3499" t="e">
        <f>结果表!D127</f>
        <v>#VALUE!</v>
      </c>
      <c r="E13" s="3499"/>
      <c r="F13" s="3499"/>
      <c r="G13" s="3499"/>
      <c r="H13" s="3499"/>
      <c r="I13" s="3499"/>
    </row>
    <row r="14" spans="1:9" ht="14.4" thickTop="1">
      <c r="A14" s="3500" t="s">
        <v>932</v>
      </c>
      <c r="B14" s="3500"/>
      <c r="C14" s="3500"/>
      <c r="D14" s="3500"/>
      <c r="E14" s="3500"/>
      <c r="F14" s="3500"/>
      <c r="G14" s="3500"/>
      <c r="H14" s="3500"/>
      <c r="I14" s="3500"/>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14" t="s">
        <v>949</v>
      </c>
      <c r="B1" s="3514"/>
      <c r="C1" s="3514"/>
      <c r="D1" s="3514"/>
    </row>
    <row r="2" spans="1:4" ht="17.399999999999999">
      <c r="A2" s="3515" t="s">
        <v>933</v>
      </c>
      <c r="B2" s="3515"/>
      <c r="C2" s="3515"/>
      <c r="D2" s="3515"/>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15" t="s">
        <v>939</v>
      </c>
      <c r="B6" s="3515"/>
      <c r="C6" s="3515"/>
      <c r="D6" s="3515"/>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16" t="s">
        <v>942</v>
      </c>
      <c r="B11" s="3508"/>
      <c r="C11" s="3508"/>
      <c r="D11" s="3508"/>
    </row>
    <row r="12" spans="1:4" ht="15.6">
      <c r="A12" s="35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13"/>
      <c r="C12" s="3513"/>
      <c r="D12" s="3513"/>
    </row>
    <row r="13" spans="1:4" ht="30" customHeight="1">
      <c r="A13" s="3508" t="str">
        <f>IF(项目基本情况!B8="抵押","3.抵押双方在办理抵押登记手续时，应使用本公司出具的正式《房地产评估报告》，特提醒报告使用者注意。","——")</f>
        <v>——</v>
      </c>
      <c r="B13" s="3513"/>
      <c r="C13" s="3513"/>
      <c r="D13" s="3513"/>
    </row>
    <row r="14" spans="1:4" ht="15.75" customHeight="1">
      <c r="A14" s="3508" t="str">
        <f>IF(项目基本情况!B8="抵押","4.本次评估估价师所知悉的法定优先受偿款情况说明如下：","——")</f>
        <v>——</v>
      </c>
      <c r="B14" s="3513"/>
      <c r="C14" s="3513"/>
      <c r="D14" s="3513"/>
    </row>
    <row r="15" spans="1:4" ht="42" customHeight="1">
      <c r="A15" s="3508" t="str">
        <f>IF(项目基本情况!B8="抵押","（1）"&amp;CONCATENATE(项目基本情况!L20,项目基本情况!L21,项目基本情况!L22),"——")</f>
        <v>——</v>
      </c>
      <c r="B15" s="3508"/>
      <c r="C15" s="3508"/>
      <c r="D15" s="3508"/>
    </row>
    <row r="16" spans="1:4" ht="30" customHeight="1">
      <c r="A16" s="3510" t="s">
        <v>943</v>
      </c>
      <c r="B16" s="3510"/>
      <c r="C16" s="3510"/>
      <c r="D16" s="3510"/>
    </row>
    <row r="17" spans="1:4" ht="144" customHeight="1">
      <c r="A17" s="3510" t="s">
        <v>944</v>
      </c>
      <c r="B17" s="3510"/>
      <c r="C17" s="3510"/>
      <c r="D17" s="3510"/>
    </row>
    <row r="18" spans="1:4" ht="15.75" customHeight="1">
      <c r="A18" s="3508" t="str">
        <f>IF(项目基本情况!B8="抵押",结果表!K120,"——")</f>
        <v>——</v>
      </c>
      <c r="B18" s="3508"/>
      <c r="C18" s="3508"/>
      <c r="D18" s="3508"/>
    </row>
    <row r="19" spans="1:4" ht="46.5" customHeight="1">
      <c r="A19" s="35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8"/>
      <c r="C19" s="3508"/>
      <c r="D19" s="3508"/>
    </row>
    <row r="20" spans="1:4" ht="57.75" customHeight="1">
      <c r="A20" s="35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8"/>
      <c r="C20" s="3508"/>
      <c r="D20" s="3508"/>
    </row>
    <row r="21" spans="1:4" ht="57.75" customHeight="1">
      <c r="A21" s="35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1"/>
      <c r="C21" s="3511"/>
      <c r="D21" s="3511"/>
    </row>
    <row r="22" spans="1:4" ht="18.75" customHeight="1">
      <c r="A22" s="3512" t="s">
        <v>945</v>
      </c>
      <c r="B22" s="3512"/>
      <c r="C22" s="3512"/>
      <c r="D22" s="3512"/>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09">
        <v>42551</v>
      </c>
      <c r="D31" s="35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22" t="s">
        <v>956</v>
      </c>
      <c r="B15" s="3517" t="s">
        <v>109</v>
      </c>
      <c r="C15" s="3518"/>
    </row>
    <row r="16" spans="1:7" ht="14.4">
      <c r="A16" s="3523"/>
      <c r="B16" s="3517" t="s">
        <v>42</v>
      </c>
      <c r="C16" s="3518"/>
    </row>
    <row r="17" spans="1:3" ht="14.4">
      <c r="A17" s="3523"/>
      <c r="B17" s="3520" t="s">
        <v>957</v>
      </c>
      <c r="C17" s="1532" t="s">
        <v>956</v>
      </c>
    </row>
    <row r="18" spans="1:3" ht="14.4">
      <c r="A18" s="3523"/>
      <c r="B18" s="3520"/>
      <c r="C18" s="1532" t="s">
        <v>958</v>
      </c>
    </row>
    <row r="19" spans="1:3" ht="14.4">
      <c r="A19" s="3523"/>
      <c r="B19" s="3520"/>
      <c r="C19" s="1532" t="s">
        <v>959</v>
      </c>
    </row>
    <row r="20" spans="1:3" ht="14.4">
      <c r="A20" s="3524"/>
      <c r="B20" s="3519" t="s">
        <v>960</v>
      </c>
      <c r="C20" s="3518"/>
    </row>
    <row r="21" spans="1:3" ht="14.4">
      <c r="A21" s="1533" t="s">
        <v>961</v>
      </c>
      <c r="B21" s="1534"/>
      <c r="C21" s="1535"/>
    </row>
    <row r="22" spans="1:3" ht="14.4">
      <c r="A22" s="3521" t="s">
        <v>962</v>
      </c>
      <c r="B22" s="3519" t="s">
        <v>963</v>
      </c>
      <c r="C22" s="3518"/>
    </row>
    <row r="23" spans="1:3" ht="14.4">
      <c r="A23" s="3521"/>
      <c r="B23" s="3519" t="s">
        <v>964</v>
      </c>
      <c r="C23" s="3518"/>
    </row>
    <row r="24" spans="1:3" ht="14.4">
      <c r="A24" s="3521"/>
      <c r="B24" s="3519" t="s">
        <v>965</v>
      </c>
      <c r="C24" s="3518"/>
    </row>
    <row r="25" spans="1:3" ht="14.4">
      <c r="A25" s="3521"/>
      <c r="B25" s="3520" t="s">
        <v>966</v>
      </c>
      <c r="C25" s="1532" t="s">
        <v>967</v>
      </c>
    </row>
    <row r="26" spans="1:3" ht="14.4">
      <c r="A26" s="3521"/>
      <c r="B26" s="3520"/>
      <c r="C26" s="1532" t="s">
        <v>968</v>
      </c>
    </row>
    <row r="27" spans="1:3" ht="14.4">
      <c r="A27" s="3521"/>
      <c r="B27" s="3520"/>
      <c r="C27" s="1532" t="s">
        <v>969</v>
      </c>
    </row>
    <row r="28" spans="1:3" ht="14.4">
      <c r="A28" s="3521"/>
      <c r="B28" s="3520"/>
      <c r="C28" s="1532" t="s">
        <v>970</v>
      </c>
    </row>
    <row r="29" spans="1:3" ht="14.4">
      <c r="A29" s="3521"/>
      <c r="B29" s="3520"/>
      <c r="C29" s="1532" t="s">
        <v>971</v>
      </c>
    </row>
    <row r="30" spans="1:3" ht="14.4">
      <c r="A30" s="3521"/>
      <c r="B30" s="3520"/>
      <c r="C30" s="1532" t="s">
        <v>972</v>
      </c>
    </row>
    <row r="31" spans="1:3" ht="14.4">
      <c r="A31" s="3521"/>
      <c r="B31" s="3520"/>
      <c r="C31" s="1532" t="s">
        <v>973</v>
      </c>
    </row>
    <row r="32" spans="1:3" ht="14.4">
      <c r="A32" s="3521"/>
      <c r="B32" s="3520"/>
      <c r="C32" s="1532" t="s">
        <v>974</v>
      </c>
    </row>
    <row r="33" spans="1:3" ht="14.4">
      <c r="A33" s="3521"/>
      <c r="B33" s="3520"/>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2138</v>
      </c>
      <c r="B2" s="2339">
        <f ca="1">TODAY()</f>
        <v>45999</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t="str">
        <f ca="1">IF(C4&lt;B2,"已过期",1119970066)</f>
        <v>已过期</v>
      </c>
      <c r="C4" s="2345">
        <v>45937</v>
      </c>
      <c r="D4" s="2346" t="str">
        <f ca="1">A4&amp;"（注册号："&amp;B4&amp;"）"</f>
        <v>梁津（注册号：已过期）</v>
      </c>
      <c r="E4" s="2347" t="s">
        <v>2147</v>
      </c>
      <c r="F4" s="1304">
        <f ca="1">IF(G4&lt;B2,"已过期",96010014)</f>
        <v>96010014</v>
      </c>
      <c r="G4" s="2348">
        <v>47118</v>
      </c>
      <c r="H4" s="2349" t="str">
        <f ca="1">E4&amp;"（注册号："&amp;F4&amp;"）"</f>
        <v>梁津（注册号：96010014）</v>
      </c>
    </row>
    <row r="5" spans="1:8" ht="24" customHeight="1">
      <c r="A5" s="1304" t="s">
        <v>2148</v>
      </c>
      <c r="B5" s="1304" t="str">
        <f ca="1">IF(C5&lt;B2,"已过期",1119970111)</f>
        <v>已过期</v>
      </c>
      <c r="C5" s="2345">
        <v>45937</v>
      </c>
      <c r="D5" s="2346" t="str">
        <f t="shared" ref="D5:D15" ca="1" si="0">A5&amp;"（注册号："&amp;B5&amp;"）"</f>
        <v>叶凌（注册号：已过期）</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t="str">
        <f ca="1">IF(C7&lt;B2,"已过期",1120000080)</f>
        <v>已过期</v>
      </c>
      <c r="C7" s="2345">
        <v>45937</v>
      </c>
      <c r="D7" s="2346" t="str">
        <f t="shared" ca="1" si="0"/>
        <v>欧红伟（注册号：已过期）</v>
      </c>
      <c r="E7" s="2347" t="s">
        <v>2150</v>
      </c>
      <c r="F7" s="1304">
        <f ca="1">IF(G7&lt;B2,"已过期",2000110082)</f>
        <v>2000110082</v>
      </c>
      <c r="G7" s="2348">
        <v>46387</v>
      </c>
      <c r="H7" s="2349" t="str">
        <f t="shared" ca="1" si="1"/>
        <v>欧红伟（注册号：2000110082）</v>
      </c>
    </row>
    <row r="8" spans="1:8" ht="24" customHeight="1">
      <c r="A8" s="1304" t="s">
        <v>2151</v>
      </c>
      <c r="B8" s="1304" t="str">
        <f ca="1">IF(C8&lt;B2,"已过期",1419970001)</f>
        <v>已过期</v>
      </c>
      <c r="C8" s="2345">
        <v>45937</v>
      </c>
      <c r="D8" s="2346" t="str">
        <f t="shared" ca="1" si="0"/>
        <v>吴薇（注册号：已过期）</v>
      </c>
      <c r="E8" s="2347" t="s">
        <v>2151</v>
      </c>
      <c r="F8" s="1304">
        <f ca="1">IF(G8&lt;B2,"已过期",2002110125)</f>
        <v>2002110125</v>
      </c>
      <c r="G8" s="2348">
        <v>47118</v>
      </c>
      <c r="H8" s="2349" t="str">
        <f t="shared" ca="1" si="1"/>
        <v>吴薇（注册号：2002110125）</v>
      </c>
    </row>
    <row r="9" spans="1:8" ht="24" customHeight="1">
      <c r="A9" s="1304" t="s">
        <v>2152</v>
      </c>
      <c r="B9" s="1304" t="str">
        <f ca="1">IF(C9&lt;B2,"已过期",1120060040)</f>
        <v>已过期</v>
      </c>
      <c r="C9" s="2350">
        <v>45592</v>
      </c>
      <c r="D9" s="2346" t="str">
        <f t="shared" ca="1" si="0"/>
        <v>陈颖（注册号：已过期）</v>
      </c>
      <c r="E9" s="2347" t="s">
        <v>2152</v>
      </c>
      <c r="F9" s="1304">
        <f ca="1">IF(G9&lt;B2,"已过期",2004110096)</f>
        <v>2004110096</v>
      </c>
      <c r="G9" s="2348">
        <v>47118</v>
      </c>
      <c r="H9" s="2349" t="str">
        <f t="shared" ca="1" si="1"/>
        <v>陈颖（注册号：2004110096）</v>
      </c>
    </row>
    <row r="10" spans="1:8" ht="24" customHeight="1">
      <c r="A10" s="1304" t="s">
        <v>2153</v>
      </c>
      <c r="B10" s="1304" t="str">
        <f ca="1">IF(C10&lt;B2,"已过期",1120100036)</f>
        <v>已过期</v>
      </c>
      <c r="C10" s="2350">
        <v>45752</v>
      </c>
      <c r="D10" s="2346" t="str">
        <f t="shared" ca="1" si="0"/>
        <v>崔锴（注册号：已过期）</v>
      </c>
      <c r="E10" s="2347" t="s">
        <v>2153</v>
      </c>
      <c r="F10" s="1304">
        <f ca="1">IF(G10&lt;B2,"已过期",2010110070)</f>
        <v>2010110070</v>
      </c>
      <c r="G10" s="2348">
        <v>47907</v>
      </c>
      <c r="H10" s="2349" t="str">
        <f t="shared" ca="1" si="1"/>
        <v>崔锴（注册号：2010110070）</v>
      </c>
    </row>
    <row r="11" spans="1:8" ht="24" customHeight="1">
      <c r="A11" s="1304" t="s">
        <v>2154</v>
      </c>
      <c r="B11" s="1304" t="str">
        <f ca="1">IF(C11&lt;B2,"已过期",1120070131)</f>
        <v>已过期</v>
      </c>
      <c r="C11" s="2345">
        <v>45937</v>
      </c>
      <c r="D11" s="2346" t="str">
        <f t="shared" ca="1" si="0"/>
        <v>郑燚（注册号：已过期）</v>
      </c>
      <c r="E11" s="2347" t="s">
        <v>2154</v>
      </c>
      <c r="F11" s="1304">
        <f ca="1">IF(G11&lt;B2,"已过期",2014110011)</f>
        <v>2014110011</v>
      </c>
      <c r="G11" s="2348">
        <v>49302</v>
      </c>
      <c r="H11" s="2349" t="str">
        <f t="shared" ca="1" si="1"/>
        <v>郑燚（注册号：2014110011）</v>
      </c>
    </row>
    <row r="12" spans="1:8" ht="24" customHeight="1">
      <c r="A12" s="1304" t="s">
        <v>2155</v>
      </c>
      <c r="B12" s="1304" t="str">
        <f ca="1">IF(C12&lt;B2,"已过期",1120040230)</f>
        <v>已过期</v>
      </c>
      <c r="C12" s="2350">
        <v>45937</v>
      </c>
      <c r="D12" s="2346" t="str">
        <f t="shared" ca="1" si="0"/>
        <v>苏海（注册号：已过期）</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5" t="s">
        <v>2159</v>
      </c>
      <c r="B17" s="3525"/>
      <c r="C17" s="3525"/>
      <c r="D17" s="3525"/>
      <c r="E17" s="3525"/>
      <c r="F17" s="3525"/>
      <c r="G17" s="3525"/>
      <c r="H17" s="3525"/>
    </row>
    <row r="18" spans="1:8" ht="24" customHeight="1">
      <c r="A18" s="3526" t="s">
        <v>2160</v>
      </c>
      <c r="B18" s="3526"/>
      <c r="C18" s="3526"/>
      <c r="D18" s="2343"/>
      <c r="E18" s="3527" t="s">
        <v>2161</v>
      </c>
      <c r="F18" s="3526"/>
      <c r="G18" s="3526"/>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3" priority="53">
      <formula>AND($C4-TODAY()&lt;30,TODAY()&lt;$C4)</formula>
    </cfRule>
  </conditionalFormatting>
  <conditionalFormatting sqref="C20:D20">
    <cfRule type="expression" dxfId="232" priority="52">
      <formula>AND($C20-TODAY()&lt;30,TODAY()&lt;$C20)</formula>
    </cfRule>
  </conditionalFormatting>
  <conditionalFormatting sqref="C20:D20 G4 C4:D5 C13:D13">
    <cfRule type="cellIs" dxfId="231" priority="54" stopIfTrue="1" operator="lessThan">
      <formula>$B$2</formula>
    </cfRule>
  </conditionalFormatting>
  <conditionalFormatting sqref="G5 G7 G9">
    <cfRule type="cellIs" dxfId="230" priority="51" stopIfTrue="1" operator="lessThan">
      <formula>$B$2</formula>
    </cfRule>
  </conditionalFormatting>
  <conditionalFormatting sqref="C6:D6 D14 D16">
    <cfRule type="expression" dxfId="229" priority="49">
      <formula>AND($C6-TODAY()&lt;30,TODAY()&lt;$C6)</formula>
    </cfRule>
  </conditionalFormatting>
  <conditionalFormatting sqref="G6 G8 G10 C6:D6 D7:D12 D14 D16">
    <cfRule type="cellIs" dxfId="228" priority="50" stopIfTrue="1" operator="lessThan">
      <formula>$B$2</formula>
    </cfRule>
  </conditionalFormatting>
  <conditionalFormatting sqref="D12">
    <cfRule type="expression" dxfId="227" priority="47">
      <formula>AND($C12-TODAY()&lt;30,TODAY()&lt;$C12)</formula>
    </cfRule>
  </conditionalFormatting>
  <conditionalFormatting sqref="D12">
    <cfRule type="cellIs" dxfId="226" priority="48" stopIfTrue="1" operator="lessThan">
      <formula>$B$2</formula>
    </cfRule>
  </conditionalFormatting>
  <conditionalFormatting sqref="C13:D13">
    <cfRule type="expression" dxfId="225" priority="45">
      <formula>AND($C13-TODAY()&lt;30,TODAY()&lt;$C13)</formula>
    </cfRule>
  </conditionalFormatting>
  <conditionalFormatting sqref="C13:D13">
    <cfRule type="cellIs" dxfId="224" priority="46" stopIfTrue="1" operator="lessThan">
      <formula>$B$2</formula>
    </cfRule>
  </conditionalFormatting>
  <conditionalFormatting sqref="D14">
    <cfRule type="expression" dxfId="223" priority="43">
      <formula>AND($C14-TODAY()&lt;30,TODAY()&lt;$C14)</formula>
    </cfRule>
  </conditionalFormatting>
  <conditionalFormatting sqref="D14">
    <cfRule type="cellIs" dxfId="222" priority="44" stopIfTrue="1" operator="lessThan">
      <formula>$B$2</formula>
    </cfRule>
  </conditionalFormatting>
  <conditionalFormatting sqref="G13">
    <cfRule type="cellIs" dxfId="221" priority="42" stopIfTrue="1" operator="lessThan">
      <formula>$B$2</formula>
    </cfRule>
  </conditionalFormatting>
  <conditionalFormatting sqref="B4:B11 F4:F11 B13 F13:F14">
    <cfRule type="cellIs" dxfId="220" priority="41" stopIfTrue="1" operator="equal">
      <formula>"已过期"</formula>
    </cfRule>
  </conditionalFormatting>
  <conditionalFormatting sqref="C7">
    <cfRule type="cellIs" dxfId="219" priority="38" stopIfTrue="1" operator="lessThan">
      <formula>$B$2</formula>
    </cfRule>
  </conditionalFormatting>
  <conditionalFormatting sqref="C7">
    <cfRule type="expression" dxfId="218" priority="37">
      <formula>AND($C7-TODAY()&lt;30,TODAY()&lt;$C7)</formula>
    </cfRule>
  </conditionalFormatting>
  <conditionalFormatting sqref="C8">
    <cfRule type="expression" dxfId="217" priority="35">
      <formula>AND($C8-TODAY()&lt;30,TODAY()&lt;$C8)</formula>
    </cfRule>
  </conditionalFormatting>
  <conditionalFormatting sqref="C8">
    <cfRule type="cellIs" dxfId="216" priority="36" stopIfTrue="1" operator="lessThan">
      <formula>$B$2</formula>
    </cfRule>
  </conditionalFormatting>
  <conditionalFormatting sqref="C11">
    <cfRule type="expression" dxfId="215" priority="33">
      <formula>AND($C11-TODAY()&lt;30,TODAY()&lt;$C11)</formula>
    </cfRule>
  </conditionalFormatting>
  <conditionalFormatting sqref="C11">
    <cfRule type="cellIs" dxfId="214" priority="34" stopIfTrue="1" operator="lessThan">
      <formula>$B$2</formula>
    </cfRule>
  </conditionalFormatting>
  <conditionalFormatting sqref="A16:C16">
    <cfRule type="cellIs" dxfId="213" priority="32" stopIfTrue="1" operator="equal">
      <formula>"已过期"</formula>
    </cfRule>
  </conditionalFormatting>
  <conditionalFormatting sqref="E16:G16">
    <cfRule type="cellIs" dxfId="212" priority="31" stopIfTrue="1" operator="equal">
      <formula>"已过期"</formula>
    </cfRule>
  </conditionalFormatting>
  <conditionalFormatting sqref="G11">
    <cfRule type="cellIs" dxfId="211" priority="30" stopIfTrue="1" operator="lessThan">
      <formula>$B$2</formula>
    </cfRule>
  </conditionalFormatting>
  <conditionalFormatting sqref="F12">
    <cfRule type="cellIs" dxfId="210" priority="29" stopIfTrue="1" operator="equal">
      <formula>"已过期"</formula>
    </cfRule>
  </conditionalFormatting>
  <conditionalFormatting sqref="G12">
    <cfRule type="cellIs" dxfId="209" priority="28" stopIfTrue="1" operator="lessThan">
      <formula>$B$2</formula>
    </cfRule>
  </conditionalFormatting>
  <conditionalFormatting sqref="C12">
    <cfRule type="cellIs" dxfId="208" priority="27" stopIfTrue="1" operator="lessThan">
      <formula>$B$2</formula>
    </cfRule>
  </conditionalFormatting>
  <conditionalFormatting sqref="C12">
    <cfRule type="expression" dxfId="207" priority="25">
      <formula>AND($C12-TODAY()&lt;30,TODAY()&lt;$C12)</formula>
    </cfRule>
  </conditionalFormatting>
  <conditionalFormatting sqref="C12">
    <cfRule type="cellIs" dxfId="206" priority="26" stopIfTrue="1" operator="lessThan">
      <formula>$B$2</formula>
    </cfRule>
  </conditionalFormatting>
  <conditionalFormatting sqref="B12">
    <cfRule type="cellIs" dxfId="205" priority="24"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8">
      <formula>AND($C14-TODAY()&lt;30,TODAY()&lt;$C14)</formula>
    </cfRule>
  </conditionalFormatting>
  <conditionalFormatting sqref="C14">
    <cfRule type="cellIs" dxfId="199" priority="19" stopIfTrue="1" operator="lessThan">
      <formula>$B$2</formula>
    </cfRule>
  </conditionalFormatting>
  <conditionalFormatting sqref="C14">
    <cfRule type="expression" dxfId="198" priority="16">
      <formula>AND($C14-TODAY()&lt;30,TODAY()&lt;$C14)</formula>
    </cfRule>
  </conditionalFormatting>
  <conditionalFormatting sqref="C14">
    <cfRule type="cellIs" dxfId="197" priority="17" stopIfTrue="1" operator="lessThan">
      <formula>$B$2</formula>
    </cfRule>
  </conditionalFormatting>
  <conditionalFormatting sqref="B14">
    <cfRule type="cellIs" dxfId="196" priority="15" stopIfTrue="1" operator="equal">
      <formula>"已过期"</formula>
    </cfRule>
  </conditionalFormatting>
  <conditionalFormatting sqref="G14">
    <cfRule type="cellIs" dxfId="195" priority="14" stopIfTrue="1" operator="lessThan">
      <formula>$B$2</formula>
    </cfRule>
  </conditionalFormatting>
  <conditionalFormatting sqref="D15">
    <cfRule type="expression" dxfId="194" priority="12">
      <formula>AND($C15-TODAY()&lt;30,TODAY()&lt;$C15)</formula>
    </cfRule>
  </conditionalFormatting>
  <conditionalFormatting sqref="D15">
    <cfRule type="cellIs" dxfId="193" priority="13" stopIfTrue="1" operator="lessThan">
      <formula>$B$2</formula>
    </cfRule>
  </conditionalFormatting>
  <conditionalFormatting sqref="D15">
    <cfRule type="expression" dxfId="192" priority="10">
      <formula>AND($C15-TODAY()&lt;30,TODAY()&lt;$C15)</formula>
    </cfRule>
  </conditionalFormatting>
  <conditionalFormatting sqref="D15">
    <cfRule type="cellIs" dxfId="191" priority="11" stopIfTrue="1" operator="lessThan">
      <formula>$B$2</formula>
    </cfRule>
  </conditionalFormatting>
  <conditionalFormatting sqref="F15">
    <cfRule type="cellIs" dxfId="190" priority="9" stopIfTrue="1" operator="equal">
      <formula>"已过期"</formula>
    </cfRule>
  </conditionalFormatting>
  <conditionalFormatting sqref="C15">
    <cfRule type="expression" dxfId="189" priority="7">
      <formula>AND($C15-TODAY()&lt;30,TODAY()&lt;$C15)</formula>
    </cfRule>
  </conditionalFormatting>
  <conditionalFormatting sqref="C15">
    <cfRule type="cellIs" dxfId="188" priority="8" stopIfTrue="1" operator="lessThan">
      <formula>$B$2</formula>
    </cfRule>
  </conditionalFormatting>
  <conditionalFormatting sqref="C15">
    <cfRule type="expression" dxfId="187" priority="5">
      <formula>AND($C15-TODAY()&lt;30,TODAY()&lt;$C15)</formula>
    </cfRule>
  </conditionalFormatting>
  <conditionalFormatting sqref="C15">
    <cfRule type="cellIs" dxfId="186" priority="6" stopIfTrue="1" operator="lessThan">
      <formula>$B$2</formula>
    </cfRule>
  </conditionalFormatting>
  <conditionalFormatting sqref="B15">
    <cfRule type="cellIs" dxfId="185" priority="4" stopIfTrue="1" operator="equal">
      <formula>"已过期"</formula>
    </cfRule>
  </conditionalFormatting>
  <conditionalFormatting sqref="G15">
    <cfRule type="cellIs" dxfId="184" priority="3" stopIfTrue="1" operator="lessThan">
      <formula>$B$2</formula>
    </cfRule>
  </conditionalFormatting>
  <conditionalFormatting sqref="G20">
    <cfRule type="expression" dxfId="183" priority="1" stopIfTrue="1">
      <formula>AND(#REF!-TODAY()&lt;30,TODAY()&lt;#REF!)</formula>
    </cfRule>
  </conditionalFormatting>
  <conditionalFormatting sqref="G20">
    <cfRule type="cellIs" dxfId="18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2025-12-08T05:52:35Z</dcterms:modified>
</cp:coreProperties>
</file>