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法院\2025-1-0799北京市东城区上龙西里40号楼1单元305号\"/>
    </mc:Choice>
  </mc:AlternateContent>
  <bookViews>
    <workbookView xWindow="0" yWindow="0" windowWidth="18444" windowHeight="13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3" r:id="rId27"/>
    <sheet name="上龙西里（蝴蝶）" sheetId="94"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91" i="21" l="1"/>
  <c r="I33" i="21"/>
  <c r="I47" i="21"/>
  <c r="I7" i="21"/>
  <c r="G59" i="21"/>
  <c r="F59" i="21"/>
  <c r="C37" i="21"/>
  <c r="G33" i="21"/>
  <c r="E33" i="21"/>
  <c r="G6" i="21"/>
  <c r="E6" i="21"/>
  <c r="G47" i="21"/>
  <c r="E47" i="21"/>
  <c r="G5" i="21"/>
  <c r="E5" i="21"/>
  <c r="G7" i="21"/>
  <c r="E7" i="21"/>
  <c r="C6" i="69"/>
  <c r="N20" i="1"/>
  <c r="E90" i="21"/>
  <c r="G44" i="21"/>
  <c r="E44" i="21"/>
  <c r="H59" i="21"/>
  <c r="I44" i="21"/>
  <c r="F19" i="6"/>
  <c r="B27" i="9" s="1"/>
  <c r="N59" i="21"/>
  <c r="M59" i="21"/>
  <c r="J59" i="21"/>
  <c r="D90" i="21"/>
  <c r="D5" i="9"/>
  <c r="I12" i="21"/>
  <c r="G12" i="21"/>
  <c r="K59" i="21"/>
  <c r="F90" i="21"/>
  <c r="C90" i="21"/>
  <c r="C126" i="21"/>
  <c r="B14" i="74"/>
  <c r="C33" i="21"/>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S15" i="79"/>
  <c r="R13" i="79"/>
  <c r="S14" i="79"/>
  <c r="T15" i="79"/>
  <c r="W15" i="79"/>
  <c r="AA26" i="79"/>
  <c r="AD26" i="79"/>
  <c r="AD37" i="79"/>
  <c r="V17" i="79"/>
  <c r="M26" i="79"/>
  <c r="P26" i="79"/>
  <c r="Z3" i="79"/>
  <c r="V13" i="79"/>
  <c r="U17" i="79"/>
  <c r="S28" i="79"/>
  <c r="T30" i="79"/>
  <c r="W30" i="79"/>
  <c r="U36" i="79"/>
  <c r="S38" i="79"/>
  <c r="U40" i="79"/>
  <c r="AD41" i="79"/>
  <c r="R17" i="79"/>
  <c r="S17" i="79"/>
  <c r="N26"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W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A22" i="51"/>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6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E80" i="71"/>
  <c r="U80" i="71"/>
  <c r="C80" i="71"/>
  <c r="C79" i="71"/>
  <c r="B80" i="71"/>
  <c r="Q79" i="71"/>
  <c r="P79" i="71"/>
  <c r="O79" i="71"/>
  <c r="N79" i="71"/>
  <c r="Q78" i="71"/>
  <c r="P78" i="71"/>
  <c r="O78" i="71"/>
  <c r="N78" i="71"/>
  <c r="Q77" i="71"/>
  <c r="P77" i="71"/>
  <c r="O77" i="71"/>
  <c r="N77" i="71"/>
  <c r="D77" i="71"/>
  <c r="Q76" i="71"/>
  <c r="P76" i="71"/>
  <c r="O76" i="71"/>
  <c r="N76" i="71"/>
  <c r="F76" i="71"/>
  <c r="V76" i="71"/>
  <c r="E76" i="71"/>
  <c r="U76" i="71"/>
  <c r="C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B71" i="71"/>
  <c r="B70" i="71"/>
  <c r="S72" i="71"/>
  <c r="Q71" i="71"/>
  <c r="P71" i="71"/>
  <c r="O71" i="71"/>
  <c r="N71" i="71"/>
  <c r="Q70" i="71"/>
  <c r="P70" i="71"/>
  <c r="O70" i="71"/>
  <c r="N70" i="71"/>
  <c r="Q69" i="71"/>
  <c r="P69" i="71"/>
  <c r="O69" i="71"/>
  <c r="N69" i="71"/>
  <c r="D69" i="71"/>
  <c r="F68" i="71"/>
  <c r="V68" i="71"/>
  <c r="E68" i="71"/>
  <c r="C68" i="71"/>
  <c r="D68" i="71"/>
  <c r="B68" i="71"/>
  <c r="B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D61" i="71"/>
  <c r="Q60" i="71"/>
  <c r="P60" i="71"/>
  <c r="O60" i="71"/>
  <c r="N60" i="71"/>
  <c r="Q59" i="71"/>
  <c r="P59" i="71"/>
  <c r="O59" i="71"/>
  <c r="N59" i="71"/>
  <c r="Q58" i="71"/>
  <c r="P58" i="71"/>
  <c r="O58" i="71"/>
  <c r="N58" i="71"/>
  <c r="Q57" i="71"/>
  <c r="F58" i="71"/>
  <c r="F59" i="71"/>
  <c r="F60" i="71"/>
  <c r="V60" i="71"/>
  <c r="P57" i="71"/>
  <c r="E58"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37" i="71"/>
  <c r="Z37" i="71"/>
  <c r="N39" i="71"/>
  <c r="X39" i="71"/>
  <c r="Q38" i="71"/>
  <c r="AB38" i="71"/>
  <c r="P38" i="71"/>
  <c r="O38" i="71"/>
  <c r="N38" i="71"/>
  <c r="X38" i="71"/>
  <c r="Q37"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N33" i="71"/>
  <c r="B34" i="71"/>
  <c r="D33" i="71"/>
  <c r="Q32" i="71"/>
  <c r="P32" i="71"/>
  <c r="O32" i="71"/>
  <c r="N32" i="71"/>
  <c r="Q31" i="71"/>
  <c r="P31" i="71"/>
  <c r="O31" i="71"/>
  <c r="N31" i="71"/>
  <c r="Q30" i="71"/>
  <c r="P30" i="71"/>
  <c r="O30" i="71"/>
  <c r="N30" i="71"/>
  <c r="Q29" i="71"/>
  <c r="F30" i="71"/>
  <c r="P29" i="71"/>
  <c r="E30" i="71"/>
  <c r="E31" i="71"/>
  <c r="E32" i="71"/>
  <c r="U32" i="71"/>
  <c r="O29" i="71"/>
  <c r="C30" i="71"/>
  <c r="C31" i="71"/>
  <c r="N29" i="71"/>
  <c r="D29" i="71"/>
  <c r="O28" i="71"/>
  <c r="N28" i="71"/>
  <c r="B28" i="71"/>
  <c r="B30" i="71"/>
  <c r="B31" i="71"/>
  <c r="B32" i="71"/>
  <c r="S32" i="71"/>
  <c r="C38" i="71"/>
  <c r="C28" i="71"/>
  <c r="T28" i="71"/>
  <c r="P28" i="71"/>
  <c r="E28" i="71"/>
  <c r="Q28" i="71"/>
  <c r="C59" i="71"/>
  <c r="D59" i="71"/>
  <c r="E71" i="71"/>
  <c r="E70" i="71"/>
  <c r="E75" i="71"/>
  <c r="E74" i="71"/>
  <c r="E79" i="71"/>
  <c r="E78" i="7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5" i="40"/>
  <c r="C22" i="20"/>
  <c r="B100" i="43"/>
  <c r="S25" i="40"/>
  <c r="H25" i="40"/>
  <c r="AB25" i="40"/>
  <c r="J25" i="40"/>
  <c r="W25" i="40"/>
  <c r="H29" i="39"/>
  <c r="AB29" i="39"/>
  <c r="J29" i="39"/>
  <c r="AC29" i="39"/>
  <c r="J18" i="36"/>
  <c r="AC18" i="36"/>
  <c r="H18" i="35"/>
  <c r="AB18" i="35"/>
  <c r="J18" i="35"/>
  <c r="AC18" i="35"/>
  <c r="H21" i="37"/>
  <c r="F21" i="37"/>
  <c r="AA21" i="37"/>
  <c r="H21" i="34"/>
  <c r="H21" i="33"/>
  <c r="F21" i="33"/>
  <c r="S21" i="33"/>
  <c r="H1" i="69"/>
  <c r="AC25" i="40"/>
  <c r="S21" i="37"/>
  <c r="J21" i="37"/>
  <c r="J21" i="34"/>
  <c r="W21" i="34"/>
  <c r="J21" i="33"/>
  <c r="W21" i="33"/>
  <c r="H21" i="21"/>
  <c r="U21" i="21"/>
  <c r="F38" i="69"/>
  <c r="E37" i="69"/>
  <c r="F36" i="69"/>
  <c r="F35" i="69"/>
  <c r="F21" i="69"/>
  <c r="F20" i="69"/>
  <c r="F39" i="69"/>
  <c r="E10" i="69"/>
  <c r="E9" i="69"/>
  <c r="AC21" i="33"/>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3"/>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c r="AP6" i="1" s="1"/>
  <c r="E20" i="6"/>
  <c r="E21" i="6"/>
  <c r="K8" i="1"/>
  <c r="M8" i="1" s="1"/>
  <c r="F23" i="15"/>
  <c r="D24" i="15"/>
  <c r="E22" i="6"/>
  <c r="E23" i="6"/>
  <c r="K10" i="1"/>
  <c r="O10" i="1"/>
  <c r="P10" i="1"/>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c r="BE512" i="3"/>
  <c r="BF512" i="3"/>
  <c r="BG512" i="3"/>
  <c r="BH512" i="3"/>
  <c r="BI512" i="3"/>
  <c r="BJ512" i="3"/>
  <c r="BK512" i="3"/>
  <c r="BM512" i="3"/>
  <c r="BL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c r="BQ518" i="3"/>
  <c r="BR518" i="3"/>
  <c r="BS518" i="3"/>
  <c r="BT518" i="3"/>
  <c r="H519" i="3"/>
  <c r="AC519" i="3"/>
  <c r="BB519" i="3"/>
  <c r="BC519" i="3"/>
  <c r="BA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c r="BP538" i="3"/>
  <c r="BQ538" i="3"/>
  <c r="BR538" i="3"/>
  <c r="BS538" i="3"/>
  <c r="BT538" i="3"/>
  <c r="H539" i="3"/>
  <c r="AC539" i="3"/>
  <c r="BB539" i="3"/>
  <c r="BA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G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G553" i="3"/>
  <c r="AC553" i="3"/>
  <c r="BB553" i="3"/>
  <c r="BC553" i="3"/>
  <c r="BD553" i="3"/>
  <c r="BA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c r="BC556" i="3"/>
  <c r="BD556" i="3"/>
  <c r="BE556" i="3"/>
  <c r="BF556" i="3"/>
  <c r="BG556" i="3"/>
  <c r="BH556" i="3"/>
  <c r="BI556" i="3"/>
  <c r="BJ556" i="3"/>
  <c r="BK556" i="3"/>
  <c r="BM556" i="3"/>
  <c r="BN556" i="3"/>
  <c r="BO556" i="3"/>
  <c r="BL556" i="3"/>
  <c r="BP556" i="3"/>
  <c r="BQ556" i="3"/>
  <c r="BR556" i="3"/>
  <c r="BS556" i="3"/>
  <c r="BT556" i="3"/>
  <c r="H557" i="3"/>
  <c r="BB557" i="3"/>
  <c r="BC557" i="3"/>
  <c r="BA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c r="BO560" i="3"/>
  <c r="BP560" i="3"/>
  <c r="BQ560" i="3"/>
  <c r="BR560" i="3"/>
  <c r="BS560" i="3"/>
  <c r="BT560" i="3"/>
  <c r="H561" i="3"/>
  <c r="AC561" i="3"/>
  <c r="BB561" i="3"/>
  <c r="BC561" i="3"/>
  <c r="BD561" i="3"/>
  <c r="BE561" i="3"/>
  <c r="BA561" i="3"/>
  <c r="BF561" i="3"/>
  <c r="BG561" i="3"/>
  <c r="BH561" i="3"/>
  <c r="BI561" i="3"/>
  <c r="BJ561" i="3"/>
  <c r="BK561" i="3"/>
  <c r="BM561" i="3"/>
  <c r="BN561" i="3"/>
  <c r="BL561" i="3"/>
  <c r="BO561" i="3"/>
  <c r="BP561" i="3"/>
  <c r="BR561" i="3"/>
  <c r="BS561" i="3"/>
  <c r="BT561" i="3"/>
  <c r="H562" i="3"/>
  <c r="AC562" i="3"/>
  <c r="BB562" i="3"/>
  <c r="BA562" i="3"/>
  <c r="BC562" i="3"/>
  <c r="BD562" i="3"/>
  <c r="BE562" i="3"/>
  <c r="BF562" i="3"/>
  <c r="BG562" i="3"/>
  <c r="BH562" i="3"/>
  <c r="BI562" i="3"/>
  <c r="BJ562" i="3"/>
  <c r="BK562" i="3"/>
  <c r="BM562" i="3"/>
  <c r="BN562" i="3"/>
  <c r="BO562" i="3"/>
  <c r="BP562" i="3"/>
  <c r="BQ562" i="3"/>
  <c r="BR562" i="3"/>
  <c r="BS562" i="3"/>
  <c r="BT562" i="3"/>
  <c r="H563" i="3"/>
  <c r="AC563" i="3"/>
  <c r="BB563" i="3"/>
  <c r="BA563" i="3"/>
  <c r="BC563" i="3"/>
  <c r="BD563" i="3"/>
  <c r="BE563" i="3"/>
  <c r="BF563" i="3"/>
  <c r="BG563" i="3"/>
  <c r="BH563" i="3"/>
  <c r="BI563" i="3"/>
  <c r="BJ563" i="3"/>
  <c r="BK563" i="3"/>
  <c r="BM563" i="3"/>
  <c r="BN563" i="3"/>
  <c r="BO563" i="3"/>
  <c r="BP563" i="3"/>
  <c r="BR563" i="3"/>
  <c r="BS563" i="3"/>
  <c r="BT563" i="3"/>
  <c r="H564" i="3"/>
  <c r="AC564" i="3"/>
  <c r="BB564" i="3"/>
  <c r="BC564" i="3"/>
  <c r="BA564" i="3"/>
  <c r="AZ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c r="AC35" i="39"/>
  <c r="B111" i="39"/>
  <c r="J30" i="36"/>
  <c r="AC30" i="36"/>
  <c r="H30" i="36"/>
  <c r="F30" i="36"/>
  <c r="AA30" i="36"/>
  <c r="C26" i="35"/>
  <c r="C79" i="35"/>
  <c r="J31" i="35"/>
  <c r="W31" i="35"/>
  <c r="H31" i="35"/>
  <c r="U31" i="35"/>
  <c r="F31" i="35"/>
  <c r="AA31" i="35"/>
  <c r="D87" i="35"/>
  <c r="E87" i="35"/>
  <c r="F87" i="35"/>
  <c r="G87" i="35"/>
  <c r="H87" i="35"/>
  <c r="I87" i="35"/>
  <c r="J87" i="35"/>
  <c r="K87" i="35"/>
  <c r="L87" i="35"/>
  <c r="M87" i="35"/>
  <c r="H34" i="37"/>
  <c r="D101" i="37"/>
  <c r="F34" i="37"/>
  <c r="S34" i="37"/>
  <c r="D99" i="37"/>
  <c r="E99" i="37"/>
  <c r="F99" i="37"/>
  <c r="G99" i="37"/>
  <c r="H99" i="37"/>
  <c r="I99" i="37"/>
  <c r="J99" i="37"/>
  <c r="K99" i="37"/>
  <c r="L99" i="37"/>
  <c r="M99" i="37"/>
  <c r="H42" i="34"/>
  <c r="J42" i="34"/>
  <c r="W42" i="34"/>
  <c r="F42" i="34"/>
  <c r="S42" i="34"/>
  <c r="J38" i="34"/>
  <c r="W38" i="34"/>
  <c r="D114" i="34"/>
  <c r="F38" i="34"/>
  <c r="S38" i="34"/>
  <c r="D112" i="34"/>
  <c r="E112" i="34"/>
  <c r="F112" i="34"/>
  <c r="G112" i="34"/>
  <c r="H112" i="34"/>
  <c r="I112" i="34"/>
  <c r="J112" i="34"/>
  <c r="K112" i="34"/>
  <c r="L112" i="34"/>
  <c r="M112" i="34"/>
  <c r="F40" i="33"/>
  <c r="AA40" i="33"/>
  <c r="J41" i="33"/>
  <c r="AC41" i="33"/>
  <c r="D113" i="33"/>
  <c r="E113" i="33"/>
  <c r="F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E108" i="39"/>
  <c r="F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J14" i="39"/>
  <c r="AC14" i="39"/>
  <c r="B83" i="39"/>
  <c r="B81" i="39"/>
  <c r="M78" i="39"/>
  <c r="L78" i="39"/>
  <c r="K78" i="39"/>
  <c r="J78" i="39"/>
  <c r="I78" i="39"/>
  <c r="H78" i="39"/>
  <c r="G78" i="39"/>
  <c r="F78" i="39"/>
  <c r="E78" i="39"/>
  <c r="D78" i="39"/>
  <c r="C78" i="39"/>
  <c r="P48" i="39"/>
  <c r="P47" i="39"/>
  <c r="V46" i="39"/>
  <c r="T46" i="39"/>
  <c r="R46" i="39"/>
  <c r="P46" i="39"/>
  <c r="J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F25" i="37"/>
  <c r="AA25" i="37"/>
  <c r="H25" i="37"/>
  <c r="U25" i="37"/>
  <c r="B110" i="37"/>
  <c r="J39" i="37"/>
  <c r="AC39" i="37"/>
  <c r="B108" i="37"/>
  <c r="C23" i="37"/>
  <c r="C19" i="37"/>
  <c r="C17" i="37"/>
  <c r="C15" i="37"/>
  <c r="B112" i="37"/>
  <c r="D107" i="37"/>
  <c r="E107" i="37"/>
  <c r="F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B82" i="37"/>
  <c r="H26" i="37"/>
  <c r="AB26" i="37"/>
  <c r="D79" i="37"/>
  <c r="E79" i="37"/>
  <c r="D75" i="37"/>
  <c r="E75" i="37"/>
  <c r="D73" i="37"/>
  <c r="E73" i="37"/>
  <c r="F73" i="37"/>
  <c r="D71" i="37"/>
  <c r="E71" i="37"/>
  <c r="F71" i="37"/>
  <c r="G71" i="37"/>
  <c r="H15" i="37"/>
  <c r="AB15" i="37"/>
  <c r="B68" i="37"/>
  <c r="B66" i="37"/>
  <c r="B64" i="37"/>
  <c r="J12" i="37"/>
  <c r="W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H13" i="36"/>
  <c r="AB13"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B77" i="35"/>
  <c r="B75" i="35"/>
  <c r="J24" i="35"/>
  <c r="AC24" i="35"/>
  <c r="B73" i="35"/>
  <c r="B57" i="35"/>
  <c r="B61" i="35"/>
  <c r="F13" i="35"/>
  <c r="B59" i="35"/>
  <c r="B131" i="34"/>
  <c r="B129" i="34"/>
  <c r="B127" i="34"/>
  <c r="J45" i="34"/>
  <c r="B99" i="34"/>
  <c r="H32" i="34"/>
  <c r="B97" i="34"/>
  <c r="B95" i="34"/>
  <c r="B93" i="34"/>
  <c r="B75" i="34"/>
  <c r="J14" i="34"/>
  <c r="W14" i="34"/>
  <c r="B73" i="34"/>
  <c r="B71" i="34"/>
  <c r="B130" i="33"/>
  <c r="H46" i="33"/>
  <c r="B128" i="33"/>
  <c r="J45" i="33"/>
  <c r="W45" i="33"/>
  <c r="B126" i="33"/>
  <c r="B98" i="33"/>
  <c r="B96" i="33"/>
  <c r="J30" i="33"/>
  <c r="B94" i="33"/>
  <c r="F29" i="33"/>
  <c r="S29"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AA27" i="33"/>
  <c r="D87" i="33"/>
  <c r="E87" i="33"/>
  <c r="D85" i="33"/>
  <c r="E85" i="33"/>
  <c r="F85" i="33"/>
  <c r="G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Q38" i="33"/>
  <c r="Z38" i="33"/>
  <c r="J38" i="33"/>
  <c r="AC38" i="33"/>
  <c r="H38" i="33"/>
  <c r="AB38" i="33"/>
  <c r="F38" i="33"/>
  <c r="AA38" i="33"/>
  <c r="Q37" i="33"/>
  <c r="Z37" i="33"/>
  <c r="Q36" i="33"/>
  <c r="Z36" i="33"/>
  <c r="Q35" i="33"/>
  <c r="Z35" i="33"/>
  <c r="H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B75" i="43"/>
  <c r="C21" i="20"/>
  <c r="B99" i="43"/>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B126" i="21"/>
  <c r="B98" i="21"/>
  <c r="F31" i="21"/>
  <c r="B96" i="21"/>
  <c r="H30" i="21"/>
  <c r="U30" i="21"/>
  <c r="B94" i="21"/>
  <c r="J29" i="21"/>
  <c r="AC29" i="21"/>
  <c r="B92" i="21"/>
  <c r="J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H34" i="21"/>
  <c r="U34" i="21"/>
  <c r="H38" i="21"/>
  <c r="AB38" i="21"/>
  <c r="H43" i="21"/>
  <c r="AB43" i="21"/>
  <c r="F38" i="21"/>
  <c r="S38" i="21"/>
  <c r="F39" i="21"/>
  <c r="AA39" i="21"/>
  <c r="J40" i="21"/>
  <c r="W40" i="21"/>
  <c r="H35" i="21"/>
  <c r="AB35" i="21"/>
  <c r="J8" i="21"/>
  <c r="AC8" i="21"/>
  <c r="H8" i="21"/>
  <c r="U8" i="21"/>
  <c r="H10" i="21"/>
  <c r="AB10" i="21"/>
  <c r="H39" i="21"/>
  <c r="U39" i="21"/>
  <c r="F35" i="21"/>
  <c r="AA35" i="21"/>
  <c r="J10" i="21"/>
  <c r="AC10" i="21"/>
  <c r="AB19" i="21"/>
  <c r="J19" i="21"/>
  <c r="W19" i="21"/>
  <c r="AB41" i="21"/>
  <c r="F45" i="39"/>
  <c r="S45" i="39"/>
  <c r="J45" i="39"/>
  <c r="W45" i="39"/>
  <c r="W31" i="37"/>
  <c r="F103" i="37"/>
  <c r="G103" i="37"/>
  <c r="H103" i="37"/>
  <c r="I103" i="37"/>
  <c r="J103" i="37"/>
  <c r="K103" i="37"/>
  <c r="L103" i="37"/>
  <c r="M103" i="37"/>
  <c r="F39" i="37"/>
  <c r="S39" i="37"/>
  <c r="F29" i="36"/>
  <c r="AA29" i="36"/>
  <c r="F16" i="36"/>
  <c r="W28" i="36"/>
  <c r="U31" i="36"/>
  <c r="H22" i="35"/>
  <c r="AB22" i="35"/>
  <c r="AC27" i="35"/>
  <c r="W22" i="35"/>
  <c r="S31" i="35"/>
  <c r="F36" i="34"/>
  <c r="J35" i="34"/>
  <c r="H39" i="33"/>
  <c r="AB39" i="33"/>
  <c r="F26" i="33"/>
  <c r="S40" i="33"/>
  <c r="W33" i="33"/>
  <c r="H39" i="37"/>
  <c r="S27" i="35"/>
  <c r="F11" i="40"/>
  <c r="AA11" i="40"/>
  <c r="H11" i="40"/>
  <c r="AB11" i="40"/>
  <c r="AA9" i="40"/>
  <c r="U9" i="40"/>
  <c r="U34" i="40"/>
  <c r="F42" i="39"/>
  <c r="AA42" i="39"/>
  <c r="F41" i="39"/>
  <c r="S41" i="39"/>
  <c r="H40" i="39"/>
  <c r="AB40" i="39"/>
  <c r="H39" i="39"/>
  <c r="U39" i="39"/>
  <c r="S38" i="39"/>
  <c r="H34"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9" i="39"/>
  <c r="AC19" i="39"/>
  <c r="J17" i="39"/>
  <c r="J27" i="39"/>
  <c r="AC27" i="39"/>
  <c r="F27" i="39"/>
  <c r="F11" i="21"/>
  <c r="S11" i="21"/>
  <c r="C25" i="39"/>
  <c r="H11" i="39"/>
  <c r="H32" i="33"/>
  <c r="H11" i="21"/>
  <c r="U11" i="21"/>
  <c r="J11" i="21"/>
  <c r="W11" i="21"/>
  <c r="H37" i="40"/>
  <c r="U37" i="40"/>
  <c r="H36" i="40"/>
  <c r="AB36" i="40"/>
  <c r="F35" i="40"/>
  <c r="AA35" i="40"/>
  <c r="H23" i="40"/>
  <c r="AB23" i="40"/>
  <c r="H17" i="40"/>
  <c r="U17" i="40"/>
  <c r="J15" i="40"/>
  <c r="W15" i="40"/>
  <c r="J11" i="40"/>
  <c r="AB8" i="39"/>
  <c r="J34" i="36"/>
  <c r="W34" i="36"/>
  <c r="U30" i="36"/>
  <c r="J30" i="35"/>
  <c r="W30" i="35"/>
  <c r="H30" i="35"/>
  <c r="AB30" i="35"/>
  <c r="F22" i="35"/>
  <c r="H10" i="35"/>
  <c r="U10" i="35"/>
  <c r="W30" i="36"/>
  <c r="H16" i="36"/>
  <c r="AB16" i="36"/>
  <c r="J29" i="36"/>
  <c r="AC29" i="36"/>
  <c r="F12" i="36"/>
  <c r="S12" i="36"/>
  <c r="F24" i="36"/>
  <c r="AA24" i="36"/>
  <c r="F34" i="36"/>
  <c r="S34" i="36"/>
  <c r="F14" i="35"/>
  <c r="J32" i="35"/>
  <c r="AC32" i="35"/>
  <c r="J16" i="35"/>
  <c r="AC16" i="35"/>
  <c r="H16" i="35"/>
  <c r="U16" i="35"/>
  <c r="F16" i="35"/>
  <c r="S16" i="35"/>
  <c r="H14" i="35"/>
  <c r="AB14" i="35"/>
  <c r="J29" i="35"/>
  <c r="H33" i="35"/>
  <c r="J20" i="35"/>
  <c r="F35" i="37"/>
  <c r="S35" i="37"/>
  <c r="E101" i="37"/>
  <c r="F101" i="37"/>
  <c r="G101" i="37"/>
  <c r="H101" i="37"/>
  <c r="I101" i="37"/>
  <c r="J101" i="37"/>
  <c r="K101" i="37"/>
  <c r="L101" i="37"/>
  <c r="M101" i="37"/>
  <c r="J34" i="37"/>
  <c r="W34" i="37"/>
  <c r="AB34" i="37"/>
  <c r="J33" i="37"/>
  <c r="AC33" i="37"/>
  <c r="U42" i="34"/>
  <c r="H40" i="34"/>
  <c r="U40" i="34"/>
  <c r="E114" i="34"/>
  <c r="F114" i="34"/>
  <c r="G114" i="34"/>
  <c r="H114" i="34"/>
  <c r="I114" i="34"/>
  <c r="J114" i="34"/>
  <c r="K114" i="34"/>
  <c r="L114" i="34"/>
  <c r="M114" i="34"/>
  <c r="H36" i="34"/>
  <c r="U36" i="34"/>
  <c r="F37" i="34"/>
  <c r="AA37" i="34"/>
  <c r="S35" i="34"/>
  <c r="F25" i="34"/>
  <c r="S25" i="34"/>
  <c r="H23" i="34"/>
  <c r="U23" i="34"/>
  <c r="J23" i="34"/>
  <c r="F19" i="34"/>
  <c r="H17" i="34"/>
  <c r="F15" i="34"/>
  <c r="AA15" i="34"/>
  <c r="J15" i="34"/>
  <c r="H15" i="34"/>
  <c r="AB15" i="34"/>
  <c r="F41" i="33"/>
  <c r="S41" i="33"/>
  <c r="F32" i="33"/>
  <c r="AA32" i="33"/>
  <c r="J19" i="33"/>
  <c r="AC19" i="33"/>
  <c r="J15" i="33"/>
  <c r="AC15" i="33"/>
  <c r="F11" i="33"/>
  <c r="AA11" i="33"/>
  <c r="W40" i="33"/>
  <c r="F37" i="40"/>
  <c r="AA37" i="40"/>
  <c r="F36" i="40"/>
  <c r="AA36" i="40"/>
  <c r="H28" i="40"/>
  <c r="U28" i="40"/>
  <c r="F23" i="40"/>
  <c r="F17" i="40"/>
  <c r="AA17" i="40"/>
  <c r="J17" i="40"/>
  <c r="W17" i="40"/>
  <c r="F15" i="40"/>
  <c r="S15" i="40"/>
  <c r="H15" i="40"/>
  <c r="AB15" i="40"/>
  <c r="AB30" i="36"/>
  <c r="F29" i="35"/>
  <c r="H29" i="35"/>
  <c r="AB29" i="35"/>
  <c r="H33" i="37"/>
  <c r="F33" i="37"/>
  <c r="AA33" i="37"/>
  <c r="U34" i="37"/>
  <c r="J43" i="34"/>
  <c r="AB42" i="34"/>
  <c r="J40" i="34"/>
  <c r="H38" i="34"/>
  <c r="AB38" i="34"/>
  <c r="J36" i="34"/>
  <c r="AC36" i="34"/>
  <c r="H37" i="34"/>
  <c r="U37" i="34"/>
  <c r="H25" i="34"/>
  <c r="AB25" i="34"/>
  <c r="J25" i="34"/>
  <c r="AC25" i="34"/>
  <c r="AB23" i="34"/>
  <c r="F23" i="34"/>
  <c r="AA23" i="34"/>
  <c r="J19" i="34"/>
  <c r="AC19" i="34"/>
  <c r="F17" i="34"/>
  <c r="J17" i="34"/>
  <c r="W17" i="34"/>
  <c r="G113" i="33"/>
  <c r="H113" i="33"/>
  <c r="I113" i="33"/>
  <c r="J113" i="33"/>
  <c r="K113" i="33"/>
  <c r="L113" i="33"/>
  <c r="M113" i="33"/>
  <c r="H37" i="33"/>
  <c r="AB37" i="33"/>
  <c r="H15" i="33"/>
  <c r="AB15" i="33"/>
  <c r="H11" i="33"/>
  <c r="AB11" i="33"/>
  <c r="F28" i="40"/>
  <c r="AA28" i="40"/>
  <c r="AC38" i="34"/>
  <c r="AA38" i="34"/>
  <c r="J37" i="34"/>
  <c r="AC37" i="34"/>
  <c r="J11" i="33"/>
  <c r="W11" i="33"/>
  <c r="J44" i="34"/>
  <c r="F44" i="34"/>
  <c r="J10" i="35"/>
  <c r="AC10" i="35"/>
  <c r="J14" i="21"/>
  <c r="W14" i="21"/>
  <c r="F14" i="21"/>
  <c r="S14" i="21"/>
  <c r="H14" i="21"/>
  <c r="U14" i="21"/>
  <c r="H28" i="21"/>
  <c r="AB28" i="21"/>
  <c r="F28" i="21"/>
  <c r="AA28" i="21"/>
  <c r="J30" i="21"/>
  <c r="AC30" i="21"/>
  <c r="J44" i="21"/>
  <c r="AC44" i="21"/>
  <c r="H44" i="21"/>
  <c r="U44" i="21"/>
  <c r="F44" i="21"/>
  <c r="AA44" i="21"/>
  <c r="H26" i="33"/>
  <c r="H28" i="33"/>
  <c r="U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S31" i="21"/>
  <c r="J13" i="33"/>
  <c r="H13" i="33"/>
  <c r="U13" i="33"/>
  <c r="F13" i="33"/>
  <c r="S13" i="33"/>
  <c r="H29" i="33"/>
  <c r="J31" i="33"/>
  <c r="W31" i="33"/>
  <c r="H31" i="33"/>
  <c r="F31" i="33"/>
  <c r="F14" i="34"/>
  <c r="H30" i="34"/>
  <c r="F30" i="34"/>
  <c r="S30" i="34"/>
  <c r="J30" i="34"/>
  <c r="H46" i="34"/>
  <c r="U46" i="34"/>
  <c r="F46" i="34"/>
  <c r="J46" i="34"/>
  <c r="H11" i="35"/>
  <c r="AB11" i="35"/>
  <c r="J11" i="35"/>
  <c r="W11" i="35"/>
  <c r="AC11" i="35"/>
  <c r="F11" i="35"/>
  <c r="S11" i="35"/>
  <c r="J26" i="36"/>
  <c r="W26" i="36"/>
  <c r="H28" i="36"/>
  <c r="U28" i="36"/>
  <c r="H32" i="36"/>
  <c r="AB32" i="36"/>
  <c r="J32" i="36"/>
  <c r="W32" i="36"/>
  <c r="H11" i="36"/>
  <c r="U11" i="36"/>
  <c r="J13" i="36"/>
  <c r="F13" i="36"/>
  <c r="S13" i="36"/>
  <c r="E89" i="37"/>
  <c r="F89" i="37"/>
  <c r="G89" i="37"/>
  <c r="H89" i="37"/>
  <c r="I89" i="37"/>
  <c r="J89" i="37"/>
  <c r="K89" i="37"/>
  <c r="L89" i="37"/>
  <c r="M89" i="37"/>
  <c r="J29" i="37"/>
  <c r="F29" i="37"/>
  <c r="S29" i="37"/>
  <c r="F105" i="37"/>
  <c r="G105" i="37"/>
  <c r="H36" i="37"/>
  <c r="AB36" i="37"/>
  <c r="J37" i="37"/>
  <c r="AC37" i="37"/>
  <c r="H37" i="37"/>
  <c r="U37" i="37"/>
  <c r="H40" i="37"/>
  <c r="U40" i="37"/>
  <c r="H14" i="33"/>
  <c r="U14" i="33"/>
  <c r="F14" i="33"/>
  <c r="AA14" i="33"/>
  <c r="J14" i="33"/>
  <c r="H30" i="33"/>
  <c r="AB30" i="33"/>
  <c r="F30" i="33"/>
  <c r="S30" i="33"/>
  <c r="H44" i="33"/>
  <c r="J44" i="33"/>
  <c r="W44" i="33"/>
  <c r="AC44" i="33"/>
  <c r="F44" i="33"/>
  <c r="J46" i="33"/>
  <c r="AC46" i="33"/>
  <c r="F46" i="33"/>
  <c r="AA46" i="33"/>
  <c r="AB46" i="33"/>
  <c r="H13" i="34"/>
  <c r="U13" i="34"/>
  <c r="J13" i="34"/>
  <c r="W13" i="34"/>
  <c r="F13" i="34"/>
  <c r="AA13" i="34"/>
  <c r="J29" i="34"/>
  <c r="F29" i="34"/>
  <c r="H29" i="34"/>
  <c r="AB29" i="34"/>
  <c r="J31" i="34"/>
  <c r="AC31" i="34"/>
  <c r="H31" i="34"/>
  <c r="F31" i="34"/>
  <c r="S31" i="34"/>
  <c r="H45" i="34"/>
  <c r="U45" i="34"/>
  <c r="W45" i="34"/>
  <c r="F45" i="34"/>
  <c r="S45" i="34"/>
  <c r="H47" i="34"/>
  <c r="U47" i="34"/>
  <c r="F47" i="34"/>
  <c r="S47" i="34"/>
  <c r="J47" i="34"/>
  <c r="AC47" i="34"/>
  <c r="J13" i="35"/>
  <c r="AC13" i="35"/>
  <c r="H13" i="35"/>
  <c r="J25" i="35"/>
  <c r="W25" i="35"/>
  <c r="F25" i="35"/>
  <c r="S25" i="35"/>
  <c r="H25" i="35"/>
  <c r="AB25" i="35"/>
  <c r="F35" i="35"/>
  <c r="AA35" i="35"/>
  <c r="J25" i="36"/>
  <c r="W25" i="36"/>
  <c r="F25" i="36"/>
  <c r="S25" i="36"/>
  <c r="H25" i="36"/>
  <c r="AB25" i="36"/>
  <c r="H13" i="37"/>
  <c r="AB13" i="37"/>
  <c r="F13" i="37"/>
  <c r="S13" i="37"/>
  <c r="J13" i="37"/>
  <c r="W13" i="37"/>
  <c r="F28" i="37"/>
  <c r="AA28" i="37"/>
  <c r="J28" i="37"/>
  <c r="AC28" i="37"/>
  <c r="H28" i="37"/>
  <c r="H38" i="37"/>
  <c r="AB38" i="37"/>
  <c r="J38" i="37"/>
  <c r="AC38" i="37"/>
  <c r="F38" i="37"/>
  <c r="AA38" i="37"/>
  <c r="H14" i="39"/>
  <c r="AB14" i="39"/>
  <c r="H12" i="40"/>
  <c r="AB12" i="40"/>
  <c r="H30" i="40"/>
  <c r="AB30" i="40"/>
  <c r="F33" i="40"/>
  <c r="AA33" i="40"/>
  <c r="H33" i="40"/>
  <c r="AB33" i="40"/>
  <c r="J35" i="40"/>
  <c r="AC35" i="40"/>
  <c r="J37" i="40"/>
  <c r="AC37" i="40"/>
  <c r="F13" i="40"/>
  <c r="AA13" i="40"/>
  <c r="F14" i="37"/>
  <c r="F13" i="39"/>
  <c r="J13" i="39"/>
  <c r="W13" i="39"/>
  <c r="H13" i="39"/>
  <c r="H14" i="40"/>
  <c r="AB14" i="40"/>
  <c r="J14" i="40"/>
  <c r="W14" i="40"/>
  <c r="F14" i="40"/>
  <c r="J27" i="37"/>
  <c r="AC27" i="37"/>
  <c r="U46" i="33"/>
  <c r="J36" i="37"/>
  <c r="AC36" i="37"/>
  <c r="J10" i="36"/>
  <c r="AC10" i="36"/>
  <c r="AB46" i="34"/>
  <c r="BA585" i="3"/>
  <c r="H17" i="21"/>
  <c r="AB17" i="21"/>
  <c r="F15" i="21"/>
  <c r="S15" i="21"/>
  <c r="J41" i="39"/>
  <c r="W41" i="39"/>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c r="BA573" i="3"/>
  <c r="BA565" i="3"/>
  <c r="BA559" i="3"/>
  <c r="BA555" i="3"/>
  <c r="BA531" i="3"/>
  <c r="BA529" i="3"/>
  <c r="BA517" i="3"/>
  <c r="BA507" i="3"/>
  <c r="BA503" i="3"/>
  <c r="BA493" i="3"/>
  <c r="G579" i="3"/>
  <c r="G577" i="3"/>
  <c r="G571" i="3"/>
  <c r="G569" i="3"/>
  <c r="G567" i="3"/>
  <c r="G565" i="3"/>
  <c r="G563" i="3"/>
  <c r="G561" i="3"/>
  <c r="BL558" i="3"/>
  <c r="AC557" i="3"/>
  <c r="G557" i="3"/>
  <c r="BQ557" i="3"/>
  <c r="BL557" i="3"/>
  <c r="BQ583" i="3"/>
  <c r="BQ581" i="3"/>
  <c r="BQ579" i="3"/>
  <c r="BQ577" i="3"/>
  <c r="BQ575" i="3"/>
  <c r="BL575" i="3"/>
  <c r="BQ573" i="3"/>
  <c r="BQ571" i="3"/>
  <c r="BQ569" i="3"/>
  <c r="BL569" i="3"/>
  <c r="BQ567" i="3"/>
  <c r="BQ565" i="3"/>
  <c r="BQ563" i="3"/>
  <c r="BL563" i="3"/>
  <c r="AZ563" i="3"/>
  <c r="BQ561" i="3"/>
  <c r="BQ559" i="3"/>
  <c r="G559" i="3"/>
  <c r="G555" i="3"/>
  <c r="G543" i="3"/>
  <c r="G537" i="3"/>
  <c r="BQ555" i="3"/>
  <c r="BQ553" i="3"/>
  <c r="BQ551" i="3"/>
  <c r="BQ549" i="3"/>
  <c r="BQ547" i="3"/>
  <c r="BQ545" i="3"/>
  <c r="BQ543" i="3"/>
  <c r="BQ541" i="3"/>
  <c r="BQ539" i="3"/>
  <c r="BQ537" i="3"/>
  <c r="BQ535" i="3"/>
  <c r="BQ533" i="3"/>
  <c r="BQ531" i="3"/>
  <c r="BQ529" i="3"/>
  <c r="BQ527" i="3"/>
  <c r="BQ525" i="3"/>
  <c r="BL525" i="3"/>
  <c r="BQ523" i="3"/>
  <c r="AC521" i="3"/>
  <c r="G521" i="3"/>
  <c r="BQ521" i="3"/>
  <c r="BL520" i="3"/>
  <c r="G519" i="3"/>
  <c r="G515" i="3"/>
  <c r="G513" i="3"/>
  <c r="BQ519" i="3"/>
  <c r="BQ517" i="3"/>
  <c r="BQ515" i="3"/>
  <c r="BQ513" i="3"/>
  <c r="BL513" i="3"/>
  <c r="BQ511" i="3"/>
  <c r="BL511" i="3"/>
  <c r="AC509" i="3"/>
  <c r="BQ509" i="3"/>
  <c r="BL509" i="3"/>
  <c r="G507" i="3"/>
  <c r="G505" i="3"/>
  <c r="G503" i="3"/>
  <c r="G501" i="3"/>
  <c r="G499" i="3"/>
  <c r="G497" i="3"/>
  <c r="G495" i="3"/>
  <c r="BQ507" i="3"/>
  <c r="BQ505" i="3"/>
  <c r="BL505" i="3"/>
  <c r="BQ503" i="3"/>
  <c r="BL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c r="E125" i="33"/>
  <c r="F125" i="33"/>
  <c r="G125" i="33"/>
  <c r="H43" i="33"/>
  <c r="H17" i="37"/>
  <c r="U17" i="37"/>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F37" i="37"/>
  <c r="AA37" i="37"/>
  <c r="F32" i="40"/>
  <c r="S32" i="40"/>
  <c r="H32" i="40"/>
  <c r="AB32" i="40"/>
  <c r="J36" i="40"/>
  <c r="W36" i="40"/>
  <c r="H19" i="37"/>
  <c r="AB19" i="37"/>
  <c r="H42" i="33"/>
  <c r="AB42" i="33"/>
  <c r="J43" i="33"/>
  <c r="AC43" i="33"/>
  <c r="S28" i="31"/>
  <c r="S27" i="31"/>
  <c r="S26" i="31"/>
  <c r="U14" i="40"/>
  <c r="W47" i="34"/>
  <c r="AC31" i="33"/>
  <c r="U19" i="21"/>
  <c r="F43" i="33"/>
  <c r="AA43" i="33"/>
  <c r="W15" i="34"/>
  <c r="AC15" i="34"/>
  <c r="W16" i="35"/>
  <c r="G107" i="37"/>
  <c r="H107" i="37"/>
  <c r="I107" i="37"/>
  <c r="J107" i="37"/>
  <c r="K107" i="37"/>
  <c r="L107" i="37"/>
  <c r="M107" i="37"/>
  <c r="H19" i="34"/>
  <c r="AB19" i="34"/>
  <c r="F36" i="35"/>
  <c r="S36" i="35"/>
  <c r="J9" i="37"/>
  <c r="W9" i="37"/>
  <c r="H9" i="37"/>
  <c r="U9" i="37"/>
  <c r="F9" i="37"/>
  <c r="S9" i="37"/>
  <c r="H12" i="37"/>
  <c r="AB12" i="37"/>
  <c r="F12" i="37"/>
  <c r="S12" i="37"/>
  <c r="F15" i="37"/>
  <c r="AA15" i="37"/>
  <c r="E94" i="37"/>
  <c r="F94" i="37"/>
  <c r="G94" i="37"/>
  <c r="H94" i="37"/>
  <c r="I94" i="37"/>
  <c r="J94" i="37"/>
  <c r="K94" i="37"/>
  <c r="L94" i="37"/>
  <c r="M94" i="37"/>
  <c r="F31" i="37"/>
  <c r="S31" i="37"/>
  <c r="J42" i="39"/>
  <c r="AC42" i="39"/>
  <c r="H21" i="40"/>
  <c r="AB21" i="40"/>
  <c r="AC12" i="37"/>
  <c r="H31" i="37"/>
  <c r="U31" i="37"/>
  <c r="J15" i="37"/>
  <c r="W15" i="37"/>
  <c r="AT6" i="3"/>
  <c r="H19" i="40"/>
  <c r="U19" i="40"/>
  <c r="F88" i="40"/>
  <c r="G88" i="40"/>
  <c r="F19" i="40"/>
  <c r="S19" i="40"/>
  <c r="W23" i="39"/>
  <c r="U45" i="39"/>
  <c r="AB45" i="39"/>
  <c r="H37" i="39"/>
  <c r="H25" i="39"/>
  <c r="J25" i="39"/>
  <c r="W25" i="39"/>
  <c r="F25" i="39"/>
  <c r="AA25" i="39"/>
  <c r="F15" i="39"/>
  <c r="H15" i="39"/>
  <c r="U15" i="39"/>
  <c r="J15" i="39"/>
  <c r="W15" i="39"/>
  <c r="H41" i="39"/>
  <c r="AB41" i="39"/>
  <c r="W27" i="39"/>
  <c r="U40" i="39"/>
  <c r="S42" i="39"/>
  <c r="AA41" i="39"/>
  <c r="W9" i="39"/>
  <c r="W8" i="39"/>
  <c r="J19" i="40"/>
  <c r="AC19" i="40"/>
  <c r="J50" i="40"/>
  <c r="H103" i="9"/>
  <c r="D8" i="53"/>
  <c r="B16" i="53"/>
  <c r="B33" i="72"/>
  <c r="J11" i="39"/>
  <c r="W11" i="39"/>
  <c r="F11" i="39"/>
  <c r="S11" i="39"/>
  <c r="AA11" i="39"/>
  <c r="G4" i="4"/>
  <c r="I4" i="4"/>
  <c r="F61" i="43"/>
  <c r="H64" i="43"/>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c r="BL344" i="3"/>
  <c r="BA346" i="3"/>
  <c r="BA347" i="3"/>
  <c r="BL347" i="3"/>
  <c r="G350" i="3"/>
  <c r="BA351" i="3"/>
  <c r="BL351" i="3"/>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c r="BA390" i="3"/>
  <c r="BL390" i="3"/>
  <c r="G391" i="3"/>
  <c r="G394" i="3"/>
  <c r="BA16" i="3"/>
  <c r="BL303" i="3"/>
  <c r="G304" i="3"/>
  <c r="BA306" i="3"/>
  <c r="BL307" i="3"/>
  <c r="G308" i="3"/>
  <c r="BA310" i="3"/>
  <c r="AZ310" i="3"/>
  <c r="BL311" i="3"/>
  <c r="AZ311" i="3"/>
  <c r="G312" i="3"/>
  <c r="BA314" i="3"/>
  <c r="BL315" i="3"/>
  <c r="G316" i="3"/>
  <c r="BA318" i="3"/>
  <c r="BL319" i="3"/>
  <c r="G320" i="3"/>
  <c r="BA322" i="3"/>
  <c r="BL323" i="3"/>
  <c r="G324" i="3"/>
  <c r="BA326" i="3"/>
  <c r="BL327" i="3"/>
  <c r="G328" i="3"/>
  <c r="BA330" i="3"/>
  <c r="BL331" i="3"/>
  <c r="G332" i="3"/>
  <c r="BA334" i="3"/>
  <c r="AZ334" i="3"/>
  <c r="BL335" i="3"/>
  <c r="G336" i="3"/>
  <c r="BA338" i="3"/>
  <c r="BL339" i="3"/>
  <c r="G340" i="3"/>
  <c r="BL343" i="3"/>
  <c r="G344" i="3"/>
  <c r="G348" i="3"/>
  <c r="G355" i="3"/>
  <c r="G342" i="3"/>
  <c r="BL345" i="3"/>
  <c r="G346" i="3"/>
  <c r="BL349" i="3"/>
  <c r="BL352" i="3"/>
  <c r="G353" i="3"/>
  <c r="BA357" i="3"/>
  <c r="AZ357" i="3"/>
  <c r="BL358" i="3"/>
  <c r="G359" i="3"/>
  <c r="BA361" i="3"/>
  <c r="BL362" i="3"/>
  <c r="G363" i="3"/>
  <c r="BA365" i="3"/>
  <c r="BL366" i="3"/>
  <c r="G367" i="3"/>
  <c r="BA369" i="3"/>
  <c r="BL370" i="3"/>
  <c r="G371" i="3"/>
  <c r="BA373" i="3"/>
  <c r="BL374" i="3"/>
  <c r="G375" i="3"/>
  <c r="BA377" i="3"/>
  <c r="BA379" i="3"/>
  <c r="AZ379" i="3"/>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c r="F50" i="43"/>
  <c r="H54" i="43"/>
  <c r="F72" i="43"/>
  <c r="H75" i="43"/>
  <c r="U17" i="39"/>
  <c r="G10" i="1"/>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F23" i="39"/>
  <c r="AA23" i="39"/>
  <c r="H27" i="36"/>
  <c r="U27" i="36"/>
  <c r="F27" i="36"/>
  <c r="AA27" i="36"/>
  <c r="H33" i="34"/>
  <c r="U33" i="34"/>
  <c r="F32" i="37"/>
  <c r="S32" i="37"/>
  <c r="F20" i="36"/>
  <c r="AA20" i="36"/>
  <c r="J33" i="34"/>
  <c r="AC33" i="34"/>
  <c r="H23" i="39"/>
  <c r="U23" i="39"/>
  <c r="D48" i="9"/>
  <c r="M52" i="9"/>
  <c r="K9" i="1"/>
  <c r="M9" i="1" s="1"/>
  <c r="W26" i="33"/>
  <c r="W27" i="34"/>
  <c r="AC27" i="34"/>
  <c r="AB34" i="36"/>
  <c r="U34" i="36"/>
  <c r="AB33" i="36"/>
  <c r="U33" i="36"/>
  <c r="W12" i="33"/>
  <c r="AC12" i="33"/>
  <c r="AA32" i="36"/>
  <c r="S32" i="36"/>
  <c r="BL14" i="3"/>
  <c r="U30" i="33"/>
  <c r="AC13" i="34"/>
  <c r="AA47" i="34"/>
  <c r="W28" i="37"/>
  <c r="S19" i="39"/>
  <c r="F12" i="33"/>
  <c r="AA12" i="33"/>
  <c r="H12" i="39"/>
  <c r="AB12" i="39"/>
  <c r="F39" i="40"/>
  <c r="BA14" i="3"/>
  <c r="B12" i="1"/>
  <c r="E12" i="1"/>
  <c r="B10" i="1"/>
  <c r="E10" i="1"/>
  <c r="K12" i="1"/>
  <c r="M12" i="1" s="1"/>
  <c r="S13" i="1"/>
  <c r="AR13" i="1" s="1"/>
  <c r="R13" i="1"/>
  <c r="J51" i="67"/>
  <c r="AC34" i="33"/>
  <c r="AB37" i="40"/>
  <c r="S35" i="40"/>
  <c r="AC36" i="40"/>
  <c r="AA32" i="40"/>
  <c r="S17" i="40"/>
  <c r="AC17" i="40"/>
  <c r="AC15" i="40"/>
  <c r="AB27" i="40"/>
  <c r="S30" i="40"/>
  <c r="S28" i="40"/>
  <c r="AA27" i="40"/>
  <c r="U21" i="40"/>
  <c r="U35" i="39"/>
  <c r="F32" i="39"/>
  <c r="S32" i="39"/>
  <c r="F106" i="39"/>
  <c r="G106" i="39"/>
  <c r="H106" i="39"/>
  <c r="I106" i="39"/>
  <c r="J106" i="39"/>
  <c r="K106" i="39"/>
  <c r="L106" i="39"/>
  <c r="M106" i="39"/>
  <c r="AB27" i="39"/>
  <c r="J21" i="39"/>
  <c r="W21" i="39"/>
  <c r="F21" i="39"/>
  <c r="S21" i="39"/>
  <c r="G94" i="39"/>
  <c r="H21" i="39"/>
  <c r="AB21" i="39"/>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c r="H9" i="35"/>
  <c r="U9" i="35"/>
  <c r="AB40" i="37"/>
  <c r="S25" i="37"/>
  <c r="W27" i="37"/>
  <c r="U29" i="37"/>
  <c r="AB31" i="37"/>
  <c r="W30" i="37"/>
  <c r="U32" i="37"/>
  <c r="W38" i="37"/>
  <c r="AC35" i="37"/>
  <c r="W39" i="37"/>
  <c r="S30" i="37"/>
  <c r="S37" i="37"/>
  <c r="AC15" i="37"/>
  <c r="J17" i="37"/>
  <c r="W17" i="37"/>
  <c r="G73" i="37"/>
  <c r="F17" i="37"/>
  <c r="AA17" i="37"/>
  <c r="AB17" i="37"/>
  <c r="F75" i="37"/>
  <c r="G75" i="37"/>
  <c r="F19" i="37"/>
  <c r="S19" i="37"/>
  <c r="F79" i="37"/>
  <c r="G79" i="37"/>
  <c r="F23" i="37"/>
  <c r="S23" i="37"/>
  <c r="U23" i="37"/>
  <c r="U15" i="37"/>
  <c r="AC13" i="37"/>
  <c r="AA13" i="37"/>
  <c r="H10" i="37"/>
  <c r="AB10" i="37"/>
  <c r="F63" i="37"/>
  <c r="F11" i="37"/>
  <c r="S11" i="37"/>
  <c r="W25" i="34"/>
  <c r="AB8" i="34"/>
  <c r="AA33" i="34"/>
  <c r="U43" i="34"/>
  <c r="W41" i="34"/>
  <c r="AC42" i="34"/>
  <c r="AB35" i="34"/>
  <c r="U39" i="34"/>
  <c r="S43" i="34"/>
  <c r="AB41" i="34"/>
  <c r="AA45" i="34"/>
  <c r="AA25" i="34"/>
  <c r="U28" i="34"/>
  <c r="S23" i="34"/>
  <c r="S13" i="34"/>
  <c r="H10" i="34"/>
  <c r="AB10" i="34"/>
  <c r="F11" i="34"/>
  <c r="S11" i="34"/>
  <c r="F70" i="34"/>
  <c r="W42" i="33"/>
  <c r="S27" i="33"/>
  <c r="S32" i="33"/>
  <c r="AA29" i="33"/>
  <c r="W38" i="33"/>
  <c r="H41" i="33"/>
  <c r="AB41" i="33"/>
  <c r="F121" i="33"/>
  <c r="G121" i="33"/>
  <c r="H121" i="33"/>
  <c r="I121" i="33"/>
  <c r="J121" i="33"/>
  <c r="K121" i="33"/>
  <c r="L121" i="33"/>
  <c r="M121" i="33"/>
  <c r="U42" i="33"/>
  <c r="S42" i="33"/>
  <c r="F36" i="33"/>
  <c r="AA36" i="33"/>
  <c r="G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F91" i="33"/>
  <c r="H27" i="33"/>
  <c r="U27" i="33"/>
  <c r="F87" i="33"/>
  <c r="G87" i="33"/>
  <c r="H87" i="33"/>
  <c r="I87" i="33"/>
  <c r="J87" i="33"/>
  <c r="K87" i="33"/>
  <c r="L87" i="33"/>
  <c r="M87" i="33"/>
  <c r="H25" i="33"/>
  <c r="F25" i="33"/>
  <c r="S25" i="33"/>
  <c r="J23" i="33"/>
  <c r="AC23" i="33"/>
  <c r="H23" i="33"/>
  <c r="U23" i="33"/>
  <c r="F81" i="33"/>
  <c r="G81" i="33"/>
  <c r="F19" i="33"/>
  <c r="S19" i="33"/>
  <c r="W19" i="33"/>
  <c r="J17" i="33"/>
  <c r="W17" i="33"/>
  <c r="F79" i="33"/>
  <c r="G79" i="33"/>
  <c r="S15" i="33"/>
  <c r="W15" i="33"/>
  <c r="J10" i="33"/>
  <c r="W10" i="33"/>
  <c r="H10" i="33"/>
  <c r="U10" i="33"/>
  <c r="AC11" i="33"/>
  <c r="AB14" i="33"/>
  <c r="W41" i="21"/>
  <c r="J15" i="21"/>
  <c r="AC15" i="21"/>
  <c r="W15" i="21"/>
  <c r="F77" i="21"/>
  <c r="G77" i="21"/>
  <c r="F23" i="21"/>
  <c r="AA23" i="21"/>
  <c r="S23" i="21"/>
  <c r="E85" i="21"/>
  <c r="AA14" i="21"/>
  <c r="D120" i="9"/>
  <c r="D121" i="9"/>
  <c r="D7" i="52"/>
  <c r="F34" i="67"/>
  <c r="F62" i="67"/>
  <c r="M20" i="67"/>
  <c r="F34" i="15"/>
  <c r="F62" i="15"/>
  <c r="BL17" i="3"/>
  <c r="AZ17" i="3"/>
  <c r="BL13" i="3"/>
  <c r="J56" i="9"/>
  <c r="J57" i="9"/>
  <c r="J59" i="9"/>
  <c r="J61" i="9"/>
  <c r="A24" i="51"/>
  <c r="B18" i="72"/>
  <c r="U29" i="34"/>
  <c r="G1" i="68"/>
  <c r="K1" i="12"/>
  <c r="E19" i="69"/>
  <c r="E19" i="68"/>
  <c r="E19" i="11"/>
  <c r="C6" i="43"/>
  <c r="B19" i="53"/>
  <c r="B37" i="72"/>
  <c r="A4" i="51"/>
  <c r="B6" i="72"/>
  <c r="L20" i="6"/>
  <c r="B6" i="1"/>
  <c r="E6" i="1"/>
  <c r="K11" i="1"/>
  <c r="M11" i="1" s="1"/>
  <c r="O11" i="1"/>
  <c r="B9" i="1"/>
  <c r="E9" i="1"/>
  <c r="K7" i="1"/>
  <c r="M7" i="1" s="1"/>
  <c r="O7" i="1"/>
  <c r="P7" i="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F33" i="21"/>
  <c r="AA33" i="21" s="1"/>
  <c r="J33" i="21"/>
  <c r="H33" i="21"/>
  <c r="AB33" i="21" s="1"/>
  <c r="AB14" i="21"/>
  <c r="U40" i="21"/>
  <c r="U13" i="21"/>
  <c r="AB13" i="21"/>
  <c r="H15" i="21"/>
  <c r="U15" i="21"/>
  <c r="J17" i="21"/>
  <c r="AC17" i="21"/>
  <c r="AC19" i="21"/>
  <c r="AC14" i="21"/>
  <c r="W30" i="21"/>
  <c r="H45" i="21"/>
  <c r="U45" i="21"/>
  <c r="F29" i="21"/>
  <c r="AA29" i="21"/>
  <c r="F13" i="21"/>
  <c r="AA13" i="21"/>
  <c r="H9" i="21"/>
  <c r="AB9" i="21"/>
  <c r="J9" i="21"/>
  <c r="AC9" i="21"/>
  <c r="J32" i="21"/>
  <c r="W32" i="21"/>
  <c r="AA31" i="21"/>
  <c r="W29" i="21"/>
  <c r="S19" i="21"/>
  <c r="AA9" i="21"/>
  <c r="K141" i="21"/>
  <c r="K144" i="21"/>
  <c r="K143" i="21"/>
  <c r="AB25" i="21"/>
  <c r="W13" i="21"/>
  <c r="F10" i="21"/>
  <c r="AA10" i="21"/>
  <c r="K145" i="21"/>
  <c r="W25" i="21"/>
  <c r="W31" i="21"/>
  <c r="AA15" i="21"/>
  <c r="AB29" i="21"/>
  <c r="C19" i="39"/>
  <c r="C15" i="40"/>
  <c r="C17" i="40"/>
  <c r="C23" i="40"/>
  <c r="C21" i="40"/>
  <c r="U30" i="40"/>
  <c r="B56" i="43"/>
  <c r="B67" i="43"/>
  <c r="B51" i="43"/>
  <c r="B54" i="43"/>
  <c r="B58" i="43"/>
  <c r="B62" i="43"/>
  <c r="B65" i="43"/>
  <c r="B69" i="43"/>
  <c r="D23" i="15"/>
  <c r="D22" i="15"/>
  <c r="E4" i="4"/>
  <c r="B5" i="62"/>
  <c r="B73" i="72"/>
  <c r="C4" i="4"/>
  <c r="AA39" i="40"/>
  <c r="S39" i="40"/>
  <c r="J32" i="39"/>
  <c r="W32" i="39"/>
  <c r="H32" i="39"/>
  <c r="AB32" i="39"/>
  <c r="AC17" i="37"/>
  <c r="J19" i="37"/>
  <c r="W19" i="37"/>
  <c r="J23" i="37"/>
  <c r="W23" i="37"/>
  <c r="J10" i="37"/>
  <c r="W10" i="37"/>
  <c r="G63" i="37"/>
  <c r="H63" i="37"/>
  <c r="I63" i="37"/>
  <c r="H11" i="37"/>
  <c r="AB11" i="37"/>
  <c r="G70" i="34"/>
  <c r="H11" i="34"/>
  <c r="U11" i="34"/>
  <c r="J10" i="34"/>
  <c r="AC10" i="34"/>
  <c r="W35" i="33"/>
  <c r="H111" i="33"/>
  <c r="I111" i="33"/>
  <c r="J111" i="33"/>
  <c r="K111" i="33"/>
  <c r="L111" i="33"/>
  <c r="M111" i="33"/>
  <c r="J36" i="33"/>
  <c r="W36" i="33"/>
  <c r="H36" i="33"/>
  <c r="U36" i="33"/>
  <c r="S36" i="33"/>
  <c r="G91" i="33"/>
  <c r="H91" i="33"/>
  <c r="I91" i="33"/>
  <c r="J91" i="33"/>
  <c r="K91" i="33"/>
  <c r="L91" i="33"/>
  <c r="M91" i="33"/>
  <c r="J27" i="33"/>
  <c r="W27" i="33"/>
  <c r="U25" i="33"/>
  <c r="AB25" i="33"/>
  <c r="AA25" i="33"/>
  <c r="J25" i="33"/>
  <c r="AC25" i="33"/>
  <c r="AB23" i="33"/>
  <c r="F23" i="33"/>
  <c r="H19" i="33"/>
  <c r="AB19" i="33"/>
  <c r="H17" i="33"/>
  <c r="U17" i="33"/>
  <c r="F17" i="33"/>
  <c r="S17" i="33"/>
  <c r="AC17" i="33"/>
  <c r="J23" i="21"/>
  <c r="AC23" i="21"/>
  <c r="F85" i="21"/>
  <c r="G85" i="21"/>
  <c r="H23" i="21"/>
  <c r="U23" i="21"/>
  <c r="S13" i="21"/>
  <c r="AP7" i="1"/>
  <c r="AB45" i="21"/>
  <c r="A18" i="62"/>
  <c r="B64" i="72"/>
  <c r="U32" i="39"/>
  <c r="J63" i="37"/>
  <c r="K63" i="37"/>
  <c r="L63" i="37"/>
  <c r="M63" i="37"/>
  <c r="J11" i="37"/>
  <c r="AC11" i="37"/>
  <c r="H70" i="34"/>
  <c r="I70" i="34"/>
  <c r="J70" i="34"/>
  <c r="K70" i="34"/>
  <c r="L70" i="34"/>
  <c r="M70" i="34"/>
  <c r="J11" i="34"/>
  <c r="W11" i="34"/>
  <c r="AB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32" i="21"/>
  <c r="AA32" i="21"/>
  <c r="H32" i="21"/>
  <c r="U32" i="21"/>
  <c r="J34" i="21"/>
  <c r="W34" i="21"/>
  <c r="F34" i="21"/>
  <c r="AA34" i="21"/>
  <c r="G22" i="69"/>
  <c r="G22" i="11"/>
  <c r="E1" i="73"/>
  <c r="G26" i="12"/>
  <c r="G22" i="68"/>
  <c r="W23" i="21"/>
  <c r="C7" i="12"/>
  <c r="M47" i="9"/>
  <c r="H36" i="21"/>
  <c r="U36" i="21"/>
  <c r="F17" i="21"/>
  <c r="AA17" i="2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c r="F14" i="39"/>
  <c r="J29" i="33"/>
  <c r="F27" i="21"/>
  <c r="AA27" i="21"/>
  <c r="F30" i="21"/>
  <c r="AA42" i="34"/>
  <c r="AA12" i="36"/>
  <c r="S38" i="33"/>
  <c r="W31" i="40"/>
  <c r="AA41" i="21"/>
  <c r="F36" i="21"/>
  <c r="S36" i="21"/>
  <c r="F43" i="21"/>
  <c r="S43" i="21"/>
  <c r="G585" i="3"/>
  <c r="BL586" i="3"/>
  <c r="J43" i="21"/>
  <c r="F42" i="21"/>
  <c r="AA42" i="21"/>
  <c r="H12" i="36"/>
  <c r="AA26" i="36"/>
  <c r="AZ326" i="3"/>
  <c r="AZ320" i="3"/>
  <c r="AC45" i="33"/>
  <c r="F31" i="40"/>
  <c r="H27" i="34"/>
  <c r="BL517" i="3"/>
  <c r="BL523" i="3"/>
  <c r="BL547" i="3"/>
  <c r="BL565" i="3"/>
  <c r="AZ565" i="3"/>
  <c r="BL581" i="3"/>
  <c r="H14" i="34"/>
  <c r="H27" i="21"/>
  <c r="AB27" i="21"/>
  <c r="H42" i="21"/>
  <c r="U42" i="21"/>
  <c r="AA34" i="37"/>
  <c r="W28" i="35"/>
  <c r="F35" i="39"/>
  <c r="J25" i="37"/>
  <c r="J42" i="21"/>
  <c r="AC42" i="21"/>
  <c r="W8" i="34"/>
  <c r="J36" i="21"/>
  <c r="AC36" i="2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c r="BL105" i="3"/>
  <c r="BA110" i="3"/>
  <c r="AZ110" i="3"/>
  <c r="U29" i="39"/>
  <c r="P27" i="6"/>
  <c r="C87" i="71"/>
  <c r="Q68" i="71"/>
  <c r="F67" i="71"/>
  <c r="F66" i="71"/>
  <c r="G401" i="3"/>
  <c r="BA410" i="3"/>
  <c r="G413" i="3"/>
  <c r="G421" i="3"/>
  <c r="BA443" i="3"/>
  <c r="G445" i="3"/>
  <c r="G449" i="3"/>
  <c r="BL462" i="3"/>
  <c r="G467" i="3"/>
  <c r="BA476" i="3"/>
  <c r="G492" i="3"/>
  <c r="BL359" i="3"/>
  <c r="AZ359" i="3"/>
  <c r="BL367" i="3"/>
  <c r="G374" i="3"/>
  <c r="G382" i="3"/>
  <c r="BL383" i="3"/>
  <c r="AZ383" i="3"/>
  <c r="BA211" i="3"/>
  <c r="AZ211" i="3"/>
  <c r="BL215" i="3"/>
  <c r="G218" i="3"/>
  <c r="BL222" i="3"/>
  <c r="BA228" i="3"/>
  <c r="BA237" i="3"/>
  <c r="AZ237" i="3"/>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c r="G490" i="3"/>
  <c r="BA315" i="3"/>
  <c r="AZ315" i="3"/>
  <c r="BA331" i="3"/>
  <c r="AZ331" i="3"/>
  <c r="BA333" i="3"/>
  <c r="G364" i="3"/>
  <c r="G380" i="3"/>
  <c r="G384" i="3"/>
  <c r="G396" i="3"/>
  <c r="G210" i="3"/>
  <c r="G220" i="3"/>
  <c r="BL224" i="3"/>
  <c r="G228" i="3"/>
  <c r="G232" i="3"/>
  <c r="BA233" i="3"/>
  <c r="G236" i="3"/>
  <c r="BL242" i="3"/>
  <c r="G247" i="3"/>
  <c r="G268" i="3"/>
  <c r="G280" i="3"/>
  <c r="G284" i="3"/>
  <c r="G292" i="3"/>
  <c r="G302" i="3"/>
  <c r="G116" i="3"/>
  <c r="BA120" i="3"/>
  <c r="AZ120" i="3"/>
  <c r="G123" i="3"/>
  <c r="G127" i="3"/>
  <c r="BA128" i="3"/>
  <c r="AZ128" i="3"/>
  <c r="G158" i="3"/>
  <c r="G166" i="3"/>
  <c r="G167" i="3"/>
  <c r="BA177" i="3"/>
  <c r="G191" i="3"/>
  <c r="G195" i="3"/>
  <c r="BA201" i="3"/>
  <c r="G26" i="3"/>
  <c r="BA30" i="3"/>
  <c r="AZ30" i="3"/>
  <c r="BL34" i="3"/>
  <c r="G42" i="3"/>
  <c r="G45" i="3"/>
  <c r="BL64" i="3"/>
  <c r="G65" i="3"/>
  <c r="G69" i="3"/>
  <c r="BL82" i="3"/>
  <c r="BL83" i="3"/>
  <c r="G86" i="3"/>
  <c r="BA97" i="3"/>
  <c r="B77" i="43"/>
  <c r="C71" i="71"/>
  <c r="J1" i="73"/>
  <c r="C7" i="35"/>
  <c r="C48" i="35"/>
  <c r="D48" i="35"/>
  <c r="E48" i="35"/>
  <c r="C7" i="36"/>
  <c r="C46" i="36"/>
  <c r="D46" i="36"/>
  <c r="E46" i="36"/>
  <c r="F46" i="36"/>
  <c r="G46" i="36"/>
  <c r="H46" i="36"/>
  <c r="I46" i="36"/>
  <c r="J46" i="36"/>
  <c r="K46" i="36"/>
  <c r="L46" i="36"/>
  <c r="M46" i="36"/>
  <c r="N46" i="36"/>
  <c r="O46" i="36"/>
  <c r="E32" i="6"/>
  <c r="L19" i="6" s="1"/>
  <c r="L27" i="6" s="1"/>
  <c r="C18" i="9"/>
  <c r="D18" i="9"/>
  <c r="J37" i="21"/>
  <c r="W37" i="21"/>
  <c r="H37" i="21"/>
  <c r="U37" i="21"/>
  <c r="F37" i="21"/>
  <c r="AA37" i="21"/>
  <c r="AA19" i="33"/>
  <c r="AA19" i="37"/>
  <c r="AZ369" i="3"/>
  <c r="AZ390" i="3"/>
  <c r="AZ371" i="3"/>
  <c r="AZ351" i="3"/>
  <c r="AZ380" i="3"/>
  <c r="AZ325" i="3"/>
  <c r="AZ306" i="3"/>
  <c r="S14" i="33"/>
  <c r="E89" i="21"/>
  <c r="F89" i="21"/>
  <c r="F11" i="36"/>
  <c r="J11" i="36"/>
  <c r="AC11" i="36"/>
  <c r="H14" i="37"/>
  <c r="AB14" i="37"/>
  <c r="J14" i="37"/>
  <c r="F12" i="39"/>
  <c r="J12" i="39"/>
  <c r="BL576" i="3"/>
  <c r="AB35" i="33"/>
  <c r="U35" i="33"/>
  <c r="AC39" i="33"/>
  <c r="W39" i="33"/>
  <c r="AZ345" i="3"/>
  <c r="AZ342" i="3"/>
  <c r="AZ337" i="3"/>
  <c r="AZ376" i="3"/>
  <c r="AZ309" i="3"/>
  <c r="AZ561" i="3"/>
  <c r="AZ558" i="3"/>
  <c r="BA587" i="3"/>
  <c r="W28" i="21"/>
  <c r="AC28" i="21"/>
  <c r="J9" i="33"/>
  <c r="H9" i="33"/>
  <c r="F9" i="33"/>
  <c r="AA9" i="33"/>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c r="J9" i="36"/>
  <c r="AA34" i="40"/>
  <c r="BL567" i="3"/>
  <c r="AZ567" i="3"/>
  <c r="BB5" i="3"/>
  <c r="E5" i="6"/>
  <c r="G583" i="3"/>
  <c r="BS5" i="3"/>
  <c r="G581" i="3"/>
  <c r="BA575" i="3"/>
  <c r="AZ575" i="3"/>
  <c r="BO5" i="3"/>
  <c r="G573" i="3"/>
  <c r="G572" i="3"/>
  <c r="G556" i="3"/>
  <c r="BL555" i="3"/>
  <c r="G549" i="3"/>
  <c r="G547" i="3"/>
  <c r="BA546" i="3"/>
  <c r="G546" i="3"/>
  <c r="BL545" i="3"/>
  <c r="BA543" i="3"/>
  <c r="G541" i="3"/>
  <c r="G539" i="3"/>
  <c r="G532" i="3"/>
  <c r="G525" i="3"/>
  <c r="G523" i="3"/>
  <c r="G522" i="3"/>
  <c r="G517" i="3"/>
  <c r="G511" i="3"/>
  <c r="G510" i="3"/>
  <c r="G496" i="3"/>
  <c r="C44" i="71"/>
  <c r="D44" i="71"/>
  <c r="D43" i="71"/>
  <c r="D60" i="71"/>
  <c r="T60" i="71"/>
  <c r="D83" i="71"/>
  <c r="C82" i="71"/>
  <c r="D82" i="71"/>
  <c r="P68" i="71"/>
  <c r="E67" i="71"/>
  <c r="F79" i="71"/>
  <c r="F78" i="71"/>
  <c r="V80" i="71"/>
  <c r="G574" i="3"/>
  <c r="BL399" i="3"/>
  <c r="BA406" i="3"/>
  <c r="AZ406" i="3"/>
  <c r="G410" i="3"/>
  <c r="BA413" i="3"/>
  <c r="AZ413" i="3"/>
  <c r="BL413" i="3"/>
  <c r="G415" i="3"/>
  <c r="G416" i="3"/>
  <c r="BL419" i="3"/>
  <c r="G425" i="3"/>
  <c r="BL425" i="3"/>
  <c r="BL426" i="3"/>
  <c r="AZ426" i="3"/>
  <c r="G429" i="3"/>
  <c r="G441" i="3"/>
  <c r="BA441" i="3"/>
  <c r="BL443" i="3"/>
  <c r="AZ443" i="3"/>
  <c r="G446" i="3"/>
  <c r="BA451" i="3"/>
  <c r="AZ451" i="3"/>
  <c r="BA454" i="3"/>
  <c r="BL458" i="3"/>
  <c r="BA466" i="3"/>
  <c r="BA469" i="3"/>
  <c r="AZ469" i="3"/>
  <c r="BL473" i="3"/>
  <c r="BL474" i="3"/>
  <c r="G475" i="3"/>
  <c r="BA487" i="3"/>
  <c r="BA489" i="3"/>
  <c r="BL489" i="3"/>
  <c r="AZ489" i="3"/>
  <c r="BL491" i="3"/>
  <c r="BL492" i="3"/>
  <c r="G307" i="3"/>
  <c r="G311" i="3"/>
  <c r="G315" i="3"/>
  <c r="G323" i="3"/>
  <c r="G339" i="3"/>
  <c r="BL386" i="3"/>
  <c r="BA208" i="3"/>
  <c r="AZ208" i="3"/>
  <c r="BA214" i="3"/>
  <c r="BA220" i="3"/>
  <c r="BA225" i="3"/>
  <c r="AZ225" i="3"/>
  <c r="BA245" i="3"/>
  <c r="AZ245" i="3"/>
  <c r="BL245" i="3"/>
  <c r="BA257" i="3"/>
  <c r="BL257" i="3"/>
  <c r="BL258" i="3"/>
  <c r="AB21" i="37"/>
  <c r="U21" i="37"/>
  <c r="G399" i="3"/>
  <c r="BA402" i="3"/>
  <c r="AZ402" i="3"/>
  <c r="BL409" i="3"/>
  <c r="BA419" i="3"/>
  <c r="BA437" i="3"/>
  <c r="AZ437" i="3"/>
  <c r="BL437" i="3"/>
  <c r="BA448" i="3"/>
  <c r="BA450" i="3"/>
  <c r="BL465" i="3"/>
  <c r="BL479" i="3"/>
  <c r="BL484" i="3"/>
  <c r="BA486" i="3"/>
  <c r="BL488" i="3"/>
  <c r="BA319" i="3"/>
  <c r="AZ319" i="3"/>
  <c r="BL381" i="3"/>
  <c r="AZ381" i="3"/>
  <c r="BA385" i="3"/>
  <c r="BA395" i="3"/>
  <c r="AZ395" i="3"/>
  <c r="BL213" i="3"/>
  <c r="BA222" i="3"/>
  <c r="BA224" i="3"/>
  <c r="AZ224" i="3"/>
  <c r="BA242" i="3"/>
  <c r="AZ242" i="3"/>
  <c r="BA255" i="3"/>
  <c r="BL255" i="3"/>
  <c r="BA260" i="3"/>
  <c r="BL269" i="3"/>
  <c r="BA278" i="3"/>
  <c r="AZ278" i="3"/>
  <c r="BL301" i="3"/>
  <c r="BL302" i="3"/>
  <c r="BA114" i="3"/>
  <c r="BA134" i="3"/>
  <c r="BL134" i="3"/>
  <c r="BA50" i="3"/>
  <c r="AA28" i="71"/>
  <c r="AA35" i="71"/>
  <c r="N67" i="71"/>
  <c r="B66" i="71"/>
  <c r="D79" i="71"/>
  <c r="C78" i="71"/>
  <c r="D78" i="71"/>
  <c r="Y27" i="71"/>
  <c r="Z27" i="71"/>
  <c r="BA400" i="3"/>
  <c r="BL400" i="3"/>
  <c r="G405" i="3"/>
  <c r="G408" i="3"/>
  <c r="BL408" i="3"/>
  <c r="BL412" i="3"/>
  <c r="G417" i="3"/>
  <c r="BL417" i="3"/>
  <c r="BL418" i="3"/>
  <c r="BA420" i="3"/>
  <c r="AZ420" i="3"/>
  <c r="BL420" i="3"/>
  <c r="G422" i="3"/>
  <c r="G423" i="3"/>
  <c r="BL423" i="3"/>
  <c r="G428" i="3"/>
  <c r="BA428" i="3"/>
  <c r="BA429" i="3"/>
  <c r="BA430" i="3"/>
  <c r="AZ430" i="3"/>
  <c r="BA433" i="3"/>
  <c r="AZ433" i="3"/>
  <c r="BA435" i="3"/>
  <c r="G442" i="3"/>
  <c r="G443" i="3"/>
  <c r="BL447" i="3"/>
  <c r="G450" i="3"/>
  <c r="G459" i="3"/>
  <c r="BA460" i="3"/>
  <c r="AZ460" i="3"/>
  <c r="BA461" i="3"/>
  <c r="G478" i="3"/>
  <c r="BL316" i="3"/>
  <c r="BL340" i="3"/>
  <c r="AZ340" i="3"/>
  <c r="BL346" i="3"/>
  <c r="AZ346" i="3"/>
  <c r="G349" i="3"/>
  <c r="BA384" i="3"/>
  <c r="AZ384" i="3"/>
  <c r="BA392" i="3"/>
  <c r="AZ392" i="3"/>
  <c r="G397" i="3"/>
  <c r="BA212" i="3"/>
  <c r="BL216" i="3"/>
  <c r="BL219" i="3"/>
  <c r="G222" i="3"/>
  <c r="G224" i="3"/>
  <c r="G226" i="3"/>
  <c r="BL227" i="3"/>
  <c r="BL230" i="3"/>
  <c r="G233" i="3"/>
  <c r="BA240" i="3"/>
  <c r="BL240" i="3"/>
  <c r="G244" i="3"/>
  <c r="BL262" i="3"/>
  <c r="BA293" i="3"/>
  <c r="BL181" i="3"/>
  <c r="BL205" i="3"/>
  <c r="AA21" i="33"/>
  <c r="D38" i="71"/>
  <c r="C39" i="71"/>
  <c r="C40" i="71"/>
  <c r="D40" i="71"/>
  <c r="D31" i="71"/>
  <c r="C32" i="71"/>
  <c r="BL267" i="3"/>
  <c r="G269" i="3"/>
  <c r="G271" i="3"/>
  <c r="G281" i="3"/>
  <c r="BL283" i="3"/>
  <c r="AZ283" i="3"/>
  <c r="BL284" i="3"/>
  <c r="G285" i="3"/>
  <c r="BL292" i="3"/>
  <c r="BA298" i="3"/>
  <c r="AZ298" i="3"/>
  <c r="BL127" i="3"/>
  <c r="AZ127" i="3"/>
  <c r="G130" i="3"/>
  <c r="G144" i="3"/>
  <c r="BA146" i="3"/>
  <c r="BL158" i="3"/>
  <c r="G159" i="3"/>
  <c r="BL163" i="3"/>
  <c r="AZ163" i="3"/>
  <c r="BA168" i="3"/>
  <c r="AZ168" i="3"/>
  <c r="G171" i="3"/>
  <c r="G178" i="3"/>
  <c r="BL178" i="3"/>
  <c r="BA180" i="3"/>
  <c r="AZ180" i="3"/>
  <c r="BL182" i="3"/>
  <c r="G183" i="3"/>
  <c r="G187" i="3"/>
  <c r="BL191" i="3"/>
  <c r="AZ191" i="3"/>
  <c r="G192" i="3"/>
  <c r="BA193" i="3"/>
  <c r="G202" i="3"/>
  <c r="G203" i="3"/>
  <c r="BA205" i="3"/>
  <c r="AZ205" i="3"/>
  <c r="G19" i="3"/>
  <c r="BL24" i="3"/>
  <c r="BA25" i="3"/>
  <c r="BA26" i="3"/>
  <c r="G28" i="3"/>
  <c r="BL28" i="3"/>
  <c r="BA29" i="3"/>
  <c r="BA33" i="3"/>
  <c r="G36" i="3"/>
  <c r="G40" i="3"/>
  <c r="G41" i="3"/>
  <c r="BA47" i="3"/>
  <c r="AZ47" i="3"/>
  <c r="BL47" i="3"/>
  <c r="G49" i="3"/>
  <c r="G50" i="3"/>
  <c r="G54" i="3"/>
  <c r="BA62" i="3"/>
  <c r="AZ62" i="3"/>
  <c r="BL62" i="3"/>
  <c r="BL63" i="3"/>
  <c r="BL69" i="3"/>
  <c r="G70" i="3"/>
  <c r="BA77" i="3"/>
  <c r="BL79" i="3"/>
  <c r="BL81" i="3"/>
  <c r="BA82" i="3"/>
  <c r="BA95" i="3"/>
  <c r="G99" i="3"/>
  <c r="BL100" i="3"/>
  <c r="BA102" i="3"/>
  <c r="BA108" i="3"/>
  <c r="G110" i="3"/>
  <c r="AA18" i="35"/>
  <c r="BA149" i="3"/>
  <c r="BA153" i="3"/>
  <c r="BL167" i="3"/>
  <c r="AZ167" i="3"/>
  <c r="BL175" i="3"/>
  <c r="AZ175" i="3"/>
  <c r="BA188" i="3"/>
  <c r="AZ188" i="3"/>
  <c r="BL195" i="3"/>
  <c r="AZ195" i="3"/>
  <c r="BA196" i="3"/>
  <c r="AZ196" i="3"/>
  <c r="BL23" i="3"/>
  <c r="BA40" i="3"/>
  <c r="BL44" i="3"/>
  <c r="BA55" i="3"/>
  <c r="BL57" i="3"/>
  <c r="BA67" i="3"/>
  <c r="AZ67" i="3"/>
  <c r="BL67" i="3"/>
  <c r="BL76" i="3"/>
  <c r="BA92" i="3"/>
  <c r="AZ92" i="3"/>
  <c r="BA94" i="3"/>
  <c r="AZ94" i="3"/>
  <c r="BL94" i="3"/>
  <c r="BL99" i="3"/>
  <c r="BA100" i="3"/>
  <c r="AZ100" i="3"/>
  <c r="Y35" i="71"/>
  <c r="Z35" i="71"/>
  <c r="G251" i="3"/>
  <c r="G255" i="3"/>
  <c r="BA262" i="3"/>
  <c r="AZ262" i="3"/>
  <c r="G265" i="3"/>
  <c r="BA273" i="3"/>
  <c r="BA280" i="3"/>
  <c r="AZ280" i="3"/>
  <c r="G282" i="3"/>
  <c r="BA294" i="3"/>
  <c r="G297" i="3"/>
  <c r="BL123" i="3"/>
  <c r="AZ123" i="3"/>
  <c r="G134" i="3"/>
  <c r="BA148" i="3"/>
  <c r="AZ148" i="3"/>
  <c r="BL154" i="3"/>
  <c r="G155" i="3"/>
  <c r="BA162" i="3"/>
  <c r="BL166" i="3"/>
  <c r="G170" i="3"/>
  <c r="G175" i="3"/>
  <c r="G180" i="3"/>
  <c r="BL186" i="3"/>
  <c r="G198" i="3"/>
  <c r="G204" i="3"/>
  <c r="BA207" i="3"/>
  <c r="AZ207" i="3"/>
  <c r="BA22" i="3"/>
  <c r="BL35" i="3"/>
  <c r="BA36" i="3"/>
  <c r="BL38" i="3"/>
  <c r="BA39" i="3"/>
  <c r="BA43" i="3"/>
  <c r="G46" i="3"/>
  <c r="BL52" i="3"/>
  <c r="AZ52" i="3"/>
  <c r="BA53" i="3"/>
  <c r="BA54" i="3"/>
  <c r="G57" i="3"/>
  <c r="G61" i="3"/>
  <c r="BA65" i="3"/>
  <c r="AZ65" i="3"/>
  <c r="BL65" i="3"/>
  <c r="BL66" i="3"/>
  <c r="BA72" i="3"/>
  <c r="AZ72" i="3"/>
  <c r="BL72" i="3"/>
  <c r="G74" i="3"/>
  <c r="BA75" i="3"/>
  <c r="BL86" i="3"/>
  <c r="G87" i="3"/>
  <c r="G88" i="3"/>
  <c r="BA91" i="3"/>
  <c r="AZ91" i="3"/>
  <c r="BL93" i="3"/>
  <c r="BA98" i="3"/>
  <c r="W29" i="39"/>
  <c r="C29" i="39"/>
  <c r="N68" i="71"/>
  <c r="B63" i="71"/>
  <c r="B64" i="71"/>
  <c r="S64" i="71"/>
  <c r="F75" i="71"/>
  <c r="F74" i="7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c r="F30" i="69"/>
  <c r="F48" i="69"/>
  <c r="A4" i="52"/>
  <c r="B41" i="72"/>
  <c r="A2" i="9"/>
  <c r="A118" i="9"/>
  <c r="C7" i="40"/>
  <c r="C63" i="40"/>
  <c r="C65" i="40"/>
  <c r="C7" i="39"/>
  <c r="C67" i="39"/>
  <c r="D67" i="39"/>
  <c r="D69" i="39"/>
  <c r="C42" i="1"/>
  <c r="C24" i="12"/>
  <c r="C7" i="34"/>
  <c r="C59" i="34"/>
  <c r="D59" i="34"/>
  <c r="E59" i="34"/>
  <c r="F59" i="34"/>
  <c r="G59" i="34"/>
  <c r="H59" i="34"/>
  <c r="I59" i="34"/>
  <c r="J59" i="34"/>
  <c r="K59" i="34"/>
  <c r="L59" i="34"/>
  <c r="M59" i="34"/>
  <c r="N59" i="34"/>
  <c r="O59" i="34"/>
  <c r="C7" i="21"/>
  <c r="C58" i="21"/>
  <c r="D58" i="21"/>
  <c r="C7" i="37"/>
  <c r="C52" i="37"/>
  <c r="D52" i="37"/>
  <c r="G23" i="43"/>
  <c r="C23" i="43"/>
  <c r="W31" i="34"/>
  <c r="S26" i="33"/>
  <c r="AA26" i="33"/>
  <c r="BA586" i="3"/>
  <c r="AZ586" i="3"/>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c r="BL568" i="3"/>
  <c r="BA568" i="3"/>
  <c r="BA567" i="3"/>
  <c r="BL566" i="3"/>
  <c r="AZ566" i="3"/>
  <c r="AZ14" i="3"/>
  <c r="AZ503" i="3"/>
  <c r="S14" i="34"/>
  <c r="AA14" i="34"/>
  <c r="AA14" i="35"/>
  <c r="S14" i="35"/>
  <c r="BL587" i="3"/>
  <c r="AZ587" i="3"/>
  <c r="J46" i="21"/>
  <c r="W46" i="21"/>
  <c r="H46" i="21"/>
  <c r="W13" i="40"/>
  <c r="AC13" i="40"/>
  <c r="F36" i="39"/>
  <c r="H36" i="39"/>
  <c r="J36" i="39"/>
  <c r="AC36" i="39"/>
  <c r="BA584" i="3"/>
  <c r="AZ584" i="3"/>
  <c r="BL582" i="3"/>
  <c r="BA582" i="3"/>
  <c r="AZ582" i="3"/>
  <c r="BA581" i="3"/>
  <c r="BL580" i="3"/>
  <c r="AZ580" i="3"/>
  <c r="BL579" i="3"/>
  <c r="BA579" i="3"/>
  <c r="AZ579" i="3"/>
  <c r="BA577" i="3"/>
  <c r="BA576" i="3"/>
  <c r="AZ576" i="3"/>
  <c r="BL574" i="3"/>
  <c r="BA574" i="3"/>
  <c r="AZ574" i="3"/>
  <c r="BL572" i="3"/>
  <c r="BA572" i="3"/>
  <c r="BL571" i="3"/>
  <c r="BA571" i="3"/>
  <c r="AZ571" i="3"/>
  <c r="BL570" i="3"/>
  <c r="AZ570" i="3"/>
  <c r="BL554" i="3"/>
  <c r="AZ554" i="3"/>
  <c r="BL552" i="3"/>
  <c r="BA552" i="3"/>
  <c r="AZ552" i="3"/>
  <c r="BL551" i="3"/>
  <c r="BA551" i="3"/>
  <c r="BA550" i="3"/>
  <c r="BA549" i="3"/>
  <c r="AZ549" i="3"/>
  <c r="BL548" i="3"/>
  <c r="BA548" i="3"/>
  <c r="BA547" i="3"/>
  <c r="AZ547" i="3"/>
  <c r="BL546" i="3"/>
  <c r="AZ546" i="3"/>
  <c r="BA545" i="3"/>
  <c r="BL544" i="3"/>
  <c r="AZ544" i="3"/>
  <c r="BL542" i="3"/>
  <c r="BA542" i="3"/>
  <c r="AZ542" i="3"/>
  <c r="BL541" i="3"/>
  <c r="BA541" i="3"/>
  <c r="BL540" i="3"/>
  <c r="AZ540" i="3"/>
  <c r="BA538" i="3"/>
  <c r="AZ538" i="3"/>
  <c r="BL537" i="3"/>
  <c r="BA537" i="3"/>
  <c r="BA536" i="3"/>
  <c r="AZ536" i="3"/>
  <c r="BA535" i="3"/>
  <c r="BA534" i="3"/>
  <c r="AZ534" i="3"/>
  <c r="BL533" i="3"/>
  <c r="AZ533" i="3"/>
  <c r="BA533" i="3"/>
  <c r="BL532" i="3"/>
  <c r="AZ532" i="3"/>
  <c r="BL530" i="3"/>
  <c r="BA530" i="3"/>
  <c r="BL529" i="3"/>
  <c r="AZ529" i="3"/>
  <c r="BL528" i="3"/>
  <c r="BA528" i="3"/>
  <c r="BA527" i="3"/>
  <c r="BL526" i="3"/>
  <c r="BA525" i="3"/>
  <c r="AZ525" i="3"/>
  <c r="BL524" i="3"/>
  <c r="AZ524" i="3"/>
  <c r="BA523" i="3"/>
  <c r="AZ523" i="3"/>
  <c r="BL522" i="3"/>
  <c r="BA522" i="3"/>
  <c r="AZ522" i="3"/>
  <c r="BL521" i="3"/>
  <c r="BA521" i="3"/>
  <c r="BA520" i="3"/>
  <c r="AZ520" i="3"/>
  <c r="BA518" i="3"/>
  <c r="AZ518" i="3"/>
  <c r="BA515" i="3"/>
  <c r="BL514" i="3"/>
  <c r="BA514" i="3"/>
  <c r="BA513" i="3"/>
  <c r="AZ513" i="3"/>
  <c r="BA511" i="3"/>
  <c r="AZ511" i="3"/>
  <c r="BL510" i="3"/>
  <c r="BA510" i="3"/>
  <c r="BA509" i="3"/>
  <c r="AZ509" i="3"/>
  <c r="BL508" i="3"/>
  <c r="AZ508" i="3"/>
  <c r="BL506" i="3"/>
  <c r="AZ506" i="3"/>
  <c r="BA505" i="3"/>
  <c r="AZ505" i="3"/>
  <c r="BL504" i="3"/>
  <c r="BA504" i="3"/>
  <c r="BL502" i="3"/>
  <c r="AZ502" i="3"/>
  <c r="BA502" i="3"/>
  <c r="BA501" i="3"/>
  <c r="AZ501" i="3"/>
  <c r="BT5" i="3"/>
  <c r="BL499" i="3"/>
  <c r="BA499" i="3"/>
  <c r="BL498" i="3"/>
  <c r="AZ498" i="3"/>
  <c r="BL497" i="3"/>
  <c r="BA497" i="3"/>
  <c r="BN5" i="3"/>
  <c r="G29" i="6"/>
  <c r="BE5" i="3"/>
  <c r="BA496" i="3"/>
  <c r="AZ496" i="3"/>
  <c r="BL495" i="3"/>
  <c r="BM5" i="3"/>
  <c r="F29" i="6"/>
  <c r="BA494" i="3"/>
  <c r="AZ494" i="3"/>
  <c r="BD5" i="3"/>
  <c r="H5" i="3"/>
  <c r="BL493" i="3"/>
  <c r="AZ493" i="3"/>
  <c r="W17" i="21"/>
  <c r="AB36" i="33"/>
  <c r="F54" i="9"/>
  <c r="F30" i="68"/>
  <c r="F48" i="68"/>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c r="AA14" i="40"/>
  <c r="S14" i="40"/>
  <c r="U34" i="39"/>
  <c r="AB34" i="39"/>
  <c r="BL585" i="3"/>
  <c r="AZ585" i="3"/>
  <c r="AB33" i="33"/>
  <c r="U33" i="33"/>
  <c r="F9" i="34"/>
  <c r="AA9" i="34"/>
  <c r="H9" i="34"/>
  <c r="F38" i="40"/>
  <c r="J38" i="40"/>
  <c r="AZ391" i="3"/>
  <c r="AZ318" i="3"/>
  <c r="AZ364" i="3"/>
  <c r="AZ329" i="3"/>
  <c r="AZ304" i="3"/>
  <c r="W35" i="40"/>
  <c r="BL515" i="3"/>
  <c r="AZ515" i="3"/>
  <c r="BL527" i="3"/>
  <c r="BL539" i="3"/>
  <c r="AZ539" i="3"/>
  <c r="BL543" i="3"/>
  <c r="BL553" i="3"/>
  <c r="AZ553" i="3"/>
  <c r="AZ557" i="3"/>
  <c r="AZ556" i="3"/>
  <c r="W36" i="34"/>
  <c r="J28" i="34"/>
  <c r="C15" i="39"/>
  <c r="U38" i="21"/>
  <c r="G587" i="3"/>
  <c r="H23" i="36"/>
  <c r="J23" i="36"/>
  <c r="F33" i="36"/>
  <c r="J33" i="36"/>
  <c r="AC33" i="36"/>
  <c r="U27" i="37"/>
  <c r="AB27" i="37"/>
  <c r="AC40" i="39"/>
  <c r="W40" i="39"/>
  <c r="AC8" i="40"/>
  <c r="W8" i="40"/>
  <c r="H38" i="40"/>
  <c r="J37" i="39"/>
  <c r="F37" i="39"/>
  <c r="G566" i="3"/>
  <c r="G558" i="3"/>
  <c r="AZ419" i="3"/>
  <c r="AZ394" i="3"/>
  <c r="BL519" i="3"/>
  <c r="AZ519" i="3"/>
  <c r="BL531" i="3"/>
  <c r="AZ531" i="3"/>
  <c r="BL573" i="3"/>
  <c r="AZ573" i="3"/>
  <c r="BL583" i="3"/>
  <c r="AZ583" i="3"/>
  <c r="J12" i="34"/>
  <c r="F12" i="34"/>
  <c r="S12" i="34"/>
  <c r="J39" i="40"/>
  <c r="H39" i="40"/>
  <c r="C64" i="71"/>
  <c r="D63" i="71"/>
  <c r="Y26" i="71"/>
  <c r="Z26" i="71"/>
  <c r="Y25" i="71"/>
  <c r="Z25" i="71"/>
  <c r="G551" i="3"/>
  <c r="BL550" i="3"/>
  <c r="G542" i="3"/>
  <c r="BL398" i="3"/>
  <c r="G402" i="3"/>
  <c r="BL403" i="3"/>
  <c r="G406" i="3"/>
  <c r="BA408" i="3"/>
  <c r="AZ408" i="3"/>
  <c r="BA409" i="3"/>
  <c r="AZ409" i="3"/>
  <c r="BA411" i="3"/>
  <c r="AZ411" i="3"/>
  <c r="BL414" i="3"/>
  <c r="BL415" i="3"/>
  <c r="BA417" i="3"/>
  <c r="AZ417" i="3"/>
  <c r="BL421" i="3"/>
  <c r="BL422" i="3"/>
  <c r="BA425" i="3"/>
  <c r="AZ425" i="3"/>
  <c r="BA426" i="3"/>
  <c r="BA427" i="3"/>
  <c r="AZ427" i="3"/>
  <c r="BL431" i="3"/>
  <c r="BL434" i="3"/>
  <c r="G437" i="3"/>
  <c r="BL438" i="3"/>
  <c r="BL439" i="3"/>
  <c r="AZ439" i="3"/>
  <c r="BL448" i="3"/>
  <c r="AZ448" i="3"/>
  <c r="G451" i="3"/>
  <c r="BL452" i="3"/>
  <c r="G455" i="3"/>
  <c r="BA458" i="3"/>
  <c r="BA459" i="3"/>
  <c r="G463" i="3"/>
  <c r="BL463" i="3"/>
  <c r="AZ463" i="3"/>
  <c r="G465" i="3"/>
  <c r="BL466" i="3"/>
  <c r="AZ466" i="3"/>
  <c r="G468" i="3"/>
  <c r="G469" i="3"/>
  <c r="BL470" i="3"/>
  <c r="BA480" i="3"/>
  <c r="AZ480" i="3"/>
  <c r="BL487" i="3"/>
  <c r="BL308" i="3"/>
  <c r="AZ308" i="3"/>
  <c r="G387" i="3"/>
  <c r="G215" i="3"/>
  <c r="BA231" i="3"/>
  <c r="BL252" i="3"/>
  <c r="BA275" i="3"/>
  <c r="G295" i="3"/>
  <c r="BA125" i="3"/>
  <c r="BL15" i="3"/>
  <c r="AZ15" i="3"/>
  <c r="BA398" i="3"/>
  <c r="AZ398" i="3"/>
  <c r="BA399" i="3"/>
  <c r="AZ399" i="3"/>
  <c r="BL401" i="3"/>
  <c r="BL404" i="3"/>
  <c r="BL405" i="3"/>
  <c r="BL407" i="3"/>
  <c r="AZ407" i="3"/>
  <c r="BA412" i="3"/>
  <c r="BA414" i="3"/>
  <c r="BA415" i="3"/>
  <c r="AZ415" i="3"/>
  <c r="BA416" i="3"/>
  <c r="AZ416" i="3"/>
  <c r="BA418" i="3"/>
  <c r="AZ418" i="3"/>
  <c r="BA421" i="3"/>
  <c r="BA423" i="3"/>
  <c r="G430" i="3"/>
  <c r="BL440" i="3"/>
  <c r="BL444" i="3"/>
  <c r="AZ444" i="3"/>
  <c r="G447" i="3"/>
  <c r="BL449" i="3"/>
  <c r="BL450" i="3"/>
  <c r="BA456" i="3"/>
  <c r="AZ456" i="3"/>
  <c r="BL457" i="3"/>
  <c r="BA462" i="3"/>
  <c r="AZ462" i="3"/>
  <c r="BL467" i="3"/>
  <c r="BL468" i="3"/>
  <c r="AZ468" i="3"/>
  <c r="BA473" i="3"/>
  <c r="AZ473" i="3"/>
  <c r="BL16" i="3"/>
  <c r="AZ16" i="3"/>
  <c r="BA401" i="3"/>
  <c r="AZ401" i="3"/>
  <c r="BA403" i="3"/>
  <c r="BA404" i="3"/>
  <c r="BA405" i="3"/>
  <c r="G409" i="3"/>
  <c r="BL410" i="3"/>
  <c r="G412" i="3"/>
  <c r="G418" i="3"/>
  <c r="G419" i="3"/>
  <c r="BA422" i="3"/>
  <c r="BA431" i="3"/>
  <c r="BA432" i="3"/>
  <c r="BA434" i="3"/>
  <c r="AZ434" i="3"/>
  <c r="BA436" i="3"/>
  <c r="BA438" i="3"/>
  <c r="BL441" i="3"/>
  <c r="AZ441" i="3"/>
  <c r="BL442" i="3"/>
  <c r="AZ442" i="3"/>
  <c r="BL445" i="3"/>
  <c r="BL446" i="3"/>
  <c r="BA452" i="3"/>
  <c r="AZ452" i="3"/>
  <c r="BA453" i="3"/>
  <c r="BA455" i="3"/>
  <c r="AZ455" i="3"/>
  <c r="BA457" i="3"/>
  <c r="G460" i="3"/>
  <c r="BL460" i="3"/>
  <c r="BL461" i="3"/>
  <c r="AZ461" i="3"/>
  <c r="BA464" i="3"/>
  <c r="AZ464" i="3"/>
  <c r="BA470" i="3"/>
  <c r="AZ470" i="3"/>
  <c r="BA471" i="3"/>
  <c r="BL476" i="3"/>
  <c r="AZ476" i="3"/>
  <c r="BL477" i="3"/>
  <c r="BL478" i="3"/>
  <c r="G479" i="3"/>
  <c r="G480" i="3"/>
  <c r="G485" i="3"/>
  <c r="AZ487" i="3"/>
  <c r="BL350" i="3"/>
  <c r="G213" i="3"/>
  <c r="G217" i="3"/>
  <c r="BA235" i="3"/>
  <c r="BL254" i="3"/>
  <c r="BL272" i="3"/>
  <c r="BA301" i="3"/>
  <c r="AZ301" i="3"/>
  <c r="BL122" i="3"/>
  <c r="G128" i="3"/>
  <c r="BL146" i="3"/>
  <c r="AZ146" i="3"/>
  <c r="BA482" i="3"/>
  <c r="BA484" i="3"/>
  <c r="AZ484" i="3"/>
  <c r="BA303" i="3"/>
  <c r="AZ303" i="3"/>
  <c r="BA307" i="3"/>
  <c r="AZ307" i="3"/>
  <c r="BL314" i="3"/>
  <c r="AZ314" i="3"/>
  <c r="BA332" i="3"/>
  <c r="BL332" i="3"/>
  <c r="BA367" i="3"/>
  <c r="BA370" i="3"/>
  <c r="AZ370" i="3"/>
  <c r="BA386" i="3"/>
  <c r="BA216" i="3"/>
  <c r="AZ216" i="3"/>
  <c r="BA218" i="3"/>
  <c r="BL218" i="3"/>
  <c r="BL220" i="3"/>
  <c r="BL221" i="3"/>
  <c r="BL223" i="3"/>
  <c r="BA227" i="3"/>
  <c r="BA229" i="3"/>
  <c r="BL229" i="3"/>
  <c r="BL231" i="3"/>
  <c r="BL233" i="3"/>
  <c r="AZ233" i="3"/>
  <c r="BL235" i="3"/>
  <c r="BL236" i="3"/>
  <c r="BL238" i="3"/>
  <c r="BL243" i="3"/>
  <c r="BA247" i="3"/>
  <c r="BL247" i="3"/>
  <c r="BA249" i="3"/>
  <c r="BL249" i="3"/>
  <c r="BA251" i="3"/>
  <c r="BL251" i="3"/>
  <c r="BA253" i="3"/>
  <c r="BL260" i="3"/>
  <c r="BL263" i="3"/>
  <c r="BL270" i="3"/>
  <c r="AZ270" i="3"/>
  <c r="BA272" i="3"/>
  <c r="BL275" i="3"/>
  <c r="BL285" i="3"/>
  <c r="BL287" i="3"/>
  <c r="BA290" i="3"/>
  <c r="BL299" i="3"/>
  <c r="BL113" i="3"/>
  <c r="BL115" i="3"/>
  <c r="AZ115" i="3"/>
  <c r="BA118" i="3"/>
  <c r="BL118" i="3"/>
  <c r="BA122" i="3"/>
  <c r="AZ122" i="3"/>
  <c r="BL125" i="3"/>
  <c r="BL126" i="3"/>
  <c r="BA144" i="3"/>
  <c r="AZ144" i="3"/>
  <c r="T32" i="71"/>
  <c r="D32" i="71"/>
  <c r="X33" i="71"/>
  <c r="X34" i="71"/>
  <c r="X26" i="71"/>
  <c r="X36" i="71"/>
  <c r="X35" i="71"/>
  <c r="AB37" i="71"/>
  <c r="AB35" i="71"/>
  <c r="F38" i="71"/>
  <c r="F39" i="71"/>
  <c r="F40" i="71"/>
  <c r="V40" i="71"/>
  <c r="AB32" i="71"/>
  <c r="AB27" i="71"/>
  <c r="C47" i="71"/>
  <c r="D47" i="71"/>
  <c r="D46" i="71"/>
  <c r="BL424" i="3"/>
  <c r="G426" i="3"/>
  <c r="G427" i="3"/>
  <c r="BL428" i="3"/>
  <c r="AZ428" i="3"/>
  <c r="BL429" i="3"/>
  <c r="AZ429" i="3"/>
  <c r="BL432" i="3"/>
  <c r="BL435" i="3"/>
  <c r="AZ435" i="3"/>
  <c r="BL436" i="3"/>
  <c r="AZ436" i="3"/>
  <c r="BA439" i="3"/>
  <c r="BA440" i="3"/>
  <c r="BA442" i="3"/>
  <c r="BA445" i="3"/>
  <c r="AZ445" i="3"/>
  <c r="BA447" i="3"/>
  <c r="AZ447" i="3"/>
  <c r="BA449" i="3"/>
  <c r="BL453" i="3"/>
  <c r="BL454" i="3"/>
  <c r="AZ454" i="3"/>
  <c r="G458" i="3"/>
  <c r="BL459" i="3"/>
  <c r="G461" i="3"/>
  <c r="G462" i="3"/>
  <c r="BA465" i="3"/>
  <c r="BA467" i="3"/>
  <c r="BA468" i="3"/>
  <c r="BL471" i="3"/>
  <c r="BL475" i="3"/>
  <c r="BA477" i="3"/>
  <c r="BA478" i="3"/>
  <c r="BA481" i="3"/>
  <c r="G484" i="3"/>
  <c r="BA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BL241" i="3"/>
  <c r="BA244" i="3"/>
  <c r="BL244" i="3"/>
  <c r="BA246" i="3"/>
  <c r="BA252" i="3"/>
  <c r="AZ252" i="3"/>
  <c r="BA254" i="3"/>
  <c r="BA256" i="3"/>
  <c r="BL256" i="3"/>
  <c r="BA258" i="3"/>
  <c r="AZ258" i="3"/>
  <c r="BL264" i="3"/>
  <c r="BL266" i="3"/>
  <c r="BA268" i="3"/>
  <c r="BL273" i="3"/>
  <c r="AZ273" i="3"/>
  <c r="G274" i="3"/>
  <c r="BA277" i="3"/>
  <c r="BL277" i="3"/>
  <c r="BA282" i="3"/>
  <c r="AZ282" i="3"/>
  <c r="BL282" i="3"/>
  <c r="BA284" i="3"/>
  <c r="BL290" i="3"/>
  <c r="BL291" i="3"/>
  <c r="AZ291" i="3"/>
  <c r="BL293" i="3"/>
  <c r="BL294" i="3"/>
  <c r="AZ294" i="3"/>
  <c r="BA297" i="3"/>
  <c r="BL297" i="3"/>
  <c r="BL300" i="3"/>
  <c r="BA302" i="3"/>
  <c r="AZ302" i="3"/>
  <c r="G115" i="3"/>
  <c r="BA117" i="3"/>
  <c r="BA130" i="3"/>
  <c r="BL130" i="3"/>
  <c r="BA137" i="3"/>
  <c r="AZ137" i="3"/>
  <c r="BL138" i="3"/>
  <c r="BA140" i="3"/>
  <c r="AZ140" i="3"/>
  <c r="BA142" i="3"/>
  <c r="G150" i="3"/>
  <c r="BA189" i="3"/>
  <c r="B13" i="1"/>
  <c r="E13" i="1"/>
  <c r="K13" i="1"/>
  <c r="M13" i="1"/>
  <c r="O13" i="1"/>
  <c r="P13" i="1"/>
  <c r="C51" i="71"/>
  <c r="G486" i="3"/>
  <c r="G488" i="3"/>
  <c r="BL317" i="3"/>
  <c r="G318" i="3"/>
  <c r="BA349" i="3"/>
  <c r="AZ349" i="3"/>
  <c r="BA353" i="3"/>
  <c r="BL353" i="3"/>
  <c r="BA358" i="3"/>
  <c r="AZ358" i="3"/>
  <c r="G362" i="3"/>
  <c r="BL365" i="3"/>
  <c r="AZ365" i="3"/>
  <c r="G366" i="3"/>
  <c r="BA368" i="3"/>
  <c r="AZ368" i="3"/>
  <c r="BL368" i="3"/>
  <c r="BA374" i="3"/>
  <c r="AZ374" i="3"/>
  <c r="BA388" i="3"/>
  <c r="AZ388" i="3"/>
  <c r="BA396" i="3"/>
  <c r="BA209" i="3"/>
  <c r="BL217" i="3"/>
  <c r="AZ217" i="3"/>
  <c r="BA219" i="3"/>
  <c r="BA221" i="3"/>
  <c r="AZ221" i="3"/>
  <c r="BA223" i="3"/>
  <c r="BL228" i="3"/>
  <c r="BA230" i="3"/>
  <c r="AZ230" i="3"/>
  <c r="BL232" i="3"/>
  <c r="BL234" i="3"/>
  <c r="BA236" i="3"/>
  <c r="BA238" i="3"/>
  <c r="BA243" i="3"/>
  <c r="BL248" i="3"/>
  <c r="AZ248" i="3"/>
  <c r="G250" i="3"/>
  <c r="BL250" i="3"/>
  <c r="AZ250" i="3"/>
  <c r="G252" i="3"/>
  <c r="G254" i="3"/>
  <c r="BA259" i="3"/>
  <c r="BL261" i="3"/>
  <c r="BA263" i="3"/>
  <c r="AZ263" i="3"/>
  <c r="BA267" i="3"/>
  <c r="AZ267" i="3"/>
  <c r="BA269" i="3"/>
  <c r="BA271" i="3"/>
  <c r="BL271" i="3"/>
  <c r="BA274" i="3"/>
  <c r="BL274" i="3"/>
  <c r="BA276" i="3"/>
  <c r="BA279" i="3"/>
  <c r="BA281" i="3"/>
  <c r="G286" i="3"/>
  <c r="BL286" i="3"/>
  <c r="AZ286" i="3"/>
  <c r="G289" i="3"/>
  <c r="G290" i="3"/>
  <c r="BA296" i="3"/>
  <c r="BA116" i="3"/>
  <c r="AZ116" i="3"/>
  <c r="BA121" i="3"/>
  <c r="AZ121" i="3"/>
  <c r="BL121" i="3"/>
  <c r="BA124" i="3"/>
  <c r="AZ124" i="3"/>
  <c r="BA126" i="3"/>
  <c r="BA129" i="3"/>
  <c r="BL133" i="3"/>
  <c r="AZ133" i="3"/>
  <c r="BL139" i="3"/>
  <c r="AZ139" i="3"/>
  <c r="G140" i="3"/>
  <c r="BL141" i="3"/>
  <c r="BL143" i="3"/>
  <c r="AZ143" i="3"/>
  <c r="G146" i="3"/>
  <c r="G147" i="3"/>
  <c r="BA150" i="3"/>
  <c r="G163" i="3"/>
  <c r="G32" i="3"/>
  <c r="F40" i="69"/>
  <c r="C40" i="69"/>
  <c r="U21" i="33"/>
  <c r="AB21" i="33"/>
  <c r="C55" i="71"/>
  <c r="D54" i="71"/>
  <c r="BL155" i="3"/>
  <c r="AZ155" i="3"/>
  <c r="BA164" i="3"/>
  <c r="AZ164" i="3"/>
  <c r="BA166" i="3"/>
  <c r="AZ166" i="3"/>
  <c r="BA169" i="3"/>
  <c r="AZ169" i="3"/>
  <c r="BL171" i="3"/>
  <c r="AZ171" i="3"/>
  <c r="BA176" i="3"/>
  <c r="AZ176" i="3"/>
  <c r="BA178" i="3"/>
  <c r="AZ178" i="3"/>
  <c r="BA184" i="3"/>
  <c r="AZ184" i="3"/>
  <c r="BL187" i="3"/>
  <c r="AZ187" i="3"/>
  <c r="BL189" i="3"/>
  <c r="BL190" i="3"/>
  <c r="BA192" i="3"/>
  <c r="AZ192" i="3"/>
  <c r="BL197" i="3"/>
  <c r="BL199" i="3"/>
  <c r="AZ199" i="3"/>
  <c r="BA200" i="3"/>
  <c r="AZ200" i="3"/>
  <c r="BA202" i="3"/>
  <c r="BL207" i="3"/>
  <c r="BL18" i="3"/>
  <c r="BL19" i="3"/>
  <c r="BA20" i="3"/>
  <c r="AZ20" i="3"/>
  <c r="BL25" i="3"/>
  <c r="AZ25" i="3"/>
  <c r="BL27" i="3"/>
  <c r="BA28" i="3"/>
  <c r="AZ28" i="3"/>
  <c r="BA31" i="3"/>
  <c r="BA32" i="3"/>
  <c r="G38" i="3"/>
  <c r="BA38" i="3"/>
  <c r="BA41" i="3"/>
  <c r="BA42" i="3"/>
  <c r="G47" i="3"/>
  <c r="BL48" i="3"/>
  <c r="BL54" i="3"/>
  <c r="AZ54" i="3"/>
  <c r="BL55" i="3"/>
  <c r="AZ55" i="3"/>
  <c r="G58" i="3"/>
  <c r="BA59" i="3"/>
  <c r="BL61" i="3"/>
  <c r="G64" i="3"/>
  <c r="BA64" i="3"/>
  <c r="G67" i="3"/>
  <c r="BL68" i="3"/>
  <c r="BA69" i="3"/>
  <c r="G72" i="3"/>
  <c r="BL73" i="3"/>
  <c r="BA74" i="3"/>
  <c r="BA87" i="3"/>
  <c r="BA89" i="3"/>
  <c r="BL101" i="3"/>
  <c r="BL102" i="3"/>
  <c r="AZ102" i="3"/>
  <c r="G105" i="3"/>
  <c r="BL106" i="3"/>
  <c r="BL111" i="3"/>
  <c r="W21" i="37"/>
  <c r="AC21" i="37"/>
  <c r="AB21" i="34"/>
  <c r="U21" i="34"/>
  <c r="AB25" i="71"/>
  <c r="AB28" i="71"/>
  <c r="AB26" i="71"/>
  <c r="Y30" i="71"/>
  <c r="Z30" i="71"/>
  <c r="C34" i="71"/>
  <c r="Y28" i="71"/>
  <c r="Z28" i="71"/>
  <c r="C23" i="71"/>
  <c r="B22" i="71"/>
  <c r="B21" i="71"/>
  <c r="B20" i="71"/>
  <c r="AA3" i="71"/>
  <c r="BL149" i="3"/>
  <c r="AZ149" i="3"/>
  <c r="BL150" i="3"/>
  <c r="G151" i="3"/>
  <c r="BA152" i="3"/>
  <c r="AZ152" i="3"/>
  <c r="BA154" i="3"/>
  <c r="AZ154" i="3"/>
  <c r="BA160" i="3"/>
  <c r="AZ160" i="3"/>
  <c r="G162" i="3"/>
  <c r="BL162" i="3"/>
  <c r="BL165" i="3"/>
  <c r="BL170" i="3"/>
  <c r="BA173" i="3"/>
  <c r="AZ173" i="3"/>
  <c r="BA174" i="3"/>
  <c r="BL179" i="3"/>
  <c r="AZ179" i="3"/>
  <c r="BA181" i="3"/>
  <c r="BA182" i="3"/>
  <c r="AZ182" i="3"/>
  <c r="BL185" i="3"/>
  <c r="BL193" i="3"/>
  <c r="AZ193" i="3"/>
  <c r="G194" i="3"/>
  <c r="BL194" i="3"/>
  <c r="AZ194" i="3"/>
  <c r="BA198" i="3"/>
  <c r="G199" i="3"/>
  <c r="G205" i="3"/>
  <c r="BL206" i="3"/>
  <c r="BA19" i="3"/>
  <c r="G22" i="3"/>
  <c r="G24" i="3"/>
  <c r="G25" i="3"/>
  <c r="G27" i="3"/>
  <c r="BA27" i="3"/>
  <c r="G30" i="3"/>
  <c r="BL30" i="3"/>
  <c r="BL31" i="3"/>
  <c r="G37" i="3"/>
  <c r="BL40" i="3"/>
  <c r="AZ40" i="3"/>
  <c r="BL41" i="3"/>
  <c r="BL45" i="3"/>
  <c r="BA48" i="3"/>
  <c r="BA49" i="3"/>
  <c r="BA51" i="3"/>
  <c r="G55" i="3"/>
  <c r="BL56" i="3"/>
  <c r="BA58" i="3"/>
  <c r="BL59" i="3"/>
  <c r="BL60" i="3"/>
  <c r="BA61" i="3"/>
  <c r="BA68" i="3"/>
  <c r="BA73" i="3"/>
  <c r="G78" i="3"/>
  <c r="G79" i="3"/>
  <c r="G81" i="3"/>
  <c r="G85" i="3"/>
  <c r="BL85" i="3"/>
  <c r="BA86" i="3"/>
  <c r="BL97" i="3"/>
  <c r="AZ97" i="3"/>
  <c r="G103" i="3"/>
  <c r="BA103" i="3"/>
  <c r="AZ103" i="3"/>
  <c r="BA104" i="3"/>
  <c r="BA106" i="3"/>
  <c r="BL108" i="3"/>
  <c r="AZ108" i="3"/>
  <c r="W21" i="21"/>
  <c r="T44" i="71"/>
  <c r="F28" i="71"/>
  <c r="F27" i="71"/>
  <c r="F26" i="71"/>
  <c r="T40" i="71"/>
  <c r="E39" i="71"/>
  <c r="E40" i="71"/>
  <c r="U40" i="71"/>
  <c r="E59" i="71"/>
  <c r="E60" i="71"/>
  <c r="U60" i="71"/>
  <c r="T76" i="71"/>
  <c r="D76" i="71"/>
  <c r="C75" i="71"/>
  <c r="G154" i="3"/>
  <c r="G156" i="3"/>
  <c r="BL157" i="3"/>
  <c r="AZ157" i="3"/>
  <c r="BL159" i="3"/>
  <c r="AZ159" i="3"/>
  <c r="G160" i="3"/>
  <c r="BL177" i="3"/>
  <c r="AZ177" i="3"/>
  <c r="G179" i="3"/>
  <c r="BL183" i="3"/>
  <c r="AZ183" i="3"/>
  <c r="BA186" i="3"/>
  <c r="AZ186" i="3"/>
  <c r="BA190" i="3"/>
  <c r="G196" i="3"/>
  <c r="BA197" i="3"/>
  <c r="AZ197" i="3"/>
  <c r="BL201" i="3"/>
  <c r="AZ201" i="3"/>
  <c r="BL203" i="3"/>
  <c r="AZ203" i="3"/>
  <c r="BA204" i="3"/>
  <c r="AZ204" i="3"/>
  <c r="BA18" i="3"/>
  <c r="G21" i="3"/>
  <c r="BL21" i="3"/>
  <c r="AZ21" i="3"/>
  <c r="G29" i="3"/>
  <c r="BL29" i="3"/>
  <c r="AZ29" i="3"/>
  <c r="G33" i="3"/>
  <c r="G34" i="3"/>
  <c r="BA37" i="3"/>
  <c r="G39" i="3"/>
  <c r="BL39" i="3"/>
  <c r="AZ39" i="3"/>
  <c r="G43" i="3"/>
  <c r="G44" i="3"/>
  <c r="BA45" i="3"/>
  <c r="BA46" i="3"/>
  <c r="BL49" i="3"/>
  <c r="BL50" i="3"/>
  <c r="AZ50" i="3"/>
  <c r="BL51" i="3"/>
  <c r="G53" i="3"/>
  <c r="BL53" i="3"/>
  <c r="AZ53" i="3"/>
  <c r="BA56" i="3"/>
  <c r="BA57" i="3"/>
  <c r="BL58" i="3"/>
  <c r="G60" i="3"/>
  <c r="BA60" i="3"/>
  <c r="AZ60" i="3"/>
  <c r="BA63" i="3"/>
  <c r="AZ63" i="3"/>
  <c r="BA66" i="3"/>
  <c r="AZ66" i="3"/>
  <c r="BL74" i="3"/>
  <c r="G75" i="3"/>
  <c r="BL75" i="3"/>
  <c r="AZ75" i="3"/>
  <c r="BA80" i="3"/>
  <c r="BL84" i="3"/>
  <c r="G89" i="3"/>
  <c r="BA90" i="3"/>
  <c r="BA109" i="3"/>
  <c r="F3" i="35"/>
  <c r="C86" i="71"/>
  <c r="D86" i="71"/>
  <c r="D87" i="71"/>
  <c r="Y29" i="71"/>
  <c r="Z29" i="71"/>
  <c r="B35" i="71"/>
  <c r="B36" i="71"/>
  <c r="S36" i="71"/>
  <c r="B27" i="71"/>
  <c r="B26" i="71"/>
  <c r="S28" i="71"/>
  <c r="AB34" i="71"/>
  <c r="AA38" i="71"/>
  <c r="AA37" i="71"/>
  <c r="AA27" i="71"/>
  <c r="C67" i="71"/>
  <c r="T68" i="71"/>
  <c r="O68" i="71"/>
  <c r="S80" i="71"/>
  <c r="B79" i="71"/>
  <c r="B78" i="71"/>
  <c r="X25" i="71"/>
  <c r="V24" i="71"/>
  <c r="E23" i="71"/>
  <c r="E22" i="71"/>
  <c r="E21" i="71"/>
  <c r="E20" i="71"/>
  <c r="V20" i="71"/>
  <c r="X28" i="71"/>
  <c r="X32" i="71"/>
  <c r="BA71" i="3"/>
  <c r="AZ71" i="3"/>
  <c r="G76" i="3"/>
  <c r="BL77" i="3"/>
  <c r="AZ77" i="3"/>
  <c r="BA79" i="3"/>
  <c r="AZ79" i="3"/>
  <c r="G82" i="3"/>
  <c r="G83" i="3"/>
  <c r="BA84" i="3"/>
  <c r="BL88" i="3"/>
  <c r="AZ88" i="3"/>
  <c r="G90" i="3"/>
  <c r="BL90" i="3"/>
  <c r="BL92" i="3"/>
  <c r="G101" i="3"/>
  <c r="BA101" i="3"/>
  <c r="G108" i="3"/>
  <c r="G109" i="3"/>
  <c r="BL112" i="3"/>
  <c r="W18" i="35"/>
  <c r="U25" i="40"/>
  <c r="S21" i="34"/>
  <c r="B68" i="43"/>
  <c r="B88" i="43"/>
  <c r="C27" i="71"/>
  <c r="D62" i="71"/>
  <c r="U68" i="71"/>
  <c r="D30" i="71"/>
  <c r="X31" i="71"/>
  <c r="F35" i="71"/>
  <c r="F36" i="71"/>
  <c r="V36" i="71"/>
  <c r="AA34" i="71"/>
  <c r="B51" i="71"/>
  <c r="B52" i="71"/>
  <c r="S52" i="71"/>
  <c r="BL107" i="3"/>
  <c r="BA111" i="3"/>
  <c r="AZ111" i="3"/>
  <c r="W18" i="36"/>
  <c r="B57" i="43"/>
  <c r="D28" i="71"/>
  <c r="U28" i="71"/>
  <c r="Q67" i="71"/>
  <c r="AB33" i="71"/>
  <c r="AA30" i="71"/>
  <c r="F31" i="71"/>
  <c r="F32" i="71"/>
  <c r="V32" i="71"/>
  <c r="AB31" i="71"/>
  <c r="AB36" i="71"/>
  <c r="AA36" i="71"/>
  <c r="Y38" i="71"/>
  <c r="Z38" i="71"/>
  <c r="B47" i="71"/>
  <c r="B48" i="71"/>
  <c r="S48" i="71"/>
  <c r="E47" i="71"/>
  <c r="E48" i="71"/>
  <c r="U48" i="71"/>
  <c r="B55" i="71"/>
  <c r="B56" i="71"/>
  <c r="S56" i="71"/>
  <c r="F71" i="71"/>
  <c r="F70" i="71"/>
  <c r="S23" i="33"/>
  <c r="AA23" i="33"/>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c r="D16" i="53"/>
  <c r="B34" i="72"/>
  <c r="BL507" i="3"/>
  <c r="AZ507" i="3"/>
  <c r="BQ5" i="3"/>
  <c r="F28" i="6"/>
  <c r="F30" i="6"/>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c r="G31" i="6"/>
  <c r="W36" i="39"/>
  <c r="U23" i="40"/>
  <c r="AA39" i="37"/>
  <c r="AC16" i="36"/>
  <c r="AB12" i="33"/>
  <c r="C27" i="39"/>
  <c r="U40" i="40"/>
  <c r="AC9" i="40"/>
  <c r="W36" i="35"/>
  <c r="J12" i="21"/>
  <c r="B73" i="43"/>
  <c r="B76" i="43"/>
  <c r="F9" i="36"/>
  <c r="J40" i="40"/>
  <c r="G562" i="3"/>
  <c r="AZ385" i="3"/>
  <c r="AZ212" i="3"/>
  <c r="AZ220" i="3"/>
  <c r="AZ231" i="3"/>
  <c r="AZ255" i="3"/>
  <c r="AZ293" i="3"/>
  <c r="BA472" i="3"/>
  <c r="AZ472" i="3"/>
  <c r="G476" i="3"/>
  <c r="AZ477" i="3"/>
  <c r="AZ478" i="3"/>
  <c r="BA479" i="3"/>
  <c r="AZ479" i="3"/>
  <c r="BA490" i="3"/>
  <c r="AZ490" i="3"/>
  <c r="BL312" i="3"/>
  <c r="AZ312" i="3"/>
  <c r="G313" i="3"/>
  <c r="BA316" i="3"/>
  <c r="AZ316" i="3"/>
  <c r="BA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AZ260" i="3"/>
  <c r="BL268" i="3"/>
  <c r="AZ268" i="3"/>
  <c r="G278" i="3"/>
  <c r="BA474" i="3"/>
  <c r="BA475" i="3"/>
  <c r="AZ475" i="3"/>
  <c r="BL481" i="3"/>
  <c r="BL482" i="3"/>
  <c r="G483" i="3"/>
  <c r="BL485" i="3"/>
  <c r="AZ485" i="3"/>
  <c r="BL486" i="3"/>
  <c r="AZ486" i="3"/>
  <c r="G487" i="3"/>
  <c r="BA492" i="3"/>
  <c r="AZ492" i="3"/>
  <c r="BL363" i="3"/>
  <c r="AZ363" i="3"/>
  <c r="G369" i="3"/>
  <c r="BL393" i="3"/>
  <c r="AZ393" i="3"/>
  <c r="BL396" i="3"/>
  <c r="BL209" i="3"/>
  <c r="AZ209" i="3"/>
  <c r="AZ226" i="3"/>
  <c r="G240" i="3"/>
  <c r="G242" i="3"/>
  <c r="G245" i="3"/>
  <c r="BL246" i="3"/>
  <c r="AZ246" i="3"/>
  <c r="BL253" i="3"/>
  <c r="AZ253" i="3"/>
  <c r="BA261" i="3"/>
  <c r="AZ261" i="3"/>
  <c r="BA264" i="3"/>
  <c r="AZ264" i="3"/>
  <c r="BA266" i="3"/>
  <c r="AZ266" i="3"/>
  <c r="G272" i="3"/>
  <c r="G275" i="3"/>
  <c r="BL276" i="3"/>
  <c r="AZ276" i="3"/>
  <c r="BL279" i="3"/>
  <c r="BL281" i="3"/>
  <c r="AZ281" i="3"/>
  <c r="BA285" i="3"/>
  <c r="AZ285" i="3"/>
  <c r="BA287" i="3"/>
  <c r="AZ287" i="3"/>
  <c r="AZ290" i="3"/>
  <c r="AZ134" i="3"/>
  <c r="BA289" i="3"/>
  <c r="AZ289" i="3"/>
  <c r="G293" i="3"/>
  <c r="G296" i="3"/>
  <c r="BL296" i="3"/>
  <c r="AZ296" i="3"/>
  <c r="G301" i="3"/>
  <c r="G114" i="3"/>
  <c r="BL114" i="3"/>
  <c r="BL117" i="3"/>
  <c r="G118" i="3"/>
  <c r="BL119" i="3"/>
  <c r="AZ119" i="3"/>
  <c r="G120" i="3"/>
  <c r="G124" i="3"/>
  <c r="BL129" i="3"/>
  <c r="BL131" i="3"/>
  <c r="AZ131" i="3"/>
  <c r="G132" i="3"/>
  <c r="G139" i="3"/>
  <c r="G142" i="3"/>
  <c r="BL142" i="3"/>
  <c r="AZ142" i="3"/>
  <c r="BL153" i="3"/>
  <c r="AZ153" i="3"/>
  <c r="BA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BL145" i="3"/>
  <c r="BL147" i="3"/>
  <c r="AZ147" i="3"/>
  <c r="G148" i="3"/>
  <c r="BL151" i="3"/>
  <c r="AZ151" i="3"/>
  <c r="BA165" i="3"/>
  <c r="AZ165" i="3"/>
  <c r="G168" i="3"/>
  <c r="BA170" i="3"/>
  <c r="BL174" i="3"/>
  <c r="AZ174" i="3"/>
  <c r="AZ185" i="3"/>
  <c r="BL202" i="3"/>
  <c r="AZ202" i="3"/>
  <c r="BL36" i="3"/>
  <c r="AZ36" i="3"/>
  <c r="AZ106" i="3"/>
  <c r="G200" i="3"/>
  <c r="G207" i="3"/>
  <c r="BA23" i="3"/>
  <c r="BA24" i="3"/>
  <c r="AZ24" i="3"/>
  <c r="BL26" i="3"/>
  <c r="AZ26" i="3"/>
  <c r="BL32" i="3"/>
  <c r="AZ32" i="3"/>
  <c r="BA34" i="3"/>
  <c r="AZ34" i="3"/>
  <c r="BA35" i="3"/>
  <c r="AZ35" i="3"/>
  <c r="BL37" i="3"/>
  <c r="BL42" i="3"/>
  <c r="AZ42" i="3"/>
  <c r="BA44" i="3"/>
  <c r="AZ44" i="3"/>
  <c r="BA206" i="3"/>
  <c r="AZ206" i="3"/>
  <c r="BL22" i="3"/>
  <c r="AZ22" i="3"/>
  <c r="BL33" i="3"/>
  <c r="BL43" i="3"/>
  <c r="AZ43" i="3"/>
  <c r="BL46" i="3"/>
  <c r="AZ46" i="3"/>
  <c r="AZ90" i="3"/>
  <c r="BL78" i="3"/>
  <c r="AZ78" i="3"/>
  <c r="BA83" i="3"/>
  <c r="G91" i="3"/>
  <c r="BL95" i="3"/>
  <c r="AZ95" i="3"/>
  <c r="BL98" i="3"/>
  <c r="AZ98" i="3"/>
  <c r="BL109" i="3"/>
  <c r="AB21" i="21"/>
  <c r="G77" i="3"/>
  <c r="BA81" i="3"/>
  <c r="BA85" i="3"/>
  <c r="AZ85" i="3"/>
  <c r="BL89" i="3"/>
  <c r="AZ89" i="3"/>
  <c r="G94" i="3"/>
  <c r="G97" i="3"/>
  <c r="G100" i="3"/>
  <c r="BA107" i="3"/>
  <c r="AZ107" i="3"/>
  <c r="BA112" i="3"/>
  <c r="AC21" i="34"/>
  <c r="E27" i="71"/>
  <c r="E26" i="71"/>
  <c r="V28" i="71"/>
  <c r="BA76" i="3"/>
  <c r="AZ76" i="3"/>
  <c r="BL80" i="3"/>
  <c r="BL87" i="3"/>
  <c r="AZ87" i="3"/>
  <c r="BA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c r="J26" i="43" s="1"/>
  <c r="E29" i="6"/>
  <c r="K15" i="1"/>
  <c r="E28" i="6"/>
  <c r="M6" i="1"/>
  <c r="O6" i="1"/>
  <c r="T13" i="1"/>
  <c r="C58" i="33"/>
  <c r="D58" i="33"/>
  <c r="E58" i="33"/>
  <c r="F58" i="33"/>
  <c r="G58" i="33"/>
  <c r="H58" i="33"/>
  <c r="I58" i="33"/>
  <c r="J58" i="33"/>
  <c r="K58" i="33"/>
  <c r="L58" i="33"/>
  <c r="M58" i="33"/>
  <c r="N58" i="33"/>
  <c r="O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P11" i="1"/>
  <c r="K14" i="1"/>
  <c r="O9" i="1"/>
  <c r="P9" i="1"/>
  <c r="O12" i="1"/>
  <c r="P12" i="1"/>
  <c r="O8" i="1"/>
  <c r="O16" i="1" s="1"/>
  <c r="P8" i="1"/>
  <c r="H73" i="43"/>
  <c r="H90" i="43"/>
  <c r="I18" i="43"/>
  <c r="E17" i="43"/>
  <c r="C17" i="43"/>
  <c r="H55" i="43"/>
  <c r="H86" i="43"/>
  <c r="H87" i="43"/>
  <c r="H89" i="43"/>
  <c r="H88" i="43"/>
  <c r="H84" i="43"/>
  <c r="C69" i="39"/>
  <c r="T35" i="4"/>
  <c r="A19" i="51"/>
  <c r="B14" i="72"/>
  <c r="H110" i="9"/>
  <c r="D18" i="53"/>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E52" i="37"/>
  <c r="F52" i="37"/>
  <c r="G52" i="37"/>
  <c r="H52" i="37"/>
  <c r="I52" i="37"/>
  <c r="J52" i="37"/>
  <c r="K52" i="37"/>
  <c r="L52" i="37"/>
  <c r="M52" i="37"/>
  <c r="N52" i="37"/>
  <c r="O52" i="37"/>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E13" i="6"/>
  <c r="E12" i="6"/>
  <c r="E57" i="40"/>
  <c r="A1" i="79"/>
  <c r="E14" i="6"/>
  <c r="E10" i="6"/>
  <c r="E11" i="6"/>
  <c r="E60" i="39"/>
  <c r="E8" i="6"/>
  <c r="F27" i="6"/>
  <c r="E15" i="6"/>
  <c r="E64" i="39"/>
  <c r="P26" i="43"/>
  <c r="AC34" i="21"/>
  <c r="C77" i="9"/>
  <c r="C74" i="9"/>
  <c r="W42" i="21"/>
  <c r="S42" i="21"/>
  <c r="AC37" i="21"/>
  <c r="AB37" i="21"/>
  <c r="W36" i="21"/>
  <c r="AA36" i="21"/>
  <c r="O23" i="43"/>
  <c r="C28" i="15"/>
  <c r="U27" i="21"/>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c r="S37" i="21"/>
  <c r="AZ222" i="3"/>
  <c r="AZ265" i="3"/>
  <c r="U14" i="34"/>
  <c r="AB14" i="34"/>
  <c r="S14" i="39"/>
  <c r="AA14" i="39"/>
  <c r="C70" i="71"/>
  <c r="D70" i="71"/>
  <c r="D71" i="71"/>
  <c r="AC25" i="37"/>
  <c r="W25" i="37"/>
  <c r="AB27" i="34"/>
  <c r="U27" i="34"/>
  <c r="AZ80" i="3"/>
  <c r="AZ81" i="3"/>
  <c r="AZ109" i="3"/>
  <c r="AZ83" i="3"/>
  <c r="AZ138" i="3"/>
  <c r="AZ481" i="3"/>
  <c r="AZ101" i="3"/>
  <c r="AZ56" i="3"/>
  <c r="AZ198" i="3"/>
  <c r="AZ162" i="3"/>
  <c r="AZ69" i="3"/>
  <c r="AZ465" i="3"/>
  <c r="AZ367" i="3"/>
  <c r="AZ403" i="3"/>
  <c r="AZ423" i="3"/>
  <c r="AZ458" i="3"/>
  <c r="F32" i="15"/>
  <c r="F60" i="15"/>
  <c r="F32" i="67"/>
  <c r="F60" i="67"/>
  <c r="AZ82" i="3"/>
  <c r="U12" i="36"/>
  <c r="AB12" i="36"/>
  <c r="S30" i="21"/>
  <c r="AA30" i="21"/>
  <c r="N370" i="46"/>
  <c r="AZ275" i="3"/>
  <c r="N65" i="71"/>
  <c r="N66" i="71"/>
  <c r="AB36" i="35"/>
  <c r="U36" i="35"/>
  <c r="AC40" i="37"/>
  <c r="W40" i="37"/>
  <c r="AB44" i="39"/>
  <c r="U44" i="39"/>
  <c r="W28" i="33"/>
  <c r="AC28" i="33"/>
  <c r="AC9" i="33"/>
  <c r="W9" i="33"/>
  <c r="H26" i="43"/>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c r="F30" i="11"/>
  <c r="F31" i="12"/>
  <c r="C31" i="12"/>
  <c r="M18" i="15"/>
  <c r="D68" i="9"/>
  <c r="E26" i="43"/>
  <c r="G26" i="43"/>
  <c r="N94" i="46"/>
  <c r="F26" i="43"/>
  <c r="P6" i="1"/>
  <c r="C13" i="12"/>
  <c r="K16" i="1"/>
  <c r="J7" i="37"/>
  <c r="W7" i="37"/>
  <c r="C32" i="67"/>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7" i="36"/>
  <c r="AC7" i="36"/>
  <c r="V36" i="36"/>
  <c r="I36" i="36"/>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C26" i="71"/>
  <c r="D26" i="7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c r="AZ51" i="3"/>
  <c r="B19" i="71"/>
  <c r="B18" i="71"/>
  <c r="B17" i="71"/>
  <c r="B16" i="71"/>
  <c r="B15" i="71"/>
  <c r="B14" i="71"/>
  <c r="B13" i="71"/>
  <c r="B12" i="7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W40" i="40"/>
  <c r="AC40" i="40"/>
  <c r="AC12" i="21"/>
  <c r="W12" i="21"/>
  <c r="AB12" i="21"/>
  <c r="U12" i="21"/>
  <c r="AA27" i="34"/>
  <c r="S27" i="34"/>
  <c r="AC26" i="37"/>
  <c r="W26" i="37"/>
  <c r="BL5" i="3"/>
  <c r="F7" i="36"/>
  <c r="S7" i="36"/>
  <c r="H7" i="36"/>
  <c r="AB7" i="36"/>
  <c r="T36" i="36"/>
  <c r="G36" i="36"/>
  <c r="AA9" i="36"/>
  <c r="S9" i="36"/>
  <c r="AA34" i="35"/>
  <c r="S34" i="35"/>
  <c r="E15" i="71"/>
  <c r="E14" i="71"/>
  <c r="E13" i="71"/>
  <c r="E12" i="71"/>
  <c r="V16" i="71"/>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72" i="43"/>
  <c r="B70" i="43"/>
  <c r="E60" i="40"/>
  <c r="F31" i="6"/>
  <c r="E51" i="40"/>
  <c r="E58" i="40"/>
  <c r="E62" i="39"/>
  <c r="M14" i="1"/>
  <c r="D5" i="43"/>
  <c r="C7" i="43"/>
  <c r="C5" i="43"/>
  <c r="D10" i="52"/>
  <c r="D125" i="9"/>
  <c r="D11" i="52"/>
  <c r="B7" i="74"/>
  <c r="C7" i="74"/>
  <c r="H7" i="37"/>
  <c r="AB7" i="37"/>
  <c r="T42" i="37"/>
  <c r="G42" i="37"/>
  <c r="H7" i="33"/>
  <c r="J7" i="33"/>
  <c r="F48" i="35"/>
  <c r="F7" i="33"/>
  <c r="E58" i="21"/>
  <c r="F7" i="37"/>
  <c r="P28" i="43"/>
  <c r="B66" i="40"/>
  <c r="P25" i="43"/>
  <c r="P29" i="43"/>
  <c r="P27" i="43"/>
  <c r="B70" i="39"/>
  <c r="C32" i="15"/>
  <c r="AE11" i="1"/>
  <c r="AE9" i="1"/>
  <c r="AE7" i="1"/>
  <c r="AE8" i="1"/>
  <c r="AE12" i="1"/>
  <c r="AE10" i="1"/>
  <c r="E56" i="40"/>
  <c r="D65" i="40"/>
  <c r="W7" i="36"/>
  <c r="S16" i="71"/>
  <c r="AA7" i="36"/>
  <c r="R36" i="36"/>
  <c r="R37" i="36"/>
  <c r="AC7" i="37"/>
  <c r="V42" i="37"/>
  <c r="I42" i="37"/>
  <c r="E445" i="3"/>
  <c r="E538" i="3"/>
  <c r="E193" i="3"/>
  <c r="E41" i="3"/>
  <c r="E542" i="3"/>
  <c r="E509" i="3"/>
  <c r="E146" i="3"/>
  <c r="E117" i="3"/>
  <c r="E437" i="3"/>
  <c r="E329" i="3"/>
  <c r="E212" i="3"/>
  <c r="E75" i="3"/>
  <c r="E360" i="3"/>
  <c r="E50" i="3"/>
  <c r="E51" i="3"/>
  <c r="E397" i="3"/>
  <c r="E29" i="3"/>
  <c r="E576" i="3"/>
  <c r="E86" i="3"/>
  <c r="E60" i="3"/>
  <c r="E62" i="3"/>
  <c r="E438" i="3"/>
  <c r="E92" i="3"/>
  <c r="E295" i="3"/>
  <c r="E130" i="3"/>
  <c r="E449" i="3"/>
  <c r="E34" i="3"/>
  <c r="E540" i="3"/>
  <c r="E176" i="3"/>
  <c r="E313" i="3"/>
  <c r="U6" i="3"/>
  <c r="AE6" i="3"/>
  <c r="E558" i="3"/>
  <c r="E114" i="3"/>
  <c r="E550" i="3"/>
  <c r="E72" i="3"/>
  <c r="E351" i="3"/>
  <c r="E139" i="3"/>
  <c r="E369" i="3"/>
  <c r="E535" i="3"/>
  <c r="E278" i="3"/>
  <c r="E28" i="3"/>
  <c r="E345" i="3"/>
  <c r="E228" i="3"/>
  <c r="E568" i="3"/>
  <c r="E337" i="3"/>
  <c r="E508" i="3"/>
  <c r="E314" i="3"/>
  <c r="E578" i="3"/>
  <c r="E496" i="3"/>
  <c r="E120" i="3"/>
  <c r="E474" i="3"/>
  <c r="E82" i="3"/>
  <c r="E20" i="3"/>
  <c r="E392" i="3"/>
  <c r="E13" i="3"/>
  <c r="T6" i="3"/>
  <c r="F67" i="39"/>
  <c r="G67" i="39"/>
  <c r="H89" i="21"/>
  <c r="I89" i="21"/>
  <c r="J89" i="21"/>
  <c r="K89" i="21"/>
  <c r="L89" i="21"/>
  <c r="M89" i="21"/>
  <c r="F26" i="21"/>
  <c r="P65" i="71"/>
  <c r="P66" i="71"/>
  <c r="D26" i="43"/>
  <c r="C25" i="43"/>
  <c r="C33" i="43" s="1"/>
  <c r="C34" i="43" s="1"/>
  <c r="E34" i="43" s="1"/>
  <c r="C31" i="43" s="1"/>
  <c r="C48" i="11"/>
  <c r="C30" i="11"/>
  <c r="E389" i="3"/>
  <c r="U7" i="36"/>
  <c r="E68" i="3"/>
  <c r="E467" i="3"/>
  <c r="E258" i="3"/>
  <c r="E502" i="3"/>
  <c r="C36" i="71"/>
  <c r="D35" i="71"/>
  <c r="O65" i="71"/>
  <c r="D66" i="71"/>
  <c r="O66" i="71"/>
  <c r="D56" i="71"/>
  <c r="T56" i="71"/>
  <c r="T52" i="71"/>
  <c r="D52" i="71"/>
  <c r="D22" i="71"/>
  <c r="C21" i="71"/>
  <c r="E513" i="3"/>
  <c r="E81" i="3"/>
  <c r="E544" i="3"/>
  <c r="E292" i="3"/>
  <c r="E255" i="3"/>
  <c r="E499" i="3"/>
  <c r="B11" i="71"/>
  <c r="B10" i="71"/>
  <c r="B9" i="71"/>
  <c r="B8" i="71"/>
  <c r="B7" i="71"/>
  <c r="B6" i="71"/>
  <c r="B5" i="71"/>
  <c r="S12" i="71"/>
  <c r="E11" i="71"/>
  <c r="E10" i="71"/>
  <c r="E9" i="71"/>
  <c r="E8" i="71"/>
  <c r="E7" i="71"/>
  <c r="E6" i="71"/>
  <c r="E5" i="71"/>
  <c r="V12" i="71"/>
  <c r="AC7" i="34"/>
  <c r="V49" i="34"/>
  <c r="I49" i="34"/>
  <c r="G54" i="34"/>
  <c r="H54" i="34"/>
  <c r="U7" i="34"/>
  <c r="AA7" i="34"/>
  <c r="R49" i="34"/>
  <c r="R50" i="34"/>
  <c r="I122" i="43"/>
  <c r="J122" i="43"/>
  <c r="K122" i="43" s="1"/>
  <c r="L122" i="43" s="1"/>
  <c r="M122" i="43" s="1"/>
  <c r="I121" i="43"/>
  <c r="J121" i="43"/>
  <c r="K121" i="43" s="1"/>
  <c r="L121" i="43" s="1"/>
  <c r="M121" i="43" s="1"/>
  <c r="D119" i="43"/>
  <c r="E119" i="43"/>
  <c r="F119" i="43" s="1"/>
  <c r="G119" i="43" s="1"/>
  <c r="H119" i="43" s="1"/>
  <c r="B119" i="43"/>
  <c r="C119" i="43" s="1"/>
  <c r="G121" i="43"/>
  <c r="H121" i="43" s="1"/>
  <c r="I120" i="43"/>
  <c r="J120" i="43" s="1"/>
  <c r="K120" i="43"/>
  <c r="L120" i="43" s="1"/>
  <c r="M120" i="43" s="1"/>
  <c r="D120" i="43"/>
  <c r="E120" i="43"/>
  <c r="F120" i="43"/>
  <c r="G120" i="43" s="1"/>
  <c r="H120" i="43" s="1"/>
  <c r="B120" i="43"/>
  <c r="C120" i="43"/>
  <c r="I119" i="43"/>
  <c r="J119" i="43" s="1"/>
  <c r="K119" i="43" s="1"/>
  <c r="L119" i="43" s="1"/>
  <c r="M119" i="43"/>
  <c r="I118" i="43"/>
  <c r="J118" i="43"/>
  <c r="K118" i="43" s="1"/>
  <c r="L118" i="43"/>
  <c r="M118" i="43" s="1"/>
  <c r="D121" i="43"/>
  <c r="E121" i="43" s="1"/>
  <c r="F121" i="43" s="1"/>
  <c r="B121" i="43"/>
  <c r="C121" i="43"/>
  <c r="D122" i="43"/>
  <c r="E122" i="43" s="1"/>
  <c r="F122" i="43" s="1"/>
  <c r="G122" i="43"/>
  <c r="H122" i="43" s="1"/>
  <c r="D118" i="43"/>
  <c r="E118" i="43" s="1"/>
  <c r="F118" i="43" s="1"/>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S8" i="1"/>
  <c r="E8" i="70"/>
  <c r="O14" i="1"/>
  <c r="D3" i="21"/>
  <c r="C39" i="43"/>
  <c r="C42" i="43"/>
  <c r="E42" i="43"/>
  <c r="C38" i="43"/>
  <c r="U7" i="37"/>
  <c r="I53" i="34"/>
  <c r="J53" i="34"/>
  <c r="F58" i="21"/>
  <c r="F63" i="40"/>
  <c r="E65" i="40"/>
  <c r="W7" i="33"/>
  <c r="AC7" i="33"/>
  <c r="V48" i="33"/>
  <c r="I48" i="33"/>
  <c r="AA7" i="37"/>
  <c r="R42" i="37"/>
  <c r="S7" i="37"/>
  <c r="I40" i="36"/>
  <c r="J40" i="36"/>
  <c r="S7" i="33"/>
  <c r="AA7" i="33"/>
  <c r="R48" i="33"/>
  <c r="G53" i="34"/>
  <c r="H53" i="34"/>
  <c r="G40" i="36"/>
  <c r="H40" i="36"/>
  <c r="G41" i="36"/>
  <c r="H41" i="36"/>
  <c r="G46" i="37"/>
  <c r="H46" i="37"/>
  <c r="G48" i="35"/>
  <c r="U7" i="33"/>
  <c r="AB7" i="33"/>
  <c r="T48" i="33"/>
  <c r="G48" i="33"/>
  <c r="F69" i="39"/>
  <c r="B2" i="74"/>
  <c r="E36" i="36"/>
  <c r="H26" i="21"/>
  <c r="J26" i="21"/>
  <c r="I46" i="37"/>
  <c r="J46" i="37"/>
  <c r="G47" i="37"/>
  <c r="H47" i="37"/>
  <c r="E49" i="34"/>
  <c r="E54" i="34"/>
  <c r="F54" i="34"/>
  <c r="S26" i="21"/>
  <c r="AA26" i="21"/>
  <c r="D21" i="71"/>
  <c r="C20" i="71"/>
  <c r="D36" i="71"/>
  <c r="T36" i="71"/>
  <c r="E33" i="43"/>
  <c r="C30" i="43" s="1"/>
  <c r="S11" i="1"/>
  <c r="AQ11" i="1" s="1"/>
  <c r="E11" i="70"/>
  <c r="S9" i="1"/>
  <c r="AQ8" i="1"/>
  <c r="T8" i="1"/>
  <c r="AR8" i="1"/>
  <c r="S7" i="1"/>
  <c r="AR7" i="1" s="1"/>
  <c r="E7" i="70"/>
  <c r="S10" i="1"/>
  <c r="AR10" i="1" s="1"/>
  <c r="E10" i="70"/>
  <c r="S12" i="1"/>
  <c r="P14" i="1"/>
  <c r="P16" i="1" s="1"/>
  <c r="C11" i="12" s="1"/>
  <c r="C15" i="12" s="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E53" i="34"/>
  <c r="F53" i="34"/>
  <c r="R9" i="1"/>
  <c r="AC26" i="21"/>
  <c r="W26" i="21"/>
  <c r="AB26" i="21"/>
  <c r="U26" i="21"/>
  <c r="B1" i="74"/>
  <c r="R8" i="1"/>
  <c r="C19" i="71"/>
  <c r="T20" i="71"/>
  <c r="D20" i="71"/>
  <c r="U20" i="71"/>
  <c r="B2" i="43"/>
  <c r="B3" i="43" s="1"/>
  <c r="E12" i="70"/>
  <c r="F34" i="11"/>
  <c r="F11" i="12"/>
  <c r="C23" i="12" s="1"/>
  <c r="E9" i="70"/>
  <c r="AR9" i="1"/>
  <c r="AQ9" i="1"/>
  <c r="T9" i="1"/>
  <c r="T11" i="1"/>
  <c r="AR12" i="1"/>
  <c r="AQ10" i="1"/>
  <c r="T10" i="1"/>
  <c r="AQ7" i="1"/>
  <c r="T7" i="1"/>
  <c r="D8" i="74"/>
  <c r="D7" i="74"/>
  <c r="C8" i="69"/>
  <c r="H69" i="39"/>
  <c r="I67" i="39"/>
  <c r="G65" i="40"/>
  <c r="H63" i="40"/>
  <c r="C43" i="37"/>
  <c r="C42" i="37"/>
  <c r="I48" i="35"/>
  <c r="C48" i="33"/>
  <c r="C49" i="33"/>
  <c r="H58" i="21"/>
  <c r="E47" i="37"/>
  <c r="F47" i="37"/>
  <c r="E46" i="37"/>
  <c r="F46" i="37"/>
  <c r="I47" i="37"/>
  <c r="J47" i="37"/>
  <c r="E53" i="33"/>
  <c r="F53" i="33"/>
  <c r="E52" i="33"/>
  <c r="F52" i="33"/>
  <c r="C33" i="15"/>
  <c r="C33" i="67"/>
  <c r="R11" i="1"/>
  <c r="R7" i="1"/>
  <c r="R10" i="1"/>
  <c r="R12" i="1"/>
  <c r="D19" i="71"/>
  <c r="C18" i="71"/>
  <c r="C36" i="11"/>
  <c r="C19" i="69"/>
  <c r="I69" i="39"/>
  <c r="J67" i="39"/>
  <c r="I63" i="40"/>
  <c r="H65" i="40"/>
  <c r="I58" i="21"/>
  <c r="J58" i="21"/>
  <c r="K58" i="21"/>
  <c r="L58" i="21"/>
  <c r="M58" i="21"/>
  <c r="N58" i="21"/>
  <c r="O58" i="21"/>
  <c r="H7" i="21"/>
  <c r="J48" i="35"/>
  <c r="C17" i="71"/>
  <c r="D18" i="71"/>
  <c r="F7" i="21"/>
  <c r="S7" i="21"/>
  <c r="J7" i="21"/>
  <c r="AC7" i="21"/>
  <c r="J69" i="39"/>
  <c r="K67" i="39"/>
  <c r="U7" i="21"/>
  <c r="AB7" i="21"/>
  <c r="T48" i="21"/>
  <c r="J63" i="40"/>
  <c r="I65" i="40"/>
  <c r="K48" i="35"/>
  <c r="L48" i="35"/>
  <c r="M48" i="35"/>
  <c r="N48" i="35"/>
  <c r="O48" i="35"/>
  <c r="H7" i="35"/>
  <c r="C16" i="71"/>
  <c r="D17" i="71"/>
  <c r="W7" i="21"/>
  <c r="AA7" i="21"/>
  <c r="R48" i="21"/>
  <c r="J7" i="35"/>
  <c r="W7" i="35"/>
  <c r="C61" i="67"/>
  <c r="L67" i="39"/>
  <c r="K69" i="39"/>
  <c r="J65" i="40"/>
  <c r="K63" i="40"/>
  <c r="U7" i="35"/>
  <c r="AB7" i="35"/>
  <c r="T38" i="35"/>
  <c r="G38" i="35"/>
  <c r="F7" i="35"/>
  <c r="E48" i="21"/>
  <c r="D16" i="71"/>
  <c r="U16" i="71"/>
  <c r="T16" i="71"/>
  <c r="C15" i="71"/>
  <c r="AC7" i="35"/>
  <c r="V38" i="35"/>
  <c r="I38" i="35"/>
  <c r="G43" i="35"/>
  <c r="H43" i="35"/>
  <c r="C34" i="67"/>
  <c r="C62" i="67"/>
  <c r="C62" i="15"/>
  <c r="C34" i="15"/>
  <c r="L69" i="39"/>
  <c r="M67" i="39"/>
  <c r="S7" i="35"/>
  <c r="AA7" i="35"/>
  <c r="R38" i="35"/>
  <c r="G42" i="35"/>
  <c r="H42" i="35"/>
  <c r="K65" i="40"/>
  <c r="L63" i="40"/>
  <c r="E52" i="21"/>
  <c r="F52" i="21" s="1"/>
  <c r="I42" i="35"/>
  <c r="J42" i="35"/>
  <c r="C14" i="71"/>
  <c r="D15" i="71"/>
  <c r="C61" i="15"/>
  <c r="M69" i="39"/>
  <c r="N67" i="39"/>
  <c r="R39" i="35"/>
  <c r="E38" i="35"/>
  <c r="M63" i="40"/>
  <c r="L65" i="40"/>
  <c r="C13" i="71"/>
  <c r="D14" i="71"/>
  <c r="O67" i="39"/>
  <c r="O69" i="39"/>
  <c r="N69" i="39"/>
  <c r="F7" i="39"/>
  <c r="C39" i="35"/>
  <c r="C38" i="35"/>
  <c r="N63" i="40"/>
  <c r="M65" i="40"/>
  <c r="E43" i="35"/>
  <c r="F43" i="35"/>
  <c r="E42" i="35"/>
  <c r="F42" i="35"/>
  <c r="I43" i="35"/>
  <c r="J43" i="35"/>
  <c r="C12" i="71"/>
  <c r="D13" i="71"/>
  <c r="B2" i="33"/>
  <c r="H7" i="39"/>
  <c r="J7" i="39"/>
  <c r="S7" i="39"/>
  <c r="AA7" i="39"/>
  <c r="R47" i="39"/>
  <c r="R48" i="39" s="1"/>
  <c r="O63" i="40"/>
  <c r="O65" i="40"/>
  <c r="N65" i="40"/>
  <c r="T12" i="71"/>
  <c r="D12" i="71"/>
  <c r="U12" i="71"/>
  <c r="C11" i="71"/>
  <c r="B2" i="36"/>
  <c r="B3" i="36" s="1"/>
  <c r="B2" i="35"/>
  <c r="B3" i="35"/>
  <c r="B2" i="37"/>
  <c r="B2" i="34"/>
  <c r="W7" i="39"/>
  <c r="AC7" i="39"/>
  <c r="V47" i="39"/>
  <c r="I47" i="39"/>
  <c r="E47" i="39"/>
  <c r="E52" i="39" s="1"/>
  <c r="F52" i="39" s="1"/>
  <c r="U7" i="39"/>
  <c r="AB7" i="39"/>
  <c r="T47" i="39"/>
  <c r="G47" i="39" s="1"/>
  <c r="G52" i="39" s="1"/>
  <c r="H52" i="39" s="1"/>
  <c r="J7" i="40"/>
  <c r="F7" i="40"/>
  <c r="H7" i="40"/>
  <c r="C10" i="71"/>
  <c r="D11" i="71"/>
  <c r="I51" i="39"/>
  <c r="J51" i="39"/>
  <c r="C48" i="39"/>
  <c r="C47" i="39"/>
  <c r="U7" i="40"/>
  <c r="AB7" i="40"/>
  <c r="T42" i="40"/>
  <c r="G42" i="40"/>
  <c r="G46" i="40" s="1"/>
  <c r="H46" i="40" s="1"/>
  <c r="AA7" i="40"/>
  <c r="R42" i="40"/>
  <c r="S7" i="40"/>
  <c r="AC7" i="40"/>
  <c r="V42" i="40"/>
  <c r="I42" i="40" s="1"/>
  <c r="W7" i="40"/>
  <c r="D10" i="71"/>
  <c r="C9" i="71"/>
  <c r="B63" i="39"/>
  <c r="B60" i="39"/>
  <c r="F60" i="39" s="1"/>
  <c r="B57" i="39"/>
  <c r="F57" i="39"/>
  <c r="B62" i="39"/>
  <c r="F62" i="39" s="1"/>
  <c r="I46" i="40"/>
  <c r="J46" i="40"/>
  <c r="R43" i="40"/>
  <c r="C43" i="40" s="1"/>
  <c r="E42" i="40"/>
  <c r="D9" i="71"/>
  <c r="C8" i="71"/>
  <c r="C42" i="40"/>
  <c r="E47" i="40"/>
  <c r="F47" i="40" s="1"/>
  <c r="E46" i="40"/>
  <c r="F46" i="40" s="1"/>
  <c r="I47" i="40"/>
  <c r="J47" i="40"/>
  <c r="C7" i="71"/>
  <c r="D8" i="71"/>
  <c r="B58" i="40"/>
  <c r="F58" i="40"/>
  <c r="B53" i="40"/>
  <c r="F53" i="40" s="1"/>
  <c r="B52" i="40"/>
  <c r="F52" i="40"/>
  <c r="B60" i="40"/>
  <c r="F60" i="40" s="1"/>
  <c r="B51" i="40"/>
  <c r="F51" i="40"/>
  <c r="D7" i="71"/>
  <c r="C6" i="71"/>
  <c r="D6" i="71"/>
  <c r="C5" i="71"/>
  <c r="D5" i="71"/>
  <c r="M24" i="43"/>
  <c r="B6" i="74"/>
  <c r="D6" i="74"/>
  <c r="C7" i="69"/>
  <c r="C5" i="69" s="1"/>
  <c r="E9" i="76"/>
  <c r="E11" i="76"/>
  <c r="F38" i="15"/>
  <c r="F36" i="15"/>
  <c r="F13" i="15"/>
  <c r="F4" i="73"/>
  <c r="B8" i="76"/>
  <c r="F9" i="15"/>
  <c r="D4" i="73"/>
  <c r="C36" i="69"/>
  <c r="M21" i="67"/>
  <c r="E13" i="76"/>
  <c r="F16" i="67"/>
  <c r="F41" i="67"/>
  <c r="D2" i="36"/>
  <c r="B7" i="76"/>
  <c r="F6" i="67"/>
  <c r="F16" i="15"/>
  <c r="D35" i="9"/>
  <c r="D3" i="73"/>
  <c r="M24" i="67"/>
  <c r="D2" i="35"/>
  <c r="E12" i="76"/>
  <c r="M24" i="15"/>
  <c r="F27" i="69"/>
  <c r="D2" i="34"/>
  <c r="M8" i="67"/>
  <c r="F9" i="67"/>
  <c r="F20" i="31"/>
  <c r="F3" i="73"/>
  <c r="C76" i="67"/>
  <c r="F43" i="15"/>
  <c r="M29" i="67"/>
  <c r="J15" i="67"/>
  <c r="C14" i="15"/>
  <c r="E2" i="68"/>
  <c r="M9" i="67"/>
  <c r="J15" i="15"/>
  <c r="F37" i="15"/>
  <c r="M29" i="15"/>
  <c r="E2" i="69"/>
  <c r="D6" i="73"/>
  <c r="M6" i="67"/>
  <c r="M27" i="67"/>
  <c r="AO12" i="1"/>
  <c r="F6" i="73"/>
  <c r="D5" i="73"/>
  <c r="M28" i="67"/>
  <c r="D2" i="37"/>
  <c r="AO13" i="1"/>
  <c r="F40" i="15"/>
  <c r="L47" i="67"/>
  <c r="AO9" i="1"/>
  <c r="M23" i="67"/>
  <c r="F26" i="15"/>
  <c r="B6" i="76"/>
  <c r="AO11" i="1"/>
  <c r="B9" i="76"/>
  <c r="M22" i="67"/>
  <c r="M9" i="15"/>
  <c r="M6" i="15"/>
  <c r="F41" i="15"/>
  <c r="F13" i="67"/>
  <c r="D7" i="73"/>
  <c r="B12" i="76"/>
  <c r="D9" i="69"/>
  <c r="M26" i="67"/>
  <c r="D2" i="21"/>
  <c r="D2" i="33"/>
  <c r="E10" i="76"/>
  <c r="F5" i="73"/>
  <c r="F8" i="15"/>
  <c r="F26" i="67"/>
  <c r="M26" i="15"/>
  <c r="M23" i="15"/>
  <c r="E8" i="76"/>
  <c r="M8" i="15"/>
  <c r="F43" i="67"/>
  <c r="M28" i="15"/>
  <c r="F38" i="67"/>
  <c r="F7" i="15"/>
  <c r="B11" i="76"/>
  <c r="L48" i="15"/>
  <c r="L48" i="67"/>
  <c r="AO10" i="1"/>
  <c r="B13" i="76"/>
  <c r="L47" i="15"/>
  <c r="F35" i="15"/>
  <c r="AO8" i="1"/>
  <c r="F7" i="73"/>
  <c r="M22" i="15"/>
  <c r="E6" i="76"/>
  <c r="B10" i="76"/>
  <c r="F42" i="15"/>
  <c r="F36" i="67"/>
  <c r="M21" i="15"/>
  <c r="C76" i="15"/>
  <c r="F7" i="67"/>
  <c r="F6" i="15"/>
  <c r="M27" i="15"/>
  <c r="F40" i="67"/>
  <c r="F35" i="67"/>
  <c r="E7" i="76"/>
  <c r="F37" i="67"/>
  <c r="AO7" i="1"/>
  <c r="D34" i="9"/>
  <c r="F8" i="67"/>
  <c r="F42" i="67"/>
  <c r="G48" i="21" l="1"/>
  <c r="BA5" i="3"/>
  <c r="E27" i="6" s="1"/>
  <c r="AZ13" i="3"/>
  <c r="AZ5" i="3" s="1"/>
  <c r="T12" i="1"/>
  <c r="AQ12" i="1"/>
  <c r="D9" i="68"/>
  <c r="D19" i="12"/>
  <c r="C19" i="12" s="1"/>
  <c r="D9" i="11"/>
  <c r="C9" i="11" s="1"/>
  <c r="E51" i="39"/>
  <c r="F51" i="39" s="1"/>
  <c r="I52" i="39"/>
  <c r="J52" i="39" s="1"/>
  <c r="E63" i="39"/>
  <c r="E16" i="6"/>
  <c r="E59" i="40"/>
  <c r="G47" i="40"/>
  <c r="H47" i="40" s="1"/>
  <c r="B54" i="40"/>
  <c r="F54" i="40" s="1"/>
  <c r="B59" i="40"/>
  <c r="B56" i="40"/>
  <c r="F56" i="40" s="1"/>
  <c r="B57" i="40"/>
  <c r="F57" i="40" s="1"/>
  <c r="B64" i="39"/>
  <c r="F64" i="39" s="1"/>
  <c r="B61" i="39"/>
  <c r="F61" i="39" s="1"/>
  <c r="B58" i="39"/>
  <c r="F58" i="39" s="1"/>
  <c r="B59" i="39"/>
  <c r="F59" i="39" s="1"/>
  <c r="B56" i="39"/>
  <c r="F56" i="39" s="1"/>
  <c r="F65" i="39" s="1"/>
  <c r="B2" i="39" s="1"/>
  <c r="G51" i="39"/>
  <c r="H51" i="39" s="1"/>
  <c r="AR11" i="1"/>
  <c r="D116" i="43"/>
  <c r="E514" i="3"/>
  <c r="E551" i="3"/>
  <c r="E322" i="3"/>
  <c r="E185" i="3"/>
  <c r="E334" i="3"/>
  <c r="E387" i="3"/>
  <c r="E495" i="3"/>
  <c r="E415" i="3"/>
  <c r="E487" i="3"/>
  <c r="E489" i="3"/>
  <c r="E410" i="3"/>
  <c r="E429" i="3"/>
  <c r="E132" i="3"/>
  <c r="E172" i="3"/>
  <c r="E579" i="3"/>
  <c r="E531" i="3"/>
  <c r="E171" i="3"/>
  <c r="E545" i="3"/>
  <c r="E183" i="3"/>
  <c r="E555" i="3"/>
  <c r="E478" i="3"/>
  <c r="E583" i="3"/>
  <c r="E553" i="3"/>
  <c r="E481" i="3"/>
  <c r="E501" i="3"/>
  <c r="E157" i="3"/>
  <c r="E48" i="3"/>
  <c r="E123" i="3"/>
  <c r="E507" i="3"/>
  <c r="E408" i="3"/>
  <c r="E56" i="3"/>
  <c r="E127" i="3"/>
  <c r="E520" i="3"/>
  <c r="E325" i="3"/>
  <c r="E105" i="3"/>
  <c r="E525" i="3"/>
  <c r="E510" i="3"/>
  <c r="E423" i="3"/>
  <c r="M6" i="3"/>
  <c r="E377" i="3"/>
  <c r="E89" i="3"/>
  <c r="E472" i="3"/>
  <c r="E350" i="3"/>
  <c r="E561" i="3"/>
  <c r="E331" i="3"/>
  <c r="E571" i="3"/>
  <c r="E294" i="3"/>
  <c r="E448" i="3"/>
  <c r="E565" i="3"/>
  <c r="E196" i="3"/>
  <c r="E163" i="3"/>
  <c r="E90" i="3"/>
  <c r="E372" i="3"/>
  <c r="E220" i="3"/>
  <c r="E174" i="3"/>
  <c r="I3" i="6"/>
  <c r="E67" i="3"/>
  <c r="E96" i="3"/>
  <c r="E435" i="3"/>
  <c r="E144" i="3"/>
  <c r="E129" i="3"/>
  <c r="E140" i="3"/>
  <c r="E452" i="3"/>
  <c r="E342" i="3"/>
  <c r="E493" i="3"/>
  <c r="E40" i="3"/>
  <c r="E455" i="3"/>
  <c r="E147" i="3"/>
  <c r="E398" i="3"/>
  <c r="E421" i="3"/>
  <c r="E582" i="3"/>
  <c r="Y6" i="3"/>
  <c r="E417" i="3"/>
  <c r="E533" i="3"/>
  <c r="E134" i="3"/>
  <c r="E191" i="3"/>
  <c r="E400" i="3"/>
  <c r="E305" i="3"/>
  <c r="E128" i="3"/>
  <c r="E109" i="3"/>
  <c r="E439" i="3"/>
  <c r="E581" i="3"/>
  <c r="E296" i="3"/>
  <c r="E214" i="3"/>
  <c r="E505" i="3"/>
  <c r="O6" i="3"/>
  <c r="E142" i="3"/>
  <c r="E100" i="3"/>
  <c r="E189" i="3"/>
  <c r="E268" i="3"/>
  <c r="E485" i="3"/>
  <c r="E468" i="3"/>
  <c r="E347" i="3"/>
  <c r="E216" i="3"/>
  <c r="E343" i="3"/>
  <c r="E31" i="3"/>
  <c r="E290" i="3"/>
  <c r="E166" i="3"/>
  <c r="AA6" i="3"/>
  <c r="E71" i="3"/>
  <c r="E187" i="3"/>
  <c r="E312" i="3"/>
  <c r="E194" i="3"/>
  <c r="E16" i="3"/>
  <c r="E205" i="3"/>
  <c r="E411" i="3"/>
  <c r="E459" i="3"/>
  <c r="E386" i="3"/>
  <c r="E473" i="3"/>
  <c r="E232" i="3"/>
  <c r="AF6" i="3"/>
  <c r="E242" i="3"/>
  <c r="E211" i="3"/>
  <c r="E236" i="3"/>
  <c r="E321" i="3"/>
  <c r="E77" i="3"/>
  <c r="E385" i="3"/>
  <c r="E111" i="3"/>
  <c r="E431" i="3"/>
  <c r="E239" i="3"/>
  <c r="E483" i="3"/>
  <c r="E311" i="3"/>
  <c r="E74" i="3"/>
  <c r="E91" i="3"/>
  <c r="E27" i="3"/>
  <c r="E151" i="3"/>
  <c r="E523" i="3"/>
  <c r="E266" i="3"/>
  <c r="E463" i="3"/>
  <c r="E381" i="3"/>
  <c r="E149" i="3"/>
  <c r="E376" i="3"/>
  <c r="E64" i="3"/>
  <c r="E563" i="3"/>
  <c r="E526" i="3"/>
  <c r="E362" i="3"/>
  <c r="E181" i="3"/>
  <c r="E231" i="3"/>
  <c r="E447" i="3"/>
  <c r="E336" i="3"/>
  <c r="E121" i="3"/>
  <c r="S6" i="3"/>
  <c r="E352" i="3"/>
  <c r="E244" i="3"/>
  <c r="E401" i="3"/>
  <c r="E512" i="3"/>
  <c r="E575" i="3"/>
  <c r="E63" i="3"/>
  <c r="E206" i="3"/>
  <c r="E300" i="3"/>
  <c r="E522" i="3"/>
  <c r="E469" i="3"/>
  <c r="E78" i="3"/>
  <c r="E486" i="3"/>
  <c r="E333" i="3"/>
  <c r="E52" i="3"/>
  <c r="E155" i="3"/>
  <c r="E209" i="3"/>
  <c r="E259" i="3"/>
  <c r="E122" i="3"/>
  <c r="E475" i="3"/>
  <c r="E432" i="3"/>
  <c r="E153" i="3"/>
  <c r="E169" i="3"/>
  <c r="E156" i="3"/>
  <c r="E55" i="3"/>
  <c r="E541" i="3"/>
  <c r="E482" i="3"/>
  <c r="E405" i="3"/>
  <c r="E412" i="3"/>
  <c r="E564" i="3"/>
  <c r="E276" i="3"/>
  <c r="AQ6" i="3"/>
  <c r="E566" i="3"/>
  <c r="E446" i="3"/>
  <c r="E39" i="3"/>
  <c r="E461" i="3"/>
  <c r="E14" i="3"/>
  <c r="AM6" i="3"/>
  <c r="E237" i="3"/>
  <c r="E177" i="3"/>
  <c r="E164" i="3"/>
  <c r="E480" i="3"/>
  <c r="E407" i="3"/>
  <c r="E518" i="3"/>
  <c r="E457" i="3"/>
  <c r="E107" i="3"/>
  <c r="E44" i="3"/>
  <c r="E21" i="3"/>
  <c r="E173" i="3"/>
  <c r="E225" i="3"/>
  <c r="E116" i="3"/>
  <c r="E108" i="3"/>
  <c r="E299" i="3"/>
  <c r="E165" i="3"/>
  <c r="E500" i="3"/>
  <c r="E341" i="3"/>
  <c r="E162" i="3"/>
  <c r="K6" i="3"/>
  <c r="E200" i="3"/>
  <c r="E382" i="3"/>
  <c r="E441" i="3"/>
  <c r="AK6" i="3"/>
  <c r="AB6" i="3"/>
  <c r="E406" i="3"/>
  <c r="E270" i="3"/>
  <c r="E230" i="3"/>
  <c r="E207" i="3"/>
  <c r="E365" i="3"/>
  <c r="E235" i="3"/>
  <c r="E141" i="3"/>
  <c r="E497" i="3"/>
  <c r="E161" i="3"/>
  <c r="E70" i="3"/>
  <c r="E577" i="3"/>
  <c r="E528" i="3"/>
  <c r="E515" i="3"/>
  <c r="E229" i="3"/>
  <c r="E280" i="3"/>
  <c r="E413" i="3"/>
  <c r="E112" i="3"/>
  <c r="E26" i="3"/>
  <c r="E192" i="3"/>
  <c r="E42" i="3"/>
  <c r="E425" i="3"/>
  <c r="E251" i="3"/>
  <c r="E104" i="3"/>
  <c r="E223" i="3"/>
  <c r="E43" i="3"/>
  <c r="E218" i="3"/>
  <c r="E57" i="3"/>
  <c r="E488" i="3"/>
  <c r="E532" i="3"/>
  <c r="E379" i="3"/>
  <c r="E574" i="3"/>
  <c r="E254" i="3"/>
  <c r="E344" i="3"/>
  <c r="E363" i="3"/>
  <c r="E113" i="3"/>
  <c r="E115" i="3"/>
  <c r="E422" i="3"/>
  <c r="E79" i="3"/>
  <c r="E524" i="3"/>
  <c r="E284" i="3"/>
  <c r="E87" i="3"/>
  <c r="E54" i="3"/>
  <c r="E426" i="3"/>
  <c r="E402" i="3"/>
  <c r="E580" i="3"/>
  <c r="E282" i="3"/>
  <c r="E260" i="3"/>
  <c r="E519" i="3"/>
  <c r="E414" i="3"/>
  <c r="E76" i="3"/>
  <c r="E308" i="3"/>
  <c r="E190" i="3"/>
  <c r="E440" i="3"/>
  <c r="E38" i="3"/>
  <c r="E460" i="3"/>
  <c r="E323" i="3"/>
  <c r="E154" i="3"/>
  <c r="W6" i="3"/>
  <c r="E547" i="3"/>
  <c r="E97" i="3"/>
  <c r="E353" i="3"/>
  <c r="E203" i="3"/>
  <c r="E88" i="3"/>
  <c r="E227" i="3"/>
  <c r="E458" i="3"/>
  <c r="E69" i="3"/>
  <c r="E291" i="3"/>
  <c r="E159" i="3"/>
  <c r="E361" i="3"/>
  <c r="E240" i="3"/>
  <c r="E572" i="3"/>
  <c r="E133" i="3"/>
  <c r="E384" i="3"/>
  <c r="P6" i="3"/>
  <c r="E471" i="3"/>
  <c r="L6" i="3"/>
  <c r="E208" i="3"/>
  <c r="E364" i="3"/>
  <c r="E391" i="3"/>
  <c r="E215" i="3"/>
  <c r="E557" i="3"/>
  <c r="E277" i="3"/>
  <c r="E143" i="3"/>
  <c r="E318" i="3"/>
  <c r="E366" i="3"/>
  <c r="E319" i="3"/>
  <c r="E375" i="3"/>
  <c r="E170" i="3"/>
  <c r="E22" i="3"/>
  <c r="E409" i="3"/>
  <c r="E383" i="3"/>
  <c r="E264" i="3"/>
  <c r="E287" i="3"/>
  <c r="E243" i="3"/>
  <c r="E490" i="3"/>
  <c r="E137" i="3"/>
  <c r="E101" i="3"/>
  <c r="E19" i="3"/>
  <c r="E167" i="3"/>
  <c r="E288" i="3"/>
  <c r="E546" i="3"/>
  <c r="E390" i="3"/>
  <c r="AN6" i="3"/>
  <c r="E274" i="3"/>
  <c r="E310" i="3"/>
  <c r="E197" i="3"/>
  <c r="E35" i="3"/>
  <c r="J6" i="3"/>
  <c r="E234" i="3"/>
  <c r="E58" i="3"/>
  <c r="E436" i="3"/>
  <c r="E504" i="3"/>
  <c r="E145" i="3"/>
  <c r="E285" i="3"/>
  <c r="E238" i="3"/>
  <c r="E443" i="3"/>
  <c r="E569" i="3"/>
  <c r="E61" i="3"/>
  <c r="E433" i="3"/>
  <c r="E476" i="3"/>
  <c r="E23" i="3"/>
  <c r="E456" i="3"/>
  <c r="E49" i="3"/>
  <c r="E419" i="3"/>
  <c r="E36" i="3"/>
  <c r="E521" i="3"/>
  <c r="E297" i="3"/>
  <c r="E307" i="3"/>
  <c r="E168" i="3"/>
  <c r="E126" i="3"/>
  <c r="E338" i="3"/>
  <c r="E434" i="3"/>
  <c r="E32" i="3"/>
  <c r="E316" i="3"/>
  <c r="E559" i="3"/>
  <c r="E245" i="3"/>
  <c r="E573" i="3"/>
  <c r="E549" i="3"/>
  <c r="E248" i="3"/>
  <c r="E94" i="3"/>
  <c r="E246" i="3"/>
  <c r="E335" i="3"/>
  <c r="E217" i="3"/>
  <c r="Z6" i="3"/>
  <c r="E587" i="3"/>
  <c r="E124" i="3"/>
  <c r="E380" i="3"/>
  <c r="E175" i="3"/>
  <c r="E150" i="3"/>
  <c r="E395" i="3"/>
  <c r="E444" i="3"/>
  <c r="E303" i="3"/>
  <c r="E548" i="3"/>
  <c r="E195" i="3"/>
  <c r="E24" i="3"/>
  <c r="E15" i="3"/>
  <c r="E80" i="3"/>
  <c r="E102" i="3"/>
  <c r="E554" i="3"/>
  <c r="E494" i="3"/>
  <c r="E84" i="3"/>
  <c r="E59" i="3"/>
  <c r="E491" i="3"/>
  <c r="E286" i="3"/>
  <c r="E355" i="3"/>
  <c r="E46" i="3"/>
  <c r="E152" i="3"/>
  <c r="E466" i="3"/>
  <c r="E454" i="3"/>
  <c r="E327" i="3"/>
  <c r="E118" i="3"/>
  <c r="E85" i="3"/>
  <c r="AI6" i="3"/>
  <c r="E182" i="3"/>
  <c r="E586" i="3"/>
  <c r="E450" i="3"/>
  <c r="E394" i="3"/>
  <c r="E66" i="3"/>
  <c r="E324" i="3"/>
  <c r="E529" i="3"/>
  <c r="E178" i="3"/>
  <c r="E119" i="3"/>
  <c r="E201" i="3"/>
  <c r="AO6" i="3"/>
  <c r="E399" i="3"/>
  <c r="E388" i="3"/>
  <c r="E45" i="3"/>
  <c r="E256" i="3"/>
  <c r="E403" i="3"/>
  <c r="E354" i="3"/>
  <c r="E427" i="3"/>
  <c r="E233" i="3"/>
  <c r="E267" i="3"/>
  <c r="R6" i="3"/>
  <c r="E332" i="3"/>
  <c r="E534" i="3"/>
  <c r="E370" i="3"/>
  <c r="E498" i="3"/>
  <c r="E339" i="3"/>
  <c r="E65" i="3"/>
  <c r="E47" i="3"/>
  <c r="E98" i="3"/>
  <c r="E257" i="3"/>
  <c r="E272" i="3"/>
  <c r="E418" i="3"/>
  <c r="E262" i="3"/>
  <c r="I6" i="3"/>
  <c r="H6" i="3" s="1"/>
  <c r="E309" i="3"/>
  <c r="E451" i="3"/>
  <c r="E158" i="3"/>
  <c r="E25" i="3"/>
  <c r="E289" i="3"/>
  <c r="E250" i="3"/>
  <c r="E584" i="3"/>
  <c r="E224" i="3"/>
  <c r="E367" i="3"/>
  <c r="E506" i="3"/>
  <c r="E424" i="3"/>
  <c r="E404" i="3"/>
  <c r="E358" i="3"/>
  <c r="E253" i="3"/>
  <c r="E279" i="3"/>
  <c r="E186" i="3"/>
  <c r="E18" i="3"/>
  <c r="E556" i="3"/>
  <c r="E326" i="3"/>
  <c r="E346" i="3"/>
  <c r="E340" i="3"/>
  <c r="E222" i="3"/>
  <c r="E462" i="3"/>
  <c r="E136" i="3"/>
  <c r="E93" i="3"/>
  <c r="E53" i="3"/>
  <c r="E304" i="3"/>
  <c r="E330" i="3"/>
  <c r="AG6" i="3"/>
  <c r="E125" i="3"/>
  <c r="E320" i="3"/>
  <c r="E293" i="3"/>
  <c r="E562" i="3"/>
  <c r="E585" i="3"/>
  <c r="E131" i="3"/>
  <c r="E219" i="3"/>
  <c r="E263" i="3"/>
  <c r="E570" i="3"/>
  <c r="E273" i="3"/>
  <c r="E368" i="3"/>
  <c r="E560" i="3"/>
  <c r="E301" i="3"/>
  <c r="AR6" i="3"/>
  <c r="E210" i="3"/>
  <c r="E527" i="3"/>
  <c r="V6" i="3"/>
  <c r="E252" i="3"/>
  <c r="E298" i="3"/>
  <c r="E357" i="3"/>
  <c r="E374" i="3"/>
  <c r="E552" i="3"/>
  <c r="E226" i="3"/>
  <c r="E428" i="3"/>
  <c r="AL6" i="3"/>
  <c r="E442" i="3"/>
  <c r="E283" i="3"/>
  <c r="E371" i="3"/>
  <c r="E349" i="3"/>
  <c r="AP6" i="3"/>
  <c r="E539" i="3"/>
  <c r="E281" i="3"/>
  <c r="E33" i="3"/>
  <c r="E484" i="3"/>
  <c r="E517" i="3"/>
  <c r="E249" i="3"/>
  <c r="E430" i="3"/>
  <c r="E160" i="3"/>
  <c r="E536" i="3"/>
  <c r="E199" i="3"/>
  <c r="E393" i="3"/>
  <c r="E110" i="3"/>
  <c r="E317" i="3"/>
  <c r="E30" i="3"/>
  <c r="E271" i="3"/>
  <c r="E261" i="3"/>
  <c r="E106" i="3"/>
  <c r="AJ6" i="3"/>
  <c r="E148" i="3"/>
  <c r="E378" i="3"/>
  <c r="E99" i="3"/>
  <c r="E396" i="3"/>
  <c r="E221" i="3"/>
  <c r="AD6" i="3"/>
  <c r="AC6" i="3" s="1"/>
  <c r="E543" i="3"/>
  <c r="E567" i="3"/>
  <c r="E73" i="3"/>
  <c r="E179" i="3"/>
  <c r="E188" i="3"/>
  <c r="Q6" i="3"/>
  <c r="E306" i="3"/>
  <c r="E202" i="3"/>
  <c r="E241" i="3"/>
  <c r="E265" i="3"/>
  <c r="E530" i="3"/>
  <c r="X6" i="3"/>
  <c r="E348" i="3"/>
  <c r="E204" i="3"/>
  <c r="E465" i="3"/>
  <c r="E479" i="3"/>
  <c r="E492" i="3"/>
  <c r="E37" i="3"/>
  <c r="E184" i="3"/>
  <c r="E95" i="3"/>
  <c r="E103" i="3"/>
  <c r="AH6" i="3"/>
  <c r="E464" i="3"/>
  <c r="E359" i="3"/>
  <c r="E516" i="3"/>
  <c r="AS6" i="3"/>
  <c r="E503" i="3"/>
  <c r="E315" i="3"/>
  <c r="E247" i="3"/>
  <c r="E275" i="3"/>
  <c r="E477" i="3"/>
  <c r="E453" i="3"/>
  <c r="N6" i="3"/>
  <c r="E328" i="3"/>
  <c r="E138" i="3"/>
  <c r="E420" i="3"/>
  <c r="E511" i="3"/>
  <c r="E302" i="3"/>
  <c r="E416" i="3"/>
  <c r="E470" i="3"/>
  <c r="E213" i="3"/>
  <c r="E373" i="3"/>
  <c r="E83" i="3"/>
  <c r="E198" i="3"/>
  <c r="E537" i="3"/>
  <c r="E180" i="3"/>
  <c r="E356" i="3"/>
  <c r="E17" i="3"/>
  <c r="E135" i="3"/>
  <c r="E269" i="3"/>
  <c r="AC33" i="21"/>
  <c r="V48" i="21" s="1"/>
  <c r="I48" i="21" s="1"/>
  <c r="W33" i="21"/>
  <c r="M10" i="1"/>
  <c r="M16" i="1" s="1"/>
  <c r="H16" i="1"/>
  <c r="Q16" i="1"/>
  <c r="G16" i="1"/>
  <c r="C12" i="12"/>
  <c r="F12" i="49"/>
  <c r="H12" i="49" s="1"/>
  <c r="F8" i="49"/>
  <c r="H8" i="49" s="1"/>
  <c r="F4" i="49"/>
  <c r="H4" i="49" s="1"/>
  <c r="B8" i="49"/>
  <c r="D8" i="49" s="1"/>
  <c r="B11" i="49"/>
  <c r="D11" i="49" s="1"/>
  <c r="F15" i="49"/>
  <c r="H15" i="49" s="1"/>
  <c r="F14" i="49"/>
  <c r="H14" i="49" s="1"/>
  <c r="F10" i="49"/>
  <c r="H10" i="49" s="1"/>
  <c r="F6" i="49"/>
  <c r="H6" i="49" s="1"/>
  <c r="B12" i="49"/>
  <c r="D12" i="49" s="1"/>
  <c r="B4" i="49"/>
  <c r="D4" i="49" s="1"/>
  <c r="B7" i="49"/>
  <c r="D7" i="49" s="1"/>
  <c r="B11" i="70"/>
  <c r="J20" i="15"/>
  <c r="B2" i="76"/>
  <c r="C29" i="69"/>
  <c r="D27" i="69" s="1"/>
  <c r="F45" i="69"/>
  <c r="C47" i="69"/>
  <c r="D45" i="69" s="1"/>
  <c r="F64" i="67"/>
  <c r="C27" i="15"/>
  <c r="F51" i="67"/>
  <c r="B20" i="31"/>
  <c r="B21" i="31" s="1"/>
  <c r="B9" i="70"/>
  <c r="M3" i="35"/>
  <c r="E2" i="76"/>
  <c r="N59" i="67"/>
  <c r="L58" i="67"/>
  <c r="L59" i="67"/>
  <c r="M59" i="67"/>
  <c r="F68" i="15"/>
  <c r="B13" i="70"/>
  <c r="B7" i="70"/>
  <c r="B8" i="70"/>
  <c r="F63" i="15"/>
  <c r="F65" i="67"/>
  <c r="L59" i="15"/>
  <c r="M59" i="15"/>
  <c r="L58" i="15"/>
  <c r="N59" i="15"/>
  <c r="C6" i="67"/>
  <c r="F31" i="67"/>
  <c r="B10" i="70"/>
  <c r="B12" i="70"/>
  <c r="F63" i="67"/>
  <c r="F69" i="67"/>
  <c r="C9" i="69"/>
  <c r="I54" i="67"/>
  <c r="J53" i="67"/>
  <c r="J57" i="67"/>
  <c r="J55" i="67" s="1"/>
  <c r="J58" i="67" s="1"/>
  <c r="Q50" i="67" s="1"/>
  <c r="L56" i="67"/>
  <c r="F68" i="67"/>
  <c r="J53" i="15"/>
  <c r="L56" i="15" s="1"/>
  <c r="J57" i="15"/>
  <c r="J55" i="15" s="1"/>
  <c r="J58" i="15" s="1"/>
  <c r="Q50" i="15" s="1"/>
  <c r="I54" i="15"/>
  <c r="J20" i="67"/>
  <c r="M7" i="15"/>
  <c r="J6" i="15" s="1"/>
  <c r="F50" i="15"/>
  <c r="F66" i="67"/>
  <c r="F65" i="15"/>
  <c r="F31" i="15"/>
  <c r="C6" i="15"/>
  <c r="F71" i="67"/>
  <c r="I1" i="73"/>
  <c r="B39" i="1" s="1"/>
  <c r="M7" i="67"/>
  <c r="M17" i="67" s="1"/>
  <c r="F50" i="67"/>
  <c r="C15" i="15"/>
  <c r="C18" i="15"/>
  <c r="F69" i="15"/>
  <c r="F64" i="15"/>
  <c r="C27" i="67"/>
  <c r="F71" i="15"/>
  <c r="F66" i="15"/>
  <c r="Q71" i="15"/>
  <c r="F51" i="15"/>
  <c r="Q71" i="67"/>
  <c r="C20" i="69"/>
  <c r="C28" i="69"/>
  <c r="C27" i="69" s="1"/>
  <c r="C9" i="68"/>
  <c r="F13" i="49"/>
  <c r="H13" i="49" s="1"/>
  <c r="F11" i="49"/>
  <c r="H11" i="49" s="1"/>
  <c r="F9" i="49"/>
  <c r="H9" i="49" s="1"/>
  <c r="F7" i="49"/>
  <c r="H7" i="49" s="1"/>
  <c r="F5" i="49"/>
  <c r="H5" i="49" s="1"/>
  <c r="B14" i="49"/>
  <c r="D14" i="49" s="1"/>
  <c r="B10" i="49"/>
  <c r="D10" i="49" s="1"/>
  <c r="B6" i="49"/>
  <c r="D6" i="49" s="1"/>
  <c r="B13" i="49"/>
  <c r="D13" i="49" s="1"/>
  <c r="B9" i="49"/>
  <c r="D9" i="49" s="1"/>
  <c r="G1" i="73"/>
  <c r="C14" i="67"/>
  <c r="C16" i="15"/>
  <c r="AE6" i="1"/>
  <c r="C17" i="15"/>
  <c r="C17" i="67"/>
  <c r="C16" i="67"/>
  <c r="C34" i="11" l="1"/>
  <c r="N16" i="1"/>
  <c r="L16" i="1"/>
  <c r="C34" i="68"/>
  <c r="F10" i="39"/>
  <c r="H10" i="40"/>
  <c r="J10" i="39"/>
  <c r="J10" i="40"/>
  <c r="F10" i="40"/>
  <c r="H10" i="39"/>
  <c r="AY6" i="3"/>
  <c r="E3" i="6"/>
  <c r="F28" i="12"/>
  <c r="C29" i="12" s="1"/>
  <c r="D28" i="12" s="1"/>
  <c r="F27" i="11"/>
  <c r="F27" i="68"/>
  <c r="I52" i="21"/>
  <c r="J52" i="21" s="1"/>
  <c r="I53" i="21"/>
  <c r="J53" i="21" s="1"/>
  <c r="K26" i="6"/>
  <c r="M26" i="6" s="1"/>
  <c r="I26" i="6" s="1"/>
  <c r="S26" i="6" s="1"/>
  <c r="K21" i="6"/>
  <c r="M21" i="6" s="1"/>
  <c r="I21" i="6" s="1"/>
  <c r="S21" i="6" s="1"/>
  <c r="K20" i="6"/>
  <c r="M20" i="6" s="1"/>
  <c r="I20" i="6" s="1"/>
  <c r="S20" i="6" s="1"/>
  <c r="K24" i="6"/>
  <c r="M24" i="6" s="1"/>
  <c r="I24" i="6" s="1"/>
  <c r="S24" i="6" s="1"/>
  <c r="K22" i="6"/>
  <c r="M22" i="6" s="1"/>
  <c r="I22" i="6" s="1"/>
  <c r="S22" i="6" s="1"/>
  <c r="E31" i="6"/>
  <c r="K19" i="6"/>
  <c r="K25" i="6"/>
  <c r="M25" i="6" s="1"/>
  <c r="I25" i="6" s="1"/>
  <c r="S25" i="6" s="1"/>
  <c r="K23" i="6"/>
  <c r="M23" i="6" s="1"/>
  <c r="I23" i="6" s="1"/>
  <c r="S23" i="6" s="1"/>
  <c r="B3" i="39"/>
  <c r="F59" i="40"/>
  <c r="R49" i="21"/>
  <c r="E6" i="3"/>
  <c r="E65" i="39"/>
  <c r="F63" i="39"/>
  <c r="G52" i="21"/>
  <c r="H52" i="21" s="1"/>
  <c r="G53" i="21"/>
  <c r="H53" i="21" s="1"/>
  <c r="E53" i="21"/>
  <c r="F53" i="21" s="1"/>
  <c r="B40" i="1"/>
  <c r="F22" i="69" s="1"/>
  <c r="C25" i="69" s="1"/>
  <c r="F59" i="67"/>
  <c r="M17" i="15"/>
  <c r="J17" i="15" s="1"/>
  <c r="F59" i="15"/>
  <c r="J6" i="67"/>
  <c r="J17" i="67" s="1"/>
  <c r="C35" i="68"/>
  <c r="C38" i="68"/>
  <c r="C18" i="67"/>
  <c r="C15" i="67"/>
  <c r="C19" i="15"/>
  <c r="C31" i="15"/>
  <c r="C31" i="67"/>
  <c r="C49" i="15"/>
  <c r="J18" i="15"/>
  <c r="J19" i="15"/>
  <c r="F22" i="68"/>
  <c r="F22" i="11"/>
  <c r="Q74" i="15"/>
  <c r="Q61" i="15"/>
  <c r="C49" i="67"/>
  <c r="Q52" i="67"/>
  <c r="F1" i="67"/>
  <c r="Q74" i="67"/>
  <c r="Q61" i="67"/>
  <c r="F11" i="67"/>
  <c r="F11" i="15"/>
  <c r="M11" i="67"/>
  <c r="J10" i="67" s="1"/>
  <c r="M11" i="15"/>
  <c r="J10" i="15" s="1"/>
  <c r="J5" i="15" s="1"/>
  <c r="Q52" i="15"/>
  <c r="F1" i="15"/>
  <c r="Q60" i="15"/>
  <c r="Q73" i="15"/>
  <c r="Q60" i="67"/>
  <c r="Q73" i="67"/>
  <c r="B3" i="76"/>
  <c r="S10" i="40" l="1"/>
  <c r="AA10" i="40"/>
  <c r="AA10" i="39"/>
  <c r="S10" i="39"/>
  <c r="F24" i="67"/>
  <c r="C24" i="67" s="1"/>
  <c r="L36" i="43"/>
  <c r="K27" i="6"/>
  <c r="S6" i="1"/>
  <c r="M19" i="6"/>
  <c r="D14" i="12"/>
  <c r="L18" i="9"/>
  <c r="E6" i="6"/>
  <c r="D37" i="11"/>
  <c r="C37" i="11" s="1"/>
  <c r="C17" i="4"/>
  <c r="B4" i="52" s="1"/>
  <c r="B43" i="72" s="1"/>
  <c r="D3" i="34"/>
  <c r="B3" i="34" s="1"/>
  <c r="D19" i="11"/>
  <c r="C19" i="11" s="1"/>
  <c r="D3" i="33"/>
  <c r="B3" i="33" s="1"/>
  <c r="M18" i="9"/>
  <c r="B118" i="9" s="1"/>
  <c r="D3" i="37"/>
  <c r="B3" i="37" s="1"/>
  <c r="W10" i="40"/>
  <c r="AC10" i="40"/>
  <c r="F24" i="15"/>
  <c r="C24" i="15" s="1"/>
  <c r="C47" i="68"/>
  <c r="D45" i="68" s="1"/>
  <c r="C29" i="68"/>
  <c r="D27" i="68" s="1"/>
  <c r="F45" i="68"/>
  <c r="AY441" i="3"/>
  <c r="AY190" i="3"/>
  <c r="AY109" i="3"/>
  <c r="AY462" i="3"/>
  <c r="AY425" i="3"/>
  <c r="AY222" i="3"/>
  <c r="AY508" i="3"/>
  <c r="AY573" i="3"/>
  <c r="AY275" i="3"/>
  <c r="AY189" i="3"/>
  <c r="AY579" i="3"/>
  <c r="AY221" i="3"/>
  <c r="AY273" i="3"/>
  <c r="AY321" i="3"/>
  <c r="AY528" i="3"/>
  <c r="AY479" i="3"/>
  <c r="AY71" i="3"/>
  <c r="AY225" i="3"/>
  <c r="AY553" i="3"/>
  <c r="AY246" i="3"/>
  <c r="AY377" i="3"/>
  <c r="AY16" i="3"/>
  <c r="AY68" i="3"/>
  <c r="AY308" i="3"/>
  <c r="AY412" i="3"/>
  <c r="AY238" i="3"/>
  <c r="AY543" i="3"/>
  <c r="AY312" i="3"/>
  <c r="AY46" i="3"/>
  <c r="AY91" i="3"/>
  <c r="AY511" i="3"/>
  <c r="AY203" i="3"/>
  <c r="AY567" i="3"/>
  <c r="AY301" i="3"/>
  <c r="AY276" i="3"/>
  <c r="AY549" i="3"/>
  <c r="AY263" i="3"/>
  <c r="AY317" i="3"/>
  <c r="AY188" i="3"/>
  <c r="AY420" i="3"/>
  <c r="AY283" i="3"/>
  <c r="AY295" i="3"/>
  <c r="AY534" i="3"/>
  <c r="AY562" i="3"/>
  <c r="AY279" i="3"/>
  <c r="AY31" i="3"/>
  <c r="AY173" i="3"/>
  <c r="AY342" i="3"/>
  <c r="AY247" i="3"/>
  <c r="AY348" i="3"/>
  <c r="AY481" i="3"/>
  <c r="AY356" i="3"/>
  <c r="AY212" i="3"/>
  <c r="AY480" i="3"/>
  <c r="AY313" i="3"/>
  <c r="AY167" i="3"/>
  <c r="AY323" i="3"/>
  <c r="AY110" i="3"/>
  <c r="AY113" i="3"/>
  <c r="AY386" i="3"/>
  <c r="AY26" i="3"/>
  <c r="AY299" i="3"/>
  <c r="AY491" i="3"/>
  <c r="AY269" i="3"/>
  <c r="AY130" i="3"/>
  <c r="AY326" i="3"/>
  <c r="AY370" i="3"/>
  <c r="AY380" i="3"/>
  <c r="AY285" i="3"/>
  <c r="AY224" i="3"/>
  <c r="AY575" i="3"/>
  <c r="AY396" i="3"/>
  <c r="AY164" i="3"/>
  <c r="AY372" i="3"/>
  <c r="AY392" i="3"/>
  <c r="AY581" i="3"/>
  <c r="AY260" i="3"/>
  <c r="AY230" i="3"/>
  <c r="AY475" i="3"/>
  <c r="AY244" i="3"/>
  <c r="AY467" i="3"/>
  <c r="AY478" i="3"/>
  <c r="AY341" i="3"/>
  <c r="AY129" i="3"/>
  <c r="D3" i="6"/>
  <c r="AY176" i="3"/>
  <c r="AY533" i="3"/>
  <c r="AY397" i="3"/>
  <c r="BQ6" i="3"/>
  <c r="AY89" i="3"/>
  <c r="AY435" i="3"/>
  <c r="AY20" i="3"/>
  <c r="AY536" i="3"/>
  <c r="AY453" i="3"/>
  <c r="AY466" i="3"/>
  <c r="AY550" i="3"/>
  <c r="AY216" i="3"/>
  <c r="AY522" i="3"/>
  <c r="BT6" i="3"/>
  <c r="AY310" i="3"/>
  <c r="AY357" i="3"/>
  <c r="AY414" i="3"/>
  <c r="AY535" i="3"/>
  <c r="AY516" i="3"/>
  <c r="AY105" i="3"/>
  <c r="AY406" i="3"/>
  <c r="AY426" i="3"/>
  <c r="AY362" i="3"/>
  <c r="AY490" i="3"/>
  <c r="AY330" i="3"/>
  <c r="AY434" i="3"/>
  <c r="AY477" i="3"/>
  <c r="AY77" i="3"/>
  <c r="BJ6" i="3"/>
  <c r="AY546" i="3"/>
  <c r="AY97" i="3"/>
  <c r="AY360" i="3"/>
  <c r="AY398" i="3"/>
  <c r="AY36" i="3"/>
  <c r="BN6" i="3"/>
  <c r="AY100" i="3"/>
  <c r="AY419" i="3"/>
  <c r="AY369" i="3"/>
  <c r="AY35" i="3"/>
  <c r="AY86" i="3"/>
  <c r="AY504" i="3"/>
  <c r="AY140" i="3"/>
  <c r="AY64" i="3"/>
  <c r="AY265" i="3"/>
  <c r="AY197" i="3"/>
  <c r="AY99" i="3"/>
  <c r="AY555" i="3"/>
  <c r="AY468" i="3"/>
  <c r="AY538" i="3"/>
  <c r="AY469" i="3"/>
  <c r="AY52" i="3"/>
  <c r="AY153" i="3"/>
  <c r="AY229" i="3"/>
  <c r="AY429" i="3"/>
  <c r="AY107" i="3"/>
  <c r="AY277" i="3"/>
  <c r="AY121" i="3"/>
  <c r="AY444" i="3"/>
  <c r="AY144" i="3"/>
  <c r="AY253" i="3"/>
  <c r="AY74" i="3"/>
  <c r="AY409" i="3"/>
  <c r="AY465" i="3"/>
  <c r="AY108" i="3"/>
  <c r="AY138" i="3"/>
  <c r="AY214" i="3"/>
  <c r="AY24" i="3"/>
  <c r="AY349" i="3"/>
  <c r="AY427" i="3"/>
  <c r="AY98" i="3"/>
  <c r="AY390" i="3"/>
  <c r="AY25" i="3"/>
  <c r="BI6" i="3"/>
  <c r="AY464" i="3"/>
  <c r="AY523" i="3"/>
  <c r="AY43" i="3"/>
  <c r="AY69" i="3"/>
  <c r="AY384" i="3"/>
  <c r="AY309" i="3"/>
  <c r="AY494" i="3"/>
  <c r="AY287" i="3"/>
  <c r="AY471" i="3"/>
  <c r="AY524" i="3"/>
  <c r="AY192" i="3"/>
  <c r="AY346" i="3"/>
  <c r="AY55" i="3"/>
  <c r="AY391" i="3"/>
  <c r="AY586" i="3"/>
  <c r="AY450" i="3"/>
  <c r="AY120" i="3"/>
  <c r="AY195" i="3"/>
  <c r="AY21" i="3"/>
  <c r="AY415" i="3"/>
  <c r="AY248" i="3"/>
  <c r="AY293" i="3"/>
  <c r="AY513" i="3"/>
  <c r="AY59" i="3"/>
  <c r="AY371" i="3"/>
  <c r="AY284" i="3"/>
  <c r="AY300" i="3"/>
  <c r="AY401" i="3"/>
  <c r="AY76" i="3"/>
  <c r="AY125"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564" i="3"/>
  <c r="AY347" i="3"/>
  <c r="AY208" i="3"/>
  <c r="AY250" i="3"/>
  <c r="AY551" i="3"/>
  <c r="AY451" i="3"/>
  <c r="AY307" i="3"/>
  <c r="AY124" i="3"/>
  <c r="AY236" i="3"/>
  <c r="AY252" i="3"/>
  <c r="AY395" i="3"/>
  <c r="AY66" i="3"/>
  <c r="AY61" i="3"/>
  <c r="AY495" i="3"/>
  <c r="AY49" i="3"/>
  <c r="AY519" i="3"/>
  <c r="AY512" i="3"/>
  <c r="AY288" i="3"/>
  <c r="AY115" i="3"/>
  <c r="AY41" i="3"/>
  <c r="AY117" i="3"/>
  <c r="AY162" i="3"/>
  <c r="AY14" i="3"/>
  <c r="AY298" i="3"/>
  <c r="AY545" i="3"/>
  <c r="AY206" i="3"/>
  <c r="AY335" i="3"/>
  <c r="AY56" i="3"/>
  <c r="AY302" i="3"/>
  <c r="AY227" i="3"/>
  <c r="AY487" i="3"/>
  <c r="AY531" i="3"/>
  <c r="AY159" i="3"/>
  <c r="AY461" i="3"/>
  <c r="AY339" i="3"/>
  <c r="AY500" i="3"/>
  <c r="AY566" i="3"/>
  <c r="AY393" i="3"/>
  <c r="AY368" i="3"/>
  <c r="AY431" i="3"/>
  <c r="AY483" i="3"/>
  <c r="AY32" i="3"/>
  <c r="AY62" i="3"/>
  <c r="AY220" i="3"/>
  <c r="AY232" i="3"/>
  <c r="AY559" i="3"/>
  <c r="AY87" i="3"/>
  <c r="AY111" i="3"/>
  <c r="AY204" i="3"/>
  <c r="AY228" i="3"/>
  <c r="AY541" i="3"/>
  <c r="AY118" i="3"/>
  <c r="AY554" i="3"/>
  <c r="AY210" i="3"/>
  <c r="BM6" i="3"/>
  <c r="AY334" i="3"/>
  <c r="AY85" i="3"/>
  <c r="AY186" i="3"/>
  <c r="AY527" i="3"/>
  <c r="AY489" i="3"/>
  <c r="AY198" i="3"/>
  <c r="AY181" i="3"/>
  <c r="AY520" i="3"/>
  <c r="AY234" i="3"/>
  <c r="AY439" i="3"/>
  <c r="AY63" i="3"/>
  <c r="AY456" i="3"/>
  <c r="AY128" i="3"/>
  <c r="BD6" i="3"/>
  <c r="AY17" i="3"/>
  <c r="AY440" i="3"/>
  <c r="AY15" i="3"/>
  <c r="AY515" i="3"/>
  <c r="AY547" i="3"/>
  <c r="AY318" i="3"/>
  <c r="AY131" i="3"/>
  <c r="AY160" i="3"/>
  <c r="AY529" i="3"/>
  <c r="AY544" i="3"/>
  <c r="AY185" i="3"/>
  <c r="AY219" i="3"/>
  <c r="AY259" i="3"/>
  <c r="AY430" i="3"/>
  <c r="AY18" i="3"/>
  <c r="BO6" i="3"/>
  <c r="AY389" i="3"/>
  <c r="AY454" i="3"/>
  <c r="AY147" i="3"/>
  <c r="AY539" i="3"/>
  <c r="AY373" i="3"/>
  <c r="AY580" i="3"/>
  <c r="AY169" i="3"/>
  <c r="AY484" i="3"/>
  <c r="BA6" i="3"/>
  <c r="AY376" i="3"/>
  <c r="AY70" i="3"/>
  <c r="AY416" i="3"/>
  <c r="AY304" i="3"/>
  <c r="AY296" i="3"/>
  <c r="AY474" i="3"/>
  <c r="AY445" i="3"/>
  <c r="AY394" i="3"/>
  <c r="AY521" i="3"/>
  <c r="AY281" i="3"/>
  <c r="AY123" i="3"/>
  <c r="AY452" i="3"/>
  <c r="AY133" i="3"/>
  <c r="AY90" i="3"/>
  <c r="AY350" i="3"/>
  <c r="AY266" i="3"/>
  <c r="AY27" i="3"/>
  <c r="AY413" i="3"/>
  <c r="AY261" i="3"/>
  <c r="AY114" i="3"/>
  <c r="AY365" i="3"/>
  <c r="AY72" i="3"/>
  <c r="AY570" i="3"/>
  <c r="AY492" i="3"/>
  <c r="AY408" i="3"/>
  <c r="AY149" i="3"/>
  <c r="AY209" i="3"/>
  <c r="AY353" i="3"/>
  <c r="BS6" i="3"/>
  <c r="AY29" i="3"/>
  <c r="AY410" i="3"/>
  <c r="AY280" i="3"/>
  <c r="AY213" i="3"/>
  <c r="AY537" i="3"/>
  <c r="AY361" i="3"/>
  <c r="AY143" i="3"/>
  <c r="AY563" i="3"/>
  <c r="AY359" i="3"/>
  <c r="AY422" i="3"/>
  <c r="AY354" i="3"/>
  <c r="AY81" i="3"/>
  <c r="AY156" i="3"/>
  <c r="AY432" i="3"/>
  <c r="AY320" i="3"/>
  <c r="AY407" i="3"/>
  <c r="AY254" i="3"/>
  <c r="AY34" i="3"/>
  <c r="AY382" i="3"/>
  <c r="AY363" i="3"/>
  <c r="AY358" i="3"/>
  <c r="AY45" i="3"/>
  <c r="AY294" i="3"/>
  <c r="AY104" i="3"/>
  <c r="AY332" i="3"/>
  <c r="BF6" i="3"/>
  <c r="AY526" i="3"/>
  <c r="AY157" i="3"/>
  <c r="AY243" i="3"/>
  <c r="AY532" i="3"/>
  <c r="AY379" i="3"/>
  <c r="AY141" i="3"/>
  <c r="AY258" i="3"/>
  <c r="AY101" i="3"/>
  <c r="AY364" i="3"/>
  <c r="AY506" i="3"/>
  <c r="AY135" i="3"/>
  <c r="AY558" i="3"/>
  <c r="AY241" i="3"/>
  <c r="AY142" i="3"/>
  <c r="AY530" i="3"/>
  <c r="AY576" i="3"/>
  <c r="AY267" i="3"/>
  <c r="AY493" i="3"/>
  <c r="AY54" i="3"/>
  <c r="AY83" i="3"/>
  <c r="AY58" i="3"/>
  <c r="AY183" i="3"/>
  <c r="AY217" i="3"/>
  <c r="BE6" i="3"/>
  <c r="AY165" i="3"/>
  <c r="BH6" i="3"/>
  <c r="AY388" i="3"/>
  <c r="AY411" i="3"/>
  <c r="AY486" i="3"/>
  <c r="AY53" i="3"/>
  <c r="AY93" i="3"/>
  <c r="AY518" i="3"/>
  <c r="AY455" i="3"/>
  <c r="AY84" i="3"/>
  <c r="AY161" i="3"/>
  <c r="AY552" i="3"/>
  <c r="AY282" i="3"/>
  <c r="AY423" i="3"/>
  <c r="AY78" i="3"/>
  <c r="AY314" i="3"/>
  <c r="AY119" i="3"/>
  <c r="BC6" i="3"/>
  <c r="AY418" i="3"/>
  <c r="AY421" i="3"/>
  <c r="AY583" i="3"/>
  <c r="AY505" i="3"/>
  <c r="AY568" i="3"/>
  <c r="AY51" i="3"/>
  <c r="AY168" i="3"/>
  <c r="AY428" i="3"/>
  <c r="AY569" i="3"/>
  <c r="AY297" i="3"/>
  <c r="AY166" i="3"/>
  <c r="AY146" i="3"/>
  <c r="AY286" i="3"/>
  <c r="AY509" i="3"/>
  <c r="AY205" i="3"/>
  <c r="AY19" i="3"/>
  <c r="AY60" i="3"/>
  <c r="AY561" i="3"/>
  <c r="AY496" i="3"/>
  <c r="AY65" i="3"/>
  <c r="AY437" i="3"/>
  <c r="AY39" i="3"/>
  <c r="AY50" i="3"/>
  <c r="AY274" i="3"/>
  <c r="AY44" i="3"/>
  <c r="AY501" i="3"/>
  <c r="AY577" i="3"/>
  <c r="AY584" i="3"/>
  <c r="AY331" i="3"/>
  <c r="AY459" i="3"/>
  <c r="AY482" i="3"/>
  <c r="AY402" i="3"/>
  <c r="AY443" i="3"/>
  <c r="AY572" i="3"/>
  <c r="AY233" i="3"/>
  <c r="AY240" i="3"/>
  <c r="AY565" i="3"/>
  <c r="AY57" i="3"/>
  <c r="AY582" i="3"/>
  <c r="AY560" i="3"/>
  <c r="AY13" i="3"/>
  <c r="AY194" i="3"/>
  <c r="AY95" i="3"/>
  <c r="AY303" i="3"/>
  <c r="AY470" i="3"/>
  <c r="AY433" i="3"/>
  <c r="AY28" i="3"/>
  <c r="AY231" i="3"/>
  <c r="AY177" i="3"/>
  <c r="AY488" i="3"/>
  <c r="AY510" i="3"/>
  <c r="AY447" i="3"/>
  <c r="AY271" i="3"/>
  <c r="AY325" i="3"/>
  <c r="AY82" i="3"/>
  <c r="AY436" i="3"/>
  <c r="AY255" i="3"/>
  <c r="AY449" i="3"/>
  <c r="AY48" i="3"/>
  <c r="AY344" i="3"/>
  <c r="AY542" i="3"/>
  <c r="AY249" i="3"/>
  <c r="BL6" i="3"/>
  <c r="AY338" i="3"/>
  <c r="AY218" i="3"/>
  <c r="AY47" i="3"/>
  <c r="AY272" i="3"/>
  <c r="AY337" i="3"/>
  <c r="AY172" i="3"/>
  <c r="AY351" i="3"/>
  <c r="AY23" i="3"/>
  <c r="AY268" i="3"/>
  <c r="AY319" i="3"/>
  <c r="AY327" i="3"/>
  <c r="AY92" i="3"/>
  <c r="AY278" i="3"/>
  <c r="AY73" i="3"/>
  <c r="AY333" i="3"/>
  <c r="AY571" i="3"/>
  <c r="AY199" i="3"/>
  <c r="AY182" i="3"/>
  <c r="AY226" i="3"/>
  <c r="AY556" i="3"/>
  <c r="AY116" i="3"/>
  <c r="AY134" i="3"/>
  <c r="AY215" i="3"/>
  <c r="AY514" i="3"/>
  <c r="AY345" i="3"/>
  <c r="AY499" i="3"/>
  <c r="AY187" i="3"/>
  <c r="AY517" i="3"/>
  <c r="AY256" i="3"/>
  <c r="AY498" i="3"/>
  <c r="AY548" i="3"/>
  <c r="AY102" i="3"/>
  <c r="AY174" i="3"/>
  <c r="AY79" i="3"/>
  <c r="AY200" i="3"/>
  <c r="AY207" i="3"/>
  <c r="AY67" i="3"/>
  <c r="AY106" i="3"/>
  <c r="AY366" i="3"/>
  <c r="AY40" i="3"/>
  <c r="AY315" i="3"/>
  <c r="AY137" i="3"/>
  <c r="AY457" i="3"/>
  <c r="AY80" i="3"/>
  <c r="AY22" i="3"/>
  <c r="AY38" i="3"/>
  <c r="AY178" i="3"/>
  <c r="AY196" i="3"/>
  <c r="AY381" i="3"/>
  <c r="AY574" i="3"/>
  <c r="AY540" i="3"/>
  <c r="AY458" i="3"/>
  <c r="AY448" i="3"/>
  <c r="AY476" i="3"/>
  <c r="AY103" i="3"/>
  <c r="AY262" i="3"/>
  <c r="AY355" i="3"/>
  <c r="AY417" i="3"/>
  <c r="AY328" i="3"/>
  <c r="AY367" i="3"/>
  <c r="AY305" i="3"/>
  <c r="AY139" i="3"/>
  <c r="AY507" i="3"/>
  <c r="AY170" i="3"/>
  <c r="AY148" i="3"/>
  <c r="AY154" i="3"/>
  <c r="BP6" i="3"/>
  <c r="AY136" i="3"/>
  <c r="AY329" i="3"/>
  <c r="AY180" i="3"/>
  <c r="AY290" i="3"/>
  <c r="AY211" i="3"/>
  <c r="BB6" i="3"/>
  <c r="AY578" i="3"/>
  <c r="AY336" i="3"/>
  <c r="AY485" i="3"/>
  <c r="AY460" i="3"/>
  <c r="AY202" i="3"/>
  <c r="AY239" i="3"/>
  <c r="AY270" i="3"/>
  <c r="AY502" i="3"/>
  <c r="AY385" i="3"/>
  <c r="AY151" i="3"/>
  <c r="AY245" i="3"/>
  <c r="AY473" i="3"/>
  <c r="AY201" i="3"/>
  <c r="AY322" i="3"/>
  <c r="AY112" i="3"/>
  <c r="AY175" i="3"/>
  <c r="AY289" i="3"/>
  <c r="AY94" i="3"/>
  <c r="AY237" i="3"/>
  <c r="AY375" i="3"/>
  <c r="AY387" i="3"/>
  <c r="AY405" i="3"/>
  <c r="AY171" i="3"/>
  <c r="AY251" i="3"/>
  <c r="AY352" i="3"/>
  <c r="BK6" i="3"/>
  <c r="AY446" i="3"/>
  <c r="AY403" i="3"/>
  <c r="AY503" i="3"/>
  <c r="AY378" i="3"/>
  <c r="AY383" i="3"/>
  <c r="AY400" i="3"/>
  <c r="AY463" i="3"/>
  <c r="AY472" i="3"/>
  <c r="AY340" i="3"/>
  <c r="AY324" i="3"/>
  <c r="AY264" i="3"/>
  <c r="AY30" i="3"/>
  <c r="AY257" i="3"/>
  <c r="AY242" i="3"/>
  <c r="AY399" i="3"/>
  <c r="AY132" i="3"/>
  <c r="AY497" i="3"/>
  <c r="AY235" i="3"/>
  <c r="AY291" i="3"/>
  <c r="AY311" i="3"/>
  <c r="AY557" i="3"/>
  <c r="AY152" i="3"/>
  <c r="AY163" i="3"/>
  <c r="AY292" i="3"/>
  <c r="AY158" i="3"/>
  <c r="AY184" i="3"/>
  <c r="AY155" i="3"/>
  <c r="AY33" i="3"/>
  <c r="BG6" i="3"/>
  <c r="AY37" i="3"/>
  <c r="AY587" i="3"/>
  <c r="AY42" i="3"/>
  <c r="W10" i="39"/>
  <c r="AC10" i="39"/>
  <c r="F25" i="12"/>
  <c r="C26" i="12" s="1"/>
  <c r="D25" i="12" s="1"/>
  <c r="C49" i="21"/>
  <c r="C48" i="21"/>
  <c r="C29" i="11"/>
  <c r="D27" i="11" s="1"/>
  <c r="C47" i="11"/>
  <c r="D45" i="11" s="1"/>
  <c r="U10" i="39"/>
  <c r="AB10" i="39"/>
  <c r="AB10" i="40"/>
  <c r="U10" i="40"/>
  <c r="F50" i="69"/>
  <c r="F50" i="11"/>
  <c r="F50" i="68"/>
  <c r="C35" i="11"/>
  <c r="C33" i="11" s="1"/>
  <c r="C38" i="11"/>
  <c r="J19" i="67"/>
  <c r="J18" i="67"/>
  <c r="J5" i="67"/>
  <c r="J24" i="67" s="1"/>
  <c r="C19" i="67"/>
  <c r="C20" i="67" s="1"/>
  <c r="J26" i="67"/>
  <c r="J29" i="67" s="1"/>
  <c r="C53" i="15"/>
  <c r="C48" i="15" s="1"/>
  <c r="C10" i="15"/>
  <c r="C5" i="15" s="1"/>
  <c r="O36" i="43"/>
  <c r="P36" i="43"/>
  <c r="L37" i="43"/>
  <c r="Q36" i="43"/>
  <c r="N36" i="43"/>
  <c r="M36" i="43"/>
  <c r="J26" i="15"/>
  <c r="J29" i="15" s="1"/>
  <c r="J24" i="15"/>
  <c r="C20" i="15"/>
  <c r="C26" i="15" s="1"/>
  <c r="C10" i="67"/>
  <c r="C5" i="67" s="1"/>
  <c r="C53" i="67"/>
  <c r="C48" i="67" s="1"/>
  <c r="C59" i="15"/>
  <c r="F41" i="69"/>
  <c r="C44" i="69"/>
  <c r="D41" i="69" s="1"/>
  <c r="C26" i="69"/>
  <c r="D22" i="69" s="1"/>
  <c r="C24" i="69"/>
  <c r="C23" i="69"/>
  <c r="C59" i="67"/>
  <c r="C23" i="11"/>
  <c r="C44" i="11"/>
  <c r="D41" i="11" s="1"/>
  <c r="C24" i="11"/>
  <c r="C26" i="11"/>
  <c r="D22" i="11" s="1"/>
  <c r="C23" i="68"/>
  <c r="F41" i="68"/>
  <c r="C26" i="68"/>
  <c r="D22" i="68" s="1"/>
  <c r="C44" i="68"/>
  <c r="D41" i="68" s="1"/>
  <c r="D10" i="69"/>
  <c r="C34" i="69"/>
  <c r="C38" i="69" l="1"/>
  <c r="C35" i="69"/>
  <c r="C33" i="69"/>
  <c r="C10" i="69"/>
  <c r="D19" i="69"/>
  <c r="D37" i="69" s="1"/>
  <c r="C37" i="69" s="1"/>
  <c r="C39" i="11"/>
  <c r="C43" i="11" s="1"/>
  <c r="C46" i="11"/>
  <c r="C45" i="11" s="1"/>
  <c r="C42" i="11"/>
  <c r="M19" i="9"/>
  <c r="C118" i="9" s="1"/>
  <c r="D9" i="6"/>
  <c r="D5" i="6"/>
  <c r="D29" i="6"/>
  <c r="D15" i="6"/>
  <c r="D24" i="6"/>
  <c r="D10" i="6"/>
  <c r="H25" i="6"/>
  <c r="D6" i="6"/>
  <c r="D21" i="6"/>
  <c r="D28" i="6"/>
  <c r="D30" i="6" s="1"/>
  <c r="D22" i="6"/>
  <c r="H24" i="6"/>
  <c r="H26" i="6"/>
  <c r="D25" i="6"/>
  <c r="R25" i="6" s="1"/>
  <c r="D26" i="6"/>
  <c r="H21" i="6"/>
  <c r="H23" i="6"/>
  <c r="C18" i="4"/>
  <c r="L19" i="9"/>
  <c r="D13" i="6"/>
  <c r="D14" i="6"/>
  <c r="D11" i="6"/>
  <c r="D12" i="6"/>
  <c r="H22" i="6"/>
  <c r="H20" i="6"/>
  <c r="D8" i="6"/>
  <c r="D16" i="6" s="1"/>
  <c r="D19" i="6"/>
  <c r="E61" i="40"/>
  <c r="F61" i="40" s="1"/>
  <c r="B2" i="40" s="1"/>
  <c r="B3" i="40" s="1"/>
  <c r="D23" i="6"/>
  <c r="R23" i="6" s="1"/>
  <c r="D20" i="6"/>
  <c r="D10" i="11"/>
  <c r="C10" i="11" s="1"/>
  <c r="D10" i="68"/>
  <c r="D20" i="12"/>
  <c r="C20" i="12" s="1"/>
  <c r="C18" i="12" s="1"/>
  <c r="E6" i="70"/>
  <c r="E2" i="70" s="1"/>
  <c r="AQ6" i="1"/>
  <c r="AR6" i="1"/>
  <c r="T6" i="1"/>
  <c r="T16" i="1" s="1"/>
  <c r="S16" i="1"/>
  <c r="B3" i="21"/>
  <c r="B2" i="21"/>
  <c r="D17" i="12"/>
  <c r="C17" i="12" s="1"/>
  <c r="C14" i="12"/>
  <c r="C16" i="12" s="1"/>
  <c r="C20" i="11"/>
  <c r="C25" i="11" s="1"/>
  <c r="C28" i="11"/>
  <c r="C27" i="11" s="1"/>
  <c r="M27" i="6"/>
  <c r="I19" i="6"/>
  <c r="H19" i="6" s="1"/>
  <c r="H27" i="6" s="1"/>
  <c r="C26" i="67"/>
  <c r="C23" i="67"/>
  <c r="C41" i="11"/>
  <c r="C49" i="11" s="1"/>
  <c r="C51" i="11" s="1"/>
  <c r="C23" i="15"/>
  <c r="C29" i="15" s="1"/>
  <c r="Q49" i="15" s="1"/>
  <c r="C22" i="11"/>
  <c r="C31" i="11" s="1"/>
  <c r="C66" i="15"/>
  <c r="C66" i="67"/>
  <c r="O37" i="43"/>
  <c r="P37" i="43"/>
  <c r="N37" i="43"/>
  <c r="Q37" i="43"/>
  <c r="M37" i="43"/>
  <c r="C38" i="67"/>
  <c r="C22" i="69"/>
  <c r="C31" i="69" s="1"/>
  <c r="C38" i="15"/>
  <c r="C20" i="9"/>
  <c r="C19" i="9"/>
  <c r="C29" i="67" l="1"/>
  <c r="Q49" i="67" s="1"/>
  <c r="C21" i="9"/>
  <c r="C102" i="9"/>
  <c r="C103" i="9"/>
  <c r="C4" i="52"/>
  <c r="B45" i="72" s="1"/>
  <c r="A7" i="51"/>
  <c r="B7" i="72" s="1"/>
  <c r="A10" i="51"/>
  <c r="B9" i="72" s="1"/>
  <c r="C10" i="68"/>
  <c r="D19" i="68"/>
  <c r="R21" i="6"/>
  <c r="C39" i="69"/>
  <c r="C43" i="69" s="1"/>
  <c r="C42" i="69"/>
  <c r="R24" i="6"/>
  <c r="S19" i="6"/>
  <c r="S27" i="6" s="1"/>
  <c r="I27" i="6"/>
  <c r="C21" i="12"/>
  <c r="R20" i="6"/>
  <c r="R19" i="6"/>
  <c r="D27" i="6"/>
  <c r="D31" i="6" s="1"/>
  <c r="R26" i="6"/>
  <c r="R22" i="6"/>
  <c r="C52" i="11"/>
  <c r="B2" i="11" s="1"/>
  <c r="B3" i="11" s="1"/>
  <c r="C36" i="67"/>
  <c r="J14" i="67"/>
  <c r="J13" i="67" s="1"/>
  <c r="J23" i="67" s="1"/>
  <c r="C13" i="67"/>
  <c r="C37" i="67" s="1"/>
  <c r="J59" i="67"/>
  <c r="J60" i="67" s="1"/>
  <c r="L46" i="67" s="1"/>
  <c r="C57" i="67"/>
  <c r="C64" i="67" s="1"/>
  <c r="C13" i="15"/>
  <c r="C37" i="15" s="1"/>
  <c r="C36" i="15"/>
  <c r="J14" i="15"/>
  <c r="J22" i="15" s="1"/>
  <c r="J59" i="15"/>
  <c r="J60" i="15" s="1"/>
  <c r="Q48" i="15" s="1"/>
  <c r="C57" i="15"/>
  <c r="C64" i="15" s="1"/>
  <c r="C56" i="11" l="1"/>
  <c r="C57" i="11" s="1"/>
  <c r="C41" i="69"/>
  <c r="D37" i="68"/>
  <c r="C37" i="68" s="1"/>
  <c r="C33" i="68" s="1"/>
  <c r="C19" i="68"/>
  <c r="C22" i="12"/>
  <c r="C30" i="12" s="1"/>
  <c r="C28" i="12" s="1"/>
  <c r="I6" i="6"/>
  <c r="I5" i="6"/>
  <c r="C46" i="69"/>
  <c r="C45" i="69" s="1"/>
  <c r="R6" i="1"/>
  <c r="R16" i="1" s="1"/>
  <c r="R27" i="6"/>
  <c r="C75" i="67"/>
  <c r="J13" i="15"/>
  <c r="J23" i="15" s="1"/>
  <c r="J16" i="15" s="1"/>
  <c r="J25" i="15" s="1"/>
  <c r="C56" i="67"/>
  <c r="C65" i="67" s="1"/>
  <c r="C58" i="67" s="1"/>
  <c r="C67" i="67" s="1"/>
  <c r="C68" i="67" s="1"/>
  <c r="C71" i="67" s="1"/>
  <c r="Q70" i="67"/>
  <c r="J22" i="67"/>
  <c r="J16" i="67" s="1"/>
  <c r="J25" i="67" s="1"/>
  <c r="C75" i="15"/>
  <c r="C30" i="67"/>
  <c r="C39" i="67" s="1"/>
  <c r="Q69" i="67" s="1"/>
  <c r="Q48" i="67"/>
  <c r="C30" i="15"/>
  <c r="C39" i="15" s="1"/>
  <c r="C40" i="15" s="1"/>
  <c r="C56" i="15"/>
  <c r="C65" i="15" s="1"/>
  <c r="C58" i="15" s="1"/>
  <c r="C67" i="15" s="1"/>
  <c r="C68" i="15" s="1"/>
  <c r="C71" i="15" s="1"/>
  <c r="Q70" i="15"/>
  <c r="L46" i="15"/>
  <c r="L51" i="67"/>
  <c r="C20" i="68" l="1"/>
  <c r="C25" i="68" s="1"/>
  <c r="C24" i="68"/>
  <c r="C22" i="68" s="1"/>
  <c r="C28" i="68"/>
  <c r="C27" i="68" s="1"/>
  <c r="C31" i="68" s="1"/>
  <c r="C42" i="68"/>
  <c r="C39" i="68"/>
  <c r="C43" i="68" s="1"/>
  <c r="C46" i="68"/>
  <c r="C45" i="68" s="1"/>
  <c r="C27" i="12"/>
  <c r="C25" i="12" s="1"/>
  <c r="C32" i="12" s="1"/>
  <c r="B2" i="12" s="1"/>
  <c r="B3" i="12" s="1"/>
  <c r="C49" i="69"/>
  <c r="C51" i="69" s="1"/>
  <c r="Q69" i="15"/>
  <c r="Q68" i="15" s="1"/>
  <c r="C80" i="15"/>
  <c r="C79" i="15" s="1"/>
  <c r="Q68" i="67"/>
  <c r="C80" i="67"/>
  <c r="C79" i="67" s="1"/>
  <c r="C40" i="67"/>
  <c r="Q56" i="67" s="1"/>
  <c r="Q67" i="67"/>
  <c r="L57" i="67"/>
  <c r="L60" i="67" s="1"/>
  <c r="Q47" i="15"/>
  <c r="Q53" i="15" s="1"/>
  <c r="B2" i="15"/>
  <c r="B3" i="15" s="1"/>
  <c r="C43" i="15"/>
  <c r="Q56" i="15"/>
  <c r="Q65" i="15"/>
  <c r="C83" i="15"/>
  <c r="C82" i="15" s="1"/>
  <c r="C45" i="67"/>
  <c r="C46" i="67" s="1"/>
  <c r="C46" i="15"/>
  <c r="L51" i="15"/>
  <c r="C41" i="68" l="1"/>
  <c r="C49" i="68" s="1"/>
  <c r="C51" i="68" s="1"/>
  <c r="C52" i="68" s="1"/>
  <c r="B2" i="68" s="1"/>
  <c r="B3" i="68" s="1"/>
  <c r="C52" i="69"/>
  <c r="B2" i="69" s="1"/>
  <c r="L57" i="15"/>
  <c r="L60" i="15" s="1"/>
  <c r="Q66" i="15" s="1"/>
  <c r="Q75" i="15" s="1"/>
  <c r="Q67" i="15"/>
  <c r="Q65" i="67"/>
  <c r="C43" i="67"/>
  <c r="Q47" i="67"/>
  <c r="Q53" i="67" s="1"/>
  <c r="D2" i="67"/>
  <c r="B3" i="67" s="1"/>
  <c r="C83" i="67"/>
  <c r="C82" i="67" s="1"/>
  <c r="Q66" i="67"/>
  <c r="Q75" i="67" s="1"/>
  <c r="Q57" i="67"/>
  <c r="Q62" i="67" s="1"/>
  <c r="B3" i="69"/>
  <c r="D20" i="9" s="1"/>
  <c r="AO6" i="1"/>
  <c r="D19" i="9"/>
  <c r="C57" i="68" l="1"/>
  <c r="C56" i="68" s="1"/>
  <c r="D102" i="9"/>
  <c r="D22" i="9"/>
  <c r="G19" i="9"/>
  <c r="D21" i="9"/>
  <c r="B6" i="70"/>
  <c r="B2" i="70" s="1"/>
  <c r="B3" i="70" s="1"/>
  <c r="G20" i="9"/>
  <c r="D103" i="9"/>
  <c r="Q57" i="15"/>
  <c r="Q62" i="15" s="1"/>
  <c r="C57" i="69"/>
  <c r="C56" i="69" s="1"/>
  <c r="B2" i="67"/>
  <c r="G21" i="9" l="1"/>
  <c r="D14" i="74"/>
  <c r="C32" i="9"/>
  <c r="C35" i="9" s="1"/>
  <c r="C34" i="9" s="1"/>
  <c r="C27" i="9"/>
  <c r="D27" i="9" s="1"/>
  <c r="E14" i="74" l="1"/>
  <c r="F14" i="74"/>
  <c r="B5" i="74"/>
  <c r="D5" i="74" s="1"/>
  <c r="D52" i="9" l="1"/>
  <c r="D53" i="9"/>
  <c r="B30" i="72"/>
  <c r="E97" i="9"/>
  <c r="P57" i="9"/>
  <c r="N58" i="9"/>
  <c r="D8" i="52"/>
  <c r="B20" i="72"/>
  <c r="C81" i="9"/>
  <c r="I4" i="52"/>
  <c r="C105" i="9"/>
  <c r="E81" i="9"/>
  <c r="H4" i="52"/>
  <c r="C104" i="9"/>
  <c r="B51" i="72"/>
  <c r="B31" i="72"/>
  <c r="E96" i="9"/>
  <c r="M48" i="9"/>
  <c r="D13" i="53"/>
  <c r="D14" i="53"/>
  <c r="B32" i="72"/>
  <c r="C5" i="74"/>
  <c r="M55" i="9"/>
  <c r="C80" i="9"/>
  <c r="E80" i="9"/>
  <c r="G4" i="52"/>
  <c r="B52" i="72"/>
  <c r="E4" i="52"/>
  <c r="B48" i="72"/>
  <c r="D122" i="9"/>
  <c r="D123" i="9"/>
  <c r="D9" i="52"/>
  <c r="D5" i="53"/>
  <c r="D6" i="53"/>
  <c r="B22" i="72"/>
  <c r="F5" i="52"/>
  <c r="B53" i="72"/>
  <c r="D59" i="9"/>
  <c r="C93" i="9"/>
  <c r="C86" i="9"/>
  <c r="D15" i="53"/>
  <c r="H107" i="9"/>
  <c r="H108" i="9"/>
  <c r="C6" i="74"/>
  <c r="C72" i="9"/>
  <c r="C79" i="9"/>
  <c r="C96" i="9"/>
  <c r="H119" i="9"/>
  <c r="H5" i="52"/>
  <c r="F4" i="52"/>
  <c r="G118" i="9"/>
  <c r="F118" i="9"/>
  <c r="F119" i="9"/>
  <c r="D119" i="9"/>
  <c r="D5" i="52"/>
  <c r="B49" i="72"/>
  <c r="E118" i="9"/>
  <c r="D118" i="9"/>
  <c r="D4" i="52"/>
  <c r="B47" i="72"/>
  <c r="N61" i="9"/>
  <c r="D55" i="9"/>
  <c r="M53" i="9"/>
  <c r="N57" i="9"/>
  <c r="N59" i="9"/>
  <c r="N60" i="9"/>
  <c r="C85" i="9"/>
  <c r="C95" i="9"/>
  <c r="C97" i="9"/>
  <c r="D58" i="9"/>
  <c r="D56" i="9"/>
  <c r="M54" i="9"/>
  <c r="C64" i="9"/>
  <c r="C63" i="9"/>
  <c r="C67" i="9"/>
  <c r="C68" i="9"/>
  <c r="D54" i="9"/>
  <c r="H102" i="9"/>
  <c r="D7" i="53"/>
  <c r="B21" i="72"/>
  <c r="I118" i="9"/>
  <c r="H118" i="9"/>
  <c r="H101" i="9"/>
  <c r="D45" i="9"/>
  <c r="C78" i="9"/>
  <c r="C7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5" authorId="0" shapeId="0">
      <text>
        <r>
          <rPr>
            <b/>
            <sz val="9"/>
            <color indexed="81"/>
            <rFont val="宋体"/>
            <family val="3"/>
            <charset val="134"/>
          </rPr>
          <t>填写交易证明的类型，分为商品房合同、预售契约、买卖契约、认购书。</t>
        </r>
      </text>
    </comment>
    <comment ref="AX25"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5" authorId="0" shapeId="0">
      <text>
        <r>
          <rPr>
            <b/>
            <sz val="9"/>
            <color indexed="81"/>
            <rFont val="宋体"/>
            <family val="3"/>
            <charset val="134"/>
          </rPr>
          <t>填写数值型数据，保留小数点后一位。</t>
        </r>
      </text>
    </comment>
    <comment ref="BG25" authorId="0" shapeId="0">
      <text>
        <r>
          <rPr>
            <b/>
            <sz val="9"/>
            <color indexed="81"/>
            <rFont val="宋体"/>
            <family val="3"/>
            <charset val="134"/>
          </rPr>
          <t>此项填写合同日期，无合同日期填写预售登记日期，均无则在备注中注明</t>
        </r>
      </text>
    </comment>
    <comment ref="BH25" authorId="0" shapeId="0">
      <text>
        <r>
          <rPr>
            <b/>
            <sz val="9"/>
            <color indexed="81"/>
            <rFont val="宋体"/>
            <family val="3"/>
            <charset val="134"/>
          </rPr>
          <t>在补充过程中发现合同遗漏的项目，不能正常补充的需注明。</t>
        </r>
      </text>
    </comment>
    <comment ref="BL25"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<sst xmlns="http://schemas.openxmlformats.org/spreadsheetml/2006/main" count="9754" uniqueCount="4155">
  <si>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</si>
  <si>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</si>
  <si>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</si>
  <si>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</si>
  <si>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</si>
  <si>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</si>
  <si>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</si>
  <si>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</si>
  <si>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</si>
  <si>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</si>
  <si>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</si>
  <si>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</si>
  <si>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</si>
  <si>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</si>
  <si>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</si>
  <si>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</si>
  <si>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</si>
  <si>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</si>
  <si>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</si>
  <si>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</si>
  <si>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</si>
  <si>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</si>
  <si>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</si>
  <si>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</si>
  <si>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</si>
  <si>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</si>
  <si>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</si>
  <si>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</si>
  <si>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</si>
  <si>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</si>
  <si>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</si>
  <si>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</si>
  <si>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</si>
  <si>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</si>
  <si>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</si>
  <si>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</si>
  <si>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</si>
  <si>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</si>
  <si>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</si>
  <si>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</si>
  <si>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</si>
  <si>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</si>
  <si>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</si>
  <si>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</si>
  <si>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</si>
  <si>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</si>
  <si>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</si>
  <si>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</si>
  <si>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</si>
  <si>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</si>
  <si>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</si>
  <si>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</si>
  <si>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</si>
  <si>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</si>
  <si>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</si>
  <si>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</si>
  <si>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</si>
  <si>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</si>
  <si>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</si>
  <si>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</si>
  <si>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</si>
  <si>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</si>
  <si>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</si>
  <si>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</si>
  <si>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</si>
  <si>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</si>
  <si>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</si>
  <si>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</si>
  <si>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</si>
  <si>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</si>
  <si>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</si>
  <si>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</si>
  <si>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</si>
  <si>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</si>
  <si>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</si>
  <si>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</si>
  <si>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</si>
  <si>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</si>
  <si>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</si>
  <si>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</si>
  <si>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</si>
  <si>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</si>
  <si>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</si>
  <si>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</si>
  <si>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</si>
  <si>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</si>
  <si>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</si>
  <si>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</si>
  <si>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</si>
  <si>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</si>
  <si>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</si>
  <si>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</si>
  <si>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</si>
  <si>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</si>
  <si>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</si>
  <si>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</si>
  <si>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</si>
  <si>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</si>
  <si>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</si>
  <si>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</si>
  <si>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</si>
  <si>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</si>
  <si>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</si>
  <si>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</si>
  <si>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</si>
  <si>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</si>
  <si>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</si>
  <si>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</si>
  <si>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</si>
  <si>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</si>
  <si>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</si>
  <si>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</si>
  <si>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</si>
  <si>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</si>
  <si>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</si>
  <si>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</si>
  <si>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</si>
  <si>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</si>
  <si>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</si>
  <si>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</si>
  <si>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</si>
  <si>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</si>
  <si>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</si>
  <si>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</si>
  <si>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</si>
  <si>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</si>
  <si>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</si>
  <si>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</si>
  <si>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</si>
  <si>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</si>
  <si>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</si>
  <si>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</si>
  <si>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</si>
  <si>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</si>
  <si>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</si>
  <si>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</si>
  <si>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</si>
  <si>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</si>
  <si>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</si>
  <si>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</si>
  <si>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</si>
  <si>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</si>
  <si>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</si>
  <si>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</si>
  <si>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</si>
  <si>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</si>
  <si>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</si>
  <si>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</si>
  <si>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</si>
  <si>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</si>
  <si>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</si>
  <si>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</si>
  <si>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</si>
  <si>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</si>
  <si>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</si>
  <si>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</si>
  <si>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</si>
  <si>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</si>
  <si>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</si>
  <si>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</si>
  <si>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</si>
  <si>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</si>
  <si>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</si>
  <si>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</si>
  <si>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</si>
  <si>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</si>
  <si>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</si>
  <si>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</si>
  <si>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</si>
  <si>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</si>
  <si>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</si>
  <si>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</si>
  <si>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</si>
  <si>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</si>
  <si>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</si>
  <si>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</si>
  <si>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</si>
  <si>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</si>
  <si>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</si>
  <si>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</si>
  <si>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</si>
  <si>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</si>
  <si>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</si>
  <si>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</si>
  <si>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</si>
  <si>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</si>
  <si>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</si>
  <si>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</si>
  <si>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</si>
  <si>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</si>
  <si>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</si>
  <si>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</si>
  <si>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</si>
  <si>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</si>
  <si>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</si>
  <si>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</si>
  <si>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</si>
  <si>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</si>
  <si>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</si>
  <si>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</si>
  <si>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</si>
  <si>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</si>
  <si>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</si>
  <si>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</si>
  <si>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</si>
  <si>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</si>
  <si>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</si>
  <si>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</si>
  <si>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</si>
  <si>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</si>
  <si>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</si>
  <si>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</si>
  <si>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</si>
  <si>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</si>
  <si>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</si>
  <si>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</si>
  <si>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</si>
  <si>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</si>
  <si>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</si>
  <si>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</si>
  <si>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</si>
  <si>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</si>
  <si>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</si>
  <si>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</si>
  <si>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</si>
  <si>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</si>
  <si>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</si>
  <si>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</si>
  <si>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</si>
  <si>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</si>
  <si>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</si>
  <si>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</si>
  <si>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</si>
  <si>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</si>
  <si>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</si>
  <si>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</si>
  <si>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</si>
  <si>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</si>
  <si>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</si>
  <si>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</si>
  <si>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</si>
  <si>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</si>
  <si>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</si>
  <si>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</si>
  <si>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</si>
  <si>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</si>
  <si>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</si>
  <si>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</si>
  <si>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</si>
  <si>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</si>
  <si>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</si>
  <si>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</si>
  <si>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</si>
  <si>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</si>
  <si>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</si>
  <si>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</si>
  <si>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</si>
  <si>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</si>
  <si>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</si>
  <si>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</si>
  <si>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</si>
  <si>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</si>
  <si>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</si>
  <si>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</si>
  <si>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</si>
  <si>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</si>
  <si>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</si>
  <si>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</si>
  <si>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</si>
  <si>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</si>
  <si>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</si>
  <si>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</si>
  <si>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</si>
  <si>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</si>
  <si>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</si>
  <si>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</si>
  <si>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</si>
  <si>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</si>
  <si>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</si>
  <si>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</si>
  <si>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</si>
  <si>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</si>
  <si>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</si>
  <si>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</si>
  <si>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</si>
  <si>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</si>
  <si>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</si>
  <si>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</si>
  <si>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</si>
  <si>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</si>
  <si>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</si>
  <si>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</si>
  <si>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</si>
  <si>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</si>
  <si>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</si>
  <si>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</si>
  <si>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</si>
  <si>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</si>
  <si>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</si>
  <si>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</si>
  <si>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</si>
  <si>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</si>
  <si>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</si>
  <si>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</si>
  <si>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</si>
  <si>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</si>
  <si>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</si>
  <si>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</si>
  <si>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</si>
  <si>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</si>
  <si>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</si>
  <si>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</si>
  <si>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</si>
  <si>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</si>
  <si>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</si>
  <si>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</si>
  <si>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</si>
  <si>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</si>
  <si>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</si>
  <si>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</si>
  <si>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</si>
  <si>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</si>
  <si>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</si>
  <si>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</si>
  <si>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</si>
  <si>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</si>
  <si>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</si>
  <si>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</si>
  <si>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</si>
  <si>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</si>
  <si>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</si>
  <si>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</si>
  <si>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</si>
  <si>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</si>
  <si>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</si>
  <si>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</si>
  <si>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</si>
  <si>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</si>
  <si>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</si>
  <si>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</si>
  <si>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</si>
  <si>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</si>
  <si>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</si>
  <si>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</si>
  <si>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</si>
  <si>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</si>
  <si>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</si>
  <si>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</si>
  <si>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</si>
  <si>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</si>
  <si>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</si>
  <si>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</si>
  <si>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</si>
  <si>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</si>
  <si>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</si>
  <si>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</si>
  <si>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</si>
  <si>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</si>
  <si>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</si>
  <si>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</si>
  <si>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</si>
  <si>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</si>
  <si>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</si>
  <si>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</si>
  <si>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</si>
  <si>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</si>
  <si>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</si>
  <si>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</si>
  <si>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</si>
  <si>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</si>
  <si>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</si>
  <si>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</si>
  <si>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</si>
  <si>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</si>
  <si>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</si>
  <si>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</si>
  <si>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</si>
  <si>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</si>
  <si>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</si>
  <si>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</si>
  <si>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</si>
  <si>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</si>
  <si>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</si>
  <si>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</si>
  <si>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</si>
  <si>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</si>
  <si>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</si>
  <si>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</si>
  <si>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</si>
  <si>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</si>
  <si>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</si>
  <si>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</si>
  <si>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</si>
  <si>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</si>
  <si>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</si>
  <si>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</si>
  <si>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</si>
  <si>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</si>
  <si>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</si>
  <si>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</si>
  <si>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</si>
  <si>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</si>
  <si>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</si>
  <si>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</si>
  <si>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</si>
  <si>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</si>
  <si>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</si>
  <si>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</si>
  <si>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</si>
  <si>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</si>
  <si>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</si>
  <si>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</si>
  <si>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</si>
  <si>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</si>
  <si>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</si>
  <si>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</si>
  <si>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</si>
  <si>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</si>
  <si>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</si>
  <si>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</si>
  <si>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</si>
  <si>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</si>
  <si>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</si>
  <si>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</si>
  <si>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</si>
  <si>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</si>
  <si>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</si>
  <si>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</si>
  <si>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</si>
  <si>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</si>
  <si>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</si>
  <si>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</si>
  <si>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</si>
  <si>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</si>
  <si>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</si>
  <si>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</si>
  <si>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</si>
  <si>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</si>
  <si>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</si>
  <si>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</si>
  <si>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</si>
  <si>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</si>
  <si>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</si>
  <si>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</si>
  <si>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</si>
  <si>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</si>
  <si>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</si>
  <si>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</si>
  <si>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</si>
  <si>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</si>
  <si>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</si>
  <si>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</si>
  <si>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</si>
  <si>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</si>
  <si>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</si>
  <si>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</si>
  <si>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</si>
  <si>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</si>
  <si>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</si>
  <si>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</si>
  <si>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</si>
  <si>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</si>
  <si>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</si>
  <si>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</si>
  <si>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</si>
  <si>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</si>
  <si>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</si>
  <si>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</si>
  <si>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</si>
  <si>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</si>
  <si>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</si>
  <si>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</si>
  <si>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</si>
  <si>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</si>
  <si>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</si>
  <si>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</si>
  <si>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</si>
  <si>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</si>
  <si>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</si>
  <si>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</si>
  <si>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</si>
  <si>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</si>
  <si>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</si>
  <si>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</si>
  <si>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</si>
  <si>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</si>
  <si>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</si>
  <si>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</si>
  <si>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</si>
  <si>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</si>
  <si>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</si>
  <si>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</si>
  <si>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</si>
  <si>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</si>
  <si>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</si>
  <si>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</si>
  <si>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</si>
  <si>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</si>
  <si>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</si>
  <si>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</si>
  <si>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</si>
  <si>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</si>
  <si>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</si>
  <si>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</si>
  <si>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</si>
  <si>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</si>
  <si>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</si>
  <si>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</si>
  <si>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</si>
  <si>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</si>
  <si>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</si>
  <si>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</si>
  <si>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</si>
  <si>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</si>
  <si>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</si>
  <si>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</si>
  <si>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</si>
  <si>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</si>
  <si>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</si>
  <si>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</si>
  <si>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</si>
  <si>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</si>
  <si>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</si>
  <si>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</si>
  <si>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</si>
  <si>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</si>
  <si>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</si>
  <si>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</si>
  <si>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</si>
  <si>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</si>
  <si>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</si>
  <si>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</si>
  <si>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</si>
  <si>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</si>
  <si>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</si>
  <si>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</si>
  <si>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</si>
  <si>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</si>
  <si>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</si>
  <si>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</si>
  <si>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</si>
  <si>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</si>
  <si>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</si>
  <si>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</si>
  <si>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</si>
  <si>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</si>
  <si>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</si>
  <si>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</si>
  <si>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</si>
  <si>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</si>
  <si>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</si>
  <si>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</si>
  <si>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</si>
  <si>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</si>
  <si>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</si>
  <si>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</si>
  <si>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</si>
  <si>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</si>
  <si>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</si>
  <si>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</si>
  <si>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</si>
  <si>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</si>
  <si>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</si>
  <si>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</si>
  <si>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</si>
  <si>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</si>
  <si>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</si>
  <si>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</si>
  <si>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</si>
  <si>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</si>
  <si>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</si>
  <si>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</si>
  <si>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</si>
  <si>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</si>
  <si>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</si>
  <si>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</si>
  <si>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</si>
  <si>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</si>
  <si>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</si>
  <si>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</si>
  <si>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</si>
  <si>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</si>
  <si>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</si>
  <si>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</si>
  <si>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</si>
  <si>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</si>
  <si>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</si>
  <si>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</si>
  <si>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</si>
  <si>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</si>
  <si>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</si>
  <si>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</si>
  <si>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</si>
  <si>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</si>
  <si>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</si>
  <si>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</si>
  <si>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</si>
  <si>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</si>
  <si>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</si>
  <si>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</si>
  <si>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</si>
  <si>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</si>
  <si>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</si>
  <si>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</si>
  <si>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</si>
  <si>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</si>
  <si>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</si>
  <si>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</si>
  <si>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</si>
  <si>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</si>
  <si>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</si>
  <si>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</si>
  <si>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</si>
  <si>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</si>
  <si>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</si>
  <si>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</si>
  <si>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</si>
  <si>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</si>
  <si>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</si>
  <si>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</si>
  <si>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</si>
  <si>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</si>
  <si>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</si>
  <si>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</si>
  <si>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</si>
  <si>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</si>
  <si>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</si>
  <si>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</si>
  <si>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</si>
  <si>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</si>
  <si>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</si>
  <si>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</si>
  <si>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</si>
  <si>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</si>
  <si>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</si>
  <si>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</si>
  <si>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</si>
  <si>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</si>
  <si>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</si>
  <si>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</si>
  <si>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</si>
  <si>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</si>
  <si>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</si>
  <si>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</si>
  <si>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</si>
  <si>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</si>
  <si>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</si>
  <si>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</si>
  <si>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</si>
  <si>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</si>
  <si>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</si>
  <si>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</si>
  <si>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</si>
  <si>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</si>
  <si>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</si>
  <si>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</si>
  <si>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</si>
  <si>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</si>
  <si>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</si>
  <si>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</si>
  <si>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</si>
  <si>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</si>
  <si>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</si>
  <si>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</si>
  <si>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</si>
  <si>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</si>
  <si>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</si>
  <si>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</si>
  <si>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</si>
  <si>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</si>
  <si>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</si>
  <si>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</si>
  <si>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</si>
  <si>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</si>
  <si>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</si>
  <si>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</si>
  <si>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</si>
  <si>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</si>
  <si>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</si>
  <si>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</si>
  <si>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</si>
  <si>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</si>
  <si>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</si>
  <si>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</si>
  <si>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</si>
  <si>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</si>
  <si>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</si>
  <si>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</si>
  <si>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</si>
  <si>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</si>
  <si>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</si>
  <si>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</si>
  <si>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</si>
  <si>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</si>
  <si>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</si>
  <si>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</si>
  <si>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</si>
  <si>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</si>
  <si>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</si>
  <si>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</si>
  <si>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</si>
  <si>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</si>
  <si>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</si>
  <si>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</si>
  <si>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</si>
  <si>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</si>
  <si>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</si>
  <si>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</si>
  <si>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</si>
  <si>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</si>
  <si>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</si>
  <si>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</si>
  <si>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</si>
  <si>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</si>
  <si>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</si>
  <si>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</si>
  <si>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</si>
  <si>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</si>
  <si>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</si>
  <si>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</si>
  <si>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</si>
  <si>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</si>
  <si>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</si>
  <si>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</si>
  <si>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</si>
  <si>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</si>
  <si>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</si>
  <si>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</si>
  <si>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</si>
  <si>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</si>
  <si>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</si>
  <si>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</si>
  <si>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</si>
  <si>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</si>
  <si>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</si>
  <si>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</si>
  <si>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</si>
  <si>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</si>
  <si>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</si>
  <si>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</si>
  <si>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</si>
  <si>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</si>
  <si>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</si>
  <si>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</si>
  <si>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</si>
  <si>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</si>
  <si>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</si>
  <si>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</si>
  <si>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</si>
  <si>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</si>
  <si>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</si>
  <si>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</si>
  <si>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</si>
  <si>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</si>
  <si>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</si>
  <si>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</si>
  <si>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</si>
  <si>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</si>
  <si>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</si>
  <si>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</si>
  <si>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</si>
  <si>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</si>
  <si>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</si>
  <si>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</si>
  <si>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</si>
  <si>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</si>
  <si>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</si>
  <si>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</si>
  <si>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</si>
  <si>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</si>
  <si>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</si>
  <si>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</si>
  <si>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</si>
  <si>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</si>
  <si>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</si>
  <si>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</si>
  <si>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</si>
  <si>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</si>
  <si>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</si>
  <si>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</si>
  <si>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</si>
  <si>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</si>
  <si>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</si>
  <si>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</si>
  <si>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</si>
  <si>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</si>
  <si>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</si>
  <si>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</si>
  <si>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</si>
  <si>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</si>
  <si>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</si>
  <si>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</si>
  <si>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</si>
  <si>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</si>
  <si>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</si>
  <si>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</si>
  <si>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</si>
  <si>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</si>
  <si>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</si>
  <si>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</si>
  <si>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</si>
  <si>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</si>
  <si>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</si>
  <si>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</si>
  <si>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</si>
  <si>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</si>
  <si>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</si>
  <si>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</si>
  <si>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</si>
  <si>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</si>
  <si>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</si>
  <si>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</si>
  <si>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</si>
  <si>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</si>
  <si>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</si>
  <si>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</si>
  <si>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</si>
  <si>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</si>
  <si>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</si>
  <si>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</si>
  <si>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</si>
  <si>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</si>
  <si>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</si>
  <si>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</si>
  <si>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</si>
  <si>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</si>
  <si>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</si>
  <si>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</si>
  <si>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</si>
  <si>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</si>
  <si>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</si>
  <si>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</si>
  <si>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</si>
  <si>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</si>
  <si>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</si>
  <si>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</si>
  <si>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</si>
  <si>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</si>
  <si>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</si>
  <si>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</si>
  <si>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</si>
  <si>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</si>
  <si>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</si>
  <si>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</si>
  <si>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</si>
  <si>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</si>
  <si>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</si>
  <si>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</si>
  <si>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</si>
  <si>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</si>
  <si>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</si>
  <si>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</si>
  <si>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</si>
  <si>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</si>
  <si>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</si>
  <si>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</si>
  <si>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</si>
  <si>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</si>
  <si>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</si>
  <si>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</si>
  <si>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</si>
  <si>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</si>
  <si>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</si>
  <si>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</si>
  <si>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</si>
  <si>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</si>
  <si>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</si>
  <si>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</si>
  <si>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</si>
  <si>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</si>
  <si>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</si>
  <si>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</si>
  <si>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</si>
  <si>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</si>
  <si>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</si>
  <si>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</si>
  <si>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</si>
  <si>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</si>
  <si>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</si>
  <si>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</si>
  <si>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</si>
  <si>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</si>
  <si>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</si>
  <si>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</si>
  <si>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</si>
  <si>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</si>
  <si>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</si>
  <si>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</si>
  <si>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</si>
  <si>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</si>
  <si>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</si>
  <si>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</si>
  <si>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</si>
  <si>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</si>
  <si>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</si>
  <si>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</si>
  <si>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</si>
  <si>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</si>
  <si>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</si>
  <si>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</si>
  <si>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</si>
  <si>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</si>
  <si>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</si>
  <si>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</si>
  <si>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</si>
  <si>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</si>
  <si>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</si>
  <si>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</si>
  <si>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</si>
  <si>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</si>
  <si>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</si>
  <si>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</si>
  <si>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</si>
  <si>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</si>
  <si>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</si>
  <si>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</si>
  <si>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</si>
  <si>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</si>
  <si>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</si>
  <si>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</si>
  <si>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</si>
  <si>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</si>
  <si>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</si>
  <si>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</si>
  <si>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</si>
  <si>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</si>
  <si>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</si>
  <si>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</si>
  <si>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</si>
  <si>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</si>
  <si>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</si>
  <si>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</si>
  <si>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</si>
  <si>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</si>
  <si>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</si>
  <si>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</si>
  <si>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</si>
  <si>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</si>
  <si>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</si>
  <si>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</si>
  <si>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</si>
  <si>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</si>
  <si>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</si>
  <si>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</si>
  <si>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</si>
  <si>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</si>
  <si>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</si>
  <si>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</si>
  <si>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</si>
  <si>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</si>
  <si>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</si>
  <si>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</si>
  <si>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</si>
  <si>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</si>
  <si>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</si>
  <si>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</si>
  <si>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</si>
  <si>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</si>
  <si>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</si>
  <si>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</si>
  <si>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</si>
  <si>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</si>
  <si>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</si>
  <si>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</si>
  <si>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</si>
  <si>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</si>
  <si>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</si>
  <si>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</si>
  <si>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</si>
  <si>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</si>
  <si>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</si>
  <si>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</si>
  <si>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</si>
  <si>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</si>
  <si>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</si>
  <si>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</si>
  <si>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</si>
  <si>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</si>
  <si>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</si>
  <si>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</si>
  <si>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</si>
  <si>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</si>
  <si>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</si>
  <si>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</si>
  <si>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</si>
  <si>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</si>
  <si>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</si>
  <si>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</si>
  <si>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</si>
  <si>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</si>
  <si>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</si>
  <si>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</si>
  <si>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</si>
  <si>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</si>
  <si>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</si>
  <si>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</si>
  <si>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</si>
  <si>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</si>
  <si>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</si>
  <si>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</si>
  <si>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</si>
  <si>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</si>
  <si>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</si>
  <si>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</si>
  <si>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</si>
  <si>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</si>
  <si>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</si>
  <si>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</si>
  <si>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</si>
  <si>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</si>
  <si>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</si>
  <si>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</si>
  <si>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</si>
  <si>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</si>
  <si>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</si>
  <si>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</si>
  <si>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</si>
  <si>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</si>
  <si>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</si>
  <si>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</si>
  <si>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</si>
  <si>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</si>
  <si>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</si>
  <si>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</si>
  <si>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</si>
  <si>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</si>
  <si>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</si>
  <si>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</si>
  <si>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</si>
  <si>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</si>
  <si>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</si>
  <si>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</si>
  <si>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</si>
  <si>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</si>
  <si>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</si>
  <si>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</si>
  <si>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</si>
  <si>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</si>
  <si>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</si>
  <si>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</si>
  <si>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</si>
  <si>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</si>
  <si>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</si>
  <si>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</si>
  <si>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</si>
  <si>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</si>
  <si>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</si>
  <si>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</si>
  <si>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</si>
  <si>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</si>
  <si>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</si>
  <si>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</si>
  <si>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</si>
  <si>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</si>
  <si>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</si>
  <si>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</si>
  <si>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</si>
  <si>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</si>
  <si>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</si>
  <si>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</si>
  <si>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</si>
  <si>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</si>
  <si>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</si>
  <si>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</si>
  <si>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</si>
  <si>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</si>
  <si>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</si>
  <si>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</si>
  <si>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</si>
  <si>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</si>
  <si>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</si>
  <si>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</si>
  <si>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</si>
  <si>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</si>
  <si>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</si>
  <si>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</si>
  <si>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</si>
  <si>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</si>
  <si>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</si>
  <si>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</si>
  <si>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</si>
  <si>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</si>
  <si>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</si>
  <si>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</si>
  <si>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</si>
  <si>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</si>
  <si>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</si>
  <si>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</si>
  <si>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</si>
  <si>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</si>
  <si>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</si>
  <si>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</si>
  <si>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</si>
  <si>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</si>
  <si>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</si>
  <si>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</si>
  <si>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</si>
  <si>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</si>
  <si>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</si>
  <si>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</si>
  <si>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</si>
  <si>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</si>
  <si>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</si>
  <si>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</si>
  <si>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</si>
  <si>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</si>
  <si>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</si>
  <si>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</si>
  <si>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</si>
  <si>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</si>
  <si>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</si>
  <si>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</si>
  <si>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</si>
  <si>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</si>
  <si>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</si>
  <si>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</si>
  <si>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</si>
  <si>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</si>
  <si>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</si>
  <si>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</si>
  <si>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</si>
  <si>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</si>
  <si>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</si>
  <si>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</si>
  <si>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</si>
  <si>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</si>
  <si>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</si>
  <si>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</si>
  <si>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</si>
  <si>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</si>
  <si>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</si>
  <si>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</si>
  <si>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</si>
  <si>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</si>
  <si>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</si>
  <si>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</si>
  <si>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</si>
  <si>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</si>
  <si>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</si>
  <si>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</si>
  <si>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</si>
  <si>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</si>
  <si>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</si>
  <si>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</si>
  <si>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</si>
  <si>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</si>
  <si>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</si>
  <si>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</si>
  <si>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</si>
  <si>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</si>
  <si>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</si>
  <si>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</si>
  <si>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</si>
  <si>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</si>
  <si>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</si>
  <si>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</si>
  <si>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</si>
  <si>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</si>
  <si>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</si>
  <si>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</si>
  <si>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</si>
  <si>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</si>
  <si>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</si>
  <si>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</si>
  <si>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</si>
  <si>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</si>
  <si>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</si>
  <si>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</si>
  <si>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</si>
  <si>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</si>
  <si>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</si>
  <si>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</si>
  <si>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</si>
  <si>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</si>
  <si>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</si>
  <si>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</si>
  <si>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</si>
  <si>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</si>
  <si>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</si>
  <si>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</si>
  <si>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</si>
  <si>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</si>
  <si>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</si>
  <si>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</si>
  <si>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</si>
  <si>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</si>
  <si>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</si>
  <si>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</si>
  <si>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</si>
  <si>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</si>
  <si>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</si>
  <si>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</si>
  <si>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</si>
  <si>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</si>
  <si>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</si>
  <si>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</si>
  <si>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</si>
  <si>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</si>
  <si>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</si>
  <si>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</si>
  <si>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</si>
  <si>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</si>
  <si>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</si>
  <si>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</si>
  <si>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</si>
  <si>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</si>
  <si>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</si>
  <si>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</si>
  <si>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</si>
  <si>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</si>
  <si>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</si>
  <si>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</si>
  <si>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</si>
  <si>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</si>
  <si>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</si>
  <si>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</si>
  <si>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</si>
  <si>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</si>
  <si>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</si>
  <si>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</si>
  <si>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</si>
  <si>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</si>
  <si>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</si>
  <si>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</si>
  <si>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</si>
  <si>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</si>
  <si>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</si>
  <si>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</si>
  <si>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</si>
  <si>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</si>
  <si>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</si>
  <si>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</si>
  <si>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</si>
  <si>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</si>
  <si>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</si>
  <si>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</si>
  <si>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</si>
  <si>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</si>
  <si>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</si>
  <si>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</si>
  <si>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</si>
  <si>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</si>
  <si>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</si>
  <si>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</si>
  <si>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</si>
  <si>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</si>
  <si>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</si>
  <si>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</si>
  <si>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</si>
  <si>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</si>
  <si>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</si>
  <si>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</si>
  <si>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</si>
  <si>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</si>
  <si>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</si>
  <si>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</si>
  <si>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</si>
  <si>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</si>
  <si>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</si>
  <si>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</si>
  <si>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</si>
  <si>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</si>
  <si>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</si>
  <si>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</si>
  <si>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</si>
  <si>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</si>
  <si>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</si>
  <si>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</si>
  <si>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</si>
  <si>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</si>
  <si>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</si>
  <si>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</si>
  <si>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</si>
  <si>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</si>
  <si>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</si>
  <si>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</si>
  <si>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</si>
  <si>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</si>
  <si>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</si>
  <si>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</si>
  <si>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</si>
  <si>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</si>
  <si>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</si>
  <si>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</si>
  <si>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</si>
  <si>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</si>
  <si>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</si>
  <si>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</si>
  <si>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</si>
  <si>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</si>
  <si>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</si>
  <si>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</si>
  <si>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</si>
  <si>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</si>
  <si>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</si>
  <si>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</si>
  <si>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</si>
  <si>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</si>
  <si>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</si>
  <si>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</si>
  <si>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</si>
  <si>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</si>
  <si>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</si>
  <si>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</si>
  <si>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</si>
  <si>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</si>
  <si>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</si>
  <si>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</si>
  <si>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</si>
  <si>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</si>
  <si>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</si>
  <si>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</si>
  <si>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</si>
  <si>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</si>
  <si>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</si>
  <si>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</si>
  <si>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</si>
  <si>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</si>
  <si>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</si>
  <si>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</si>
  <si>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</si>
  <si>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</si>
  <si>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</si>
  <si>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</si>
  <si>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</si>
  <si>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</si>
  <si>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</si>
  <si>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</si>
  <si>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</si>
  <si>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</si>
  <si>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</si>
  <si>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</si>
  <si>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</si>
  <si>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</si>
  <si>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</si>
  <si>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</si>
  <si>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</si>
  <si>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</si>
  <si>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</si>
  <si>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</si>
  <si>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</si>
  <si>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</si>
  <si>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</si>
  <si>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</si>
  <si>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</si>
  <si>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</si>
  <si>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</si>
  <si>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</si>
  <si>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</si>
  <si>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</si>
  <si>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</si>
  <si>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</si>
  <si>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</si>
  <si>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</si>
  <si>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</si>
  <si>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</si>
  <si>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</si>
  <si>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</si>
  <si>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</si>
  <si>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</si>
  <si>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</si>
  <si>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</si>
  <si>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</si>
  <si>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</si>
  <si>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</si>
  <si>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</si>
  <si>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</si>
  <si>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</si>
  <si>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</si>
  <si>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</si>
  <si>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</si>
  <si>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</si>
  <si>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</si>
  <si>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</si>
  <si>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</si>
  <si>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</si>
  <si>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</si>
  <si>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</si>
  <si>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</si>
  <si>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</si>
  <si>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</si>
  <si>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</si>
  <si>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</si>
  <si>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</si>
  <si>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</si>
  <si>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</si>
  <si>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</si>
  <si>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</si>
  <si>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</si>
  <si>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</si>
  <si>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</si>
  <si>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</si>
  <si>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</si>
  <si>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</si>
  <si>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</si>
  <si>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</si>
  <si>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</si>
  <si>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</si>
  <si>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</si>
  <si>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</si>
  <si>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</si>
  <si>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</si>
  <si>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</si>
  <si>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</si>
  <si>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</si>
  <si>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</si>
  <si>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</si>
  <si>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</si>
  <si>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</si>
  <si>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</si>
  <si>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</si>
  <si>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</si>
  <si>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</si>
  <si>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</si>
  <si>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</si>
  <si>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</si>
  <si>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</si>
  <si>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</si>
  <si>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</si>
  <si>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</si>
  <si>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</si>
  <si>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</si>
  <si>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</si>
  <si>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</si>
  <si>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</si>
  <si>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</si>
  <si>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</si>
  <si>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</si>
  <si>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</si>
  <si>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</si>
  <si>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</si>
  <si>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</si>
  <si>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</si>
  <si>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</si>
  <si>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</si>
  <si>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</si>
  <si>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</si>
  <si>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</si>
  <si>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</si>
  <si>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</si>
  <si>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</si>
  <si>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</si>
  <si>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</si>
  <si>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</si>
  <si>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</si>
  <si>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</si>
  <si>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</si>
  <si>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</si>
  <si>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</si>
  <si>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</si>
  <si>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</si>
  <si>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</si>
  <si>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</si>
  <si>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</si>
  <si>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</si>
  <si>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</si>
  <si>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</si>
  <si>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</si>
  <si>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</si>
  <si>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</si>
  <si>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</si>
  <si>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</si>
  <si>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</si>
  <si>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</si>
  <si>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</si>
  <si>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</si>
  <si>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</si>
  <si>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</si>
  <si>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</si>
  <si>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</si>
  <si>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</si>
  <si>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</si>
  <si>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</si>
  <si>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</si>
  <si>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</si>
  <si>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</si>
  <si>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</si>
  <si>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</si>
  <si>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</si>
  <si>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</si>
  <si>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</si>
  <si>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</si>
  <si>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</si>
  <si>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</si>
  <si>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</si>
  <si>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</si>
  <si>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</si>
  <si>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</si>
  <si>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</si>
  <si>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</si>
  <si>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</si>
  <si>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</si>
  <si>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</si>
  <si>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</si>
  <si>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</si>
  <si>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</si>
  <si>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</si>
  <si>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</si>
  <si>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</si>
  <si>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</si>
  <si>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</si>
  <si>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</si>
  <si>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</si>
  <si>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</si>
  <si>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</si>
  <si>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</si>
  <si>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</si>
  <si>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</si>
  <si>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</si>
  <si>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</si>
  <si>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</si>
  <si>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</si>
  <si>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</si>
  <si>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</si>
  <si>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</si>
  <si>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</si>
  <si>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</si>
  <si>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</si>
  <si>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</si>
  <si>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</si>
  <si>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</si>
  <si>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</si>
  <si>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</si>
  <si>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</si>
  <si>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</si>
  <si>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</si>
  <si>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</si>
  <si>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</si>
  <si>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</si>
  <si>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</si>
  <si>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</si>
  <si>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</si>
  <si>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</si>
  <si>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</si>
  <si>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</si>
  <si>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</si>
  <si>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</si>
  <si>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</si>
  <si>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</si>
  <si>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</si>
  <si>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</si>
  <si>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</si>
  <si>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</si>
  <si>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</si>
  <si>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</si>
  <si>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</si>
  <si>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</si>
  <si>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</si>
  <si>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</si>
  <si>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</si>
  <si>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</si>
  <si>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</si>
  <si>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</si>
  <si>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</si>
  <si>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</si>
  <si>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</si>
  <si>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</si>
  <si>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</si>
  <si>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</si>
  <si>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</si>
  <si>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</si>
  <si>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</si>
  <si>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</si>
  <si>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</si>
  <si>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</si>
  <si>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</si>
  <si>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</si>
  <si>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</si>
  <si>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</si>
  <si>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</si>
  <si>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</si>
  <si>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</si>
  <si>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</si>
  <si>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</si>
  <si>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</si>
  <si>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</si>
  <si>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</si>
  <si>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</si>
  <si>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</si>
  <si>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</si>
  <si>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</si>
  <si>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</si>
  <si>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</si>
  <si>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</si>
  <si>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</si>
  <si>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</si>
  <si>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</si>
  <si>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</si>
  <si>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</si>
  <si>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</si>
  <si>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</si>
  <si>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</si>
  <si>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</si>
  <si>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</si>
  <si>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</si>
  <si>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</si>
  <si>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</si>
  <si>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</si>
  <si>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</si>
  <si>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</si>
  <si>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</si>
  <si>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</si>
  <si>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</si>
  <si>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</si>
  <si>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</si>
  <si>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</si>
  <si>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</si>
  <si>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</si>
  <si>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</si>
  <si>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</si>
  <si>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</si>
  <si>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</si>
  <si>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</si>
  <si>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</si>
  <si>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</si>
  <si>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</si>
  <si>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</si>
  <si>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</si>
  <si>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</si>
  <si>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</si>
  <si>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</si>
  <si>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</si>
  <si>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</si>
  <si>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</si>
  <si>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</si>
  <si>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</si>
  <si>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</si>
  <si>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</si>
  <si>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</si>
  <si>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</si>
  <si>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</si>
  <si>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</si>
  <si>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</si>
  <si>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</si>
  <si>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</si>
  <si>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</si>
  <si>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</si>
  <si>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</si>
  <si>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</si>
  <si>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</si>
  <si>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</si>
  <si>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</si>
  <si>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</si>
  <si>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</si>
  <si>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</si>
  <si>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</si>
  <si>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</si>
  <si>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</si>
  <si>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</si>
  <si>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</si>
  <si>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</si>
  <si>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</si>
  <si>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</si>
  <si>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</si>
  <si>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</si>
  <si>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</si>
  <si>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</si>
  <si>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</si>
  <si>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</si>
  <si>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</si>
  <si>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</si>
  <si>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</si>
  <si>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</si>
  <si>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</si>
  <si>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</si>
  <si>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</si>
  <si>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</si>
  <si>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</si>
  <si>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</si>
  <si>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</si>
  <si>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</si>
  <si>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</si>
  <si>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</si>
  <si>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</si>
  <si>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</si>
  <si>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</si>
  <si>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</si>
  <si>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</si>
  <si>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</si>
  <si>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</si>
  <si>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</si>
  <si>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</si>
  <si>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</si>
  <si>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</si>
  <si>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</si>
  <si>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</si>
  <si>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</si>
  <si>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</si>
  <si>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</si>
  <si>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</si>
  <si>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</si>
  <si>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</si>
  <si>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</si>
  <si>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</si>
  <si>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</si>
  <si>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</si>
  <si>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</si>
  <si>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</si>
  <si>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</si>
  <si>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</si>
  <si>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</si>
  <si>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</si>
  <si>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</si>
  <si>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</si>
  <si>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</si>
  <si>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</si>
  <si>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</si>
  <si>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</si>
  <si>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</si>
  <si>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</si>
  <si>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</si>
  <si>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</si>
  <si>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</si>
  <si>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</si>
  <si>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</si>
  <si>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</si>
  <si>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</si>
  <si>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</si>
  <si>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</si>
  <si>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</si>
  <si>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</si>
  <si>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</si>
  <si>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</si>
  <si>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</si>
  <si>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</si>
  <si>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</si>
  <si>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</si>
  <si>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</si>
  <si>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</si>
  <si>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</si>
  <si>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</si>
  <si>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</si>
  <si>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</si>
  <si>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</si>
  <si>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</si>
  <si>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</si>
  <si>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</si>
  <si>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</si>
  <si>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</si>
  <si>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</si>
  <si>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</si>
  <si>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</si>
  <si>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</si>
  <si>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</si>
  <si>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</si>
  <si>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</si>
  <si>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</si>
  <si>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</si>
  <si>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</si>
  <si>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</si>
  <si>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</si>
  <si>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</si>
  <si>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</si>
  <si>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</si>
  <si>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</si>
  <si>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</si>
  <si>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</si>
  <si>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</si>
  <si>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</si>
  <si>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</si>
  <si>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</si>
  <si>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</si>
  <si>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</si>
  <si>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</si>
  <si>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</si>
  <si>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</si>
  <si>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</si>
  <si>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</si>
  <si>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</si>
  <si>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</si>
  <si>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</si>
  <si>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</si>
  <si>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</si>
  <si>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</si>
  <si>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</si>
  <si>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</si>
  <si>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</si>
  <si>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</si>
  <si>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</si>
  <si>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</si>
  <si>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</si>
  <si>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</si>
  <si>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</si>
  <si>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</si>
  <si>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</si>
  <si>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</si>
  <si>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</si>
  <si>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</si>
  <si>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</si>
  <si>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</si>
  <si>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</si>
  <si>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</si>
  <si>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</si>
  <si>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</si>
  <si>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</si>
  <si>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</si>
  <si>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</si>
  <si>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</si>
  <si>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</si>
  <si>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</si>
  <si>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</si>
  <si>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</si>
  <si>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</si>
  <si>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</si>
  <si>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</si>
  <si>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</si>
  <si>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</si>
  <si>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</si>
  <si>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</si>
  <si>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</si>
  <si>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</si>
  <si>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</si>
  <si>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</si>
  <si>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</si>
  <si>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</si>
  <si>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</si>
  <si>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</si>
  <si>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</si>
  <si>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</si>
  <si>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</si>
  <si>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</si>
  <si>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</si>
  <si>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</si>
  <si>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</si>
  <si>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</si>
  <si>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</si>
  <si>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</si>
  <si>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</si>
  <si>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</si>
  <si>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</si>
  <si>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</si>
  <si>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</si>
  <si>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</si>
  <si>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</si>
  <si>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</si>
  <si>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</si>
  <si>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</si>
  <si>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</si>
  <si>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</si>
  <si>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</si>
  <si>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</si>
  <si>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</si>
  <si>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</si>
  <si>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</si>
  <si>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</si>
  <si>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</si>
  <si>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</si>
  <si>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</si>
  <si>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</si>
  <si>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</si>
  <si>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</si>
  <si>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</si>
  <si>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</si>
  <si>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</si>
  <si>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</si>
  <si>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</si>
  <si>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</si>
  <si>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</si>
  <si>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</si>
  <si>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</si>
  <si>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</si>
  <si>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</si>
  <si>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</si>
  <si>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</si>
  <si>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</si>
  <si>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</si>
  <si>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</si>
  <si>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</si>
  <si>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</si>
  <si>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</si>
  <si>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</si>
  <si>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</si>
  <si>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</si>
  <si>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</si>
  <si>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</si>
  <si>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</si>
  <si>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</si>
  <si>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</si>
  <si>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</si>
  <si>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</si>
  <si>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</si>
  <si>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</si>
  <si>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</si>
  <si>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</si>
  <si>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</si>
  <si>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</si>
  <si>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</si>
  <si>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</si>
  <si>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</si>
  <si>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</si>
  <si>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</si>
  <si>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</si>
  <si>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</si>
  <si>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</si>
  <si>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</si>
  <si>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</si>
  <si>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</si>
  <si>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</si>
  <si>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</si>
  <si>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</si>
  <si>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</si>
  <si>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</si>
  <si>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</si>
  <si>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</si>
  <si>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</si>
  <si>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</si>
  <si>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</si>
  <si>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</si>
  <si>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</si>
  <si>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</si>
  <si>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</si>
  <si>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</si>
  <si>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</si>
  <si>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</si>
  <si>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</si>
  <si>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</si>
  <si>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</si>
  <si>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</si>
  <si>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</si>
  <si>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</si>
  <si>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</si>
  <si>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</si>
  <si>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</si>
  <si>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</si>
  <si>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</si>
  <si>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</si>
  <si>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</si>
  <si>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</si>
  <si>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</si>
  <si>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</si>
  <si>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</si>
  <si>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</si>
  <si>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</si>
  <si>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</si>
  <si>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</si>
  <si>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</si>
  <si>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</si>
  <si>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</si>
  <si>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</si>
  <si>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</si>
  <si>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</si>
  <si>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</si>
  <si>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</si>
  <si>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</si>
  <si>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</si>
  <si>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</si>
  <si>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</si>
  <si>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</si>
  <si>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</si>
  <si>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</si>
  <si>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</si>
  <si>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</si>
  <si>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</si>
  <si>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</si>
  <si>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</si>
  <si>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</si>
  <si>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</si>
  <si>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</si>
  <si>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</si>
  <si>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</si>
  <si>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</si>
  <si>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</si>
  <si>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</si>
  <si>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</si>
  <si>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</si>
  <si>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</si>
  <si>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</si>
  <si>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</si>
  <si>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</si>
  <si>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</si>
  <si>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</si>
  <si>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</si>
  <si>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</si>
  <si>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</si>
  <si>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</si>
  <si>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</si>
  <si>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</si>
  <si>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</si>
  <si>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</si>
  <si>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</si>
  <si>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</si>
  <si>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</si>
  <si>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</si>
  <si>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</si>
  <si>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</si>
  <si>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</si>
  <si>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</si>
  <si>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</si>
  <si>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</si>
  <si>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</si>
  <si>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</si>
  <si>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</si>
  <si>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</si>
  <si>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</si>
  <si>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</si>
  <si>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</si>
  <si>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</si>
  <si>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</si>
  <si>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</si>
  <si>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</si>
  <si>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</si>
  <si>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</si>
  <si>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</si>
  <si>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</si>
  <si>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</si>
  <si>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</si>
  <si>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</si>
  <si>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</si>
  <si>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</si>
  <si>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</si>
  <si>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</si>
  <si>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</si>
  <si>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</si>
  <si>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</si>
  <si>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</si>
  <si>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</si>
  <si>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</si>
  <si>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</si>
  <si>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</si>
  <si>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</si>
  <si>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</si>
  <si>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</si>
  <si>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</si>
  <si>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</si>
  <si>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</si>
  <si>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</si>
  <si>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</si>
  <si>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</si>
  <si>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</si>
  <si>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</si>
  <si>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</si>
  <si>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</si>
  <si>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</si>
  <si>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</si>
  <si>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</si>
  <si>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</si>
  <si>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</si>
  <si>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</si>
  <si>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</si>
  <si>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</si>
  <si>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</si>
  <si>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</si>
  <si>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</si>
  <si>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</si>
  <si>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</si>
  <si>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</si>
  <si>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</si>
  <si>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</si>
  <si>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</si>
  <si>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</si>
  <si>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</si>
  <si>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</si>
  <si>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</si>
  <si>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</si>
  <si>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</si>
  <si>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</si>
  <si>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</si>
  <si>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</si>
  <si>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</si>
  <si>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</si>
  <si>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</si>
  <si>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</si>
  <si>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</si>
  <si>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</si>
  <si>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</si>
  <si>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</si>
  <si>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</si>
  <si>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</si>
  <si>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</si>
  <si>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</si>
  <si>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</si>
  <si>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</si>
  <si>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</si>
  <si>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</si>
  <si>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</si>
  <si>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</si>
  <si>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</si>
  <si>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</si>
  <si>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</si>
  <si>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</si>
  <si>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</si>
  <si>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</si>
  <si>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</si>
  <si>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</si>
  <si>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</si>
  <si>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</si>
  <si>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</si>
  <si>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</si>
  <si>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</si>
  <si>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</si>
  <si>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</si>
  <si>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</si>
  <si>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</si>
  <si>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</si>
  <si>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</si>
  <si>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</si>
  <si>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</si>
  <si>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</si>
  <si>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</si>
  <si>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</si>
  <si>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</si>
  <si>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</si>
  <si>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</si>
  <si>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</si>
  <si>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</si>
  <si>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</si>
  <si>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</si>
  <si>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</si>
  <si>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</si>
  <si>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</si>
  <si>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</si>
  <si>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</si>
  <si>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</si>
  <si>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</si>
  <si>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</si>
  <si>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</si>
  <si>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</si>
  <si>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</si>
  <si>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</si>
  <si>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</si>
  <si>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</si>
  <si>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</si>
  <si>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</si>
  <si>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</si>
  <si>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</si>
  <si>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</si>
  <si>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</si>
  <si>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</si>
  <si>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</si>
  <si>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</si>
  <si>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</si>
  <si>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</si>
  <si>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</si>
  <si>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</si>
  <si>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</si>
  <si>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</si>
  <si>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</si>
  <si>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</si>
  <si>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</si>
  <si>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</si>
  <si>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</si>
  <si>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</si>
  <si>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</si>
  <si>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</si>
  <si>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</si>
  <si>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</si>
  <si>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</si>
  <si>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</si>
  <si>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</si>
  <si>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</si>
  <si>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</si>
  <si>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</si>
  <si>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</si>
  <si>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</si>
  <si>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</si>
  <si>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</si>
  <si>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</si>
  <si>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</si>
  <si>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</si>
  <si>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</si>
  <si>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</si>
  <si>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</si>
  <si>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</si>
  <si>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</si>
  <si>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</si>
  <si>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</si>
  <si>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</si>
  <si>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</si>
  <si>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</si>
  <si>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</si>
  <si>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</si>
  <si>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</si>
  <si>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</si>
  <si>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</si>
  <si>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</si>
  <si>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</si>
  <si>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</si>
  <si>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</si>
  <si>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</si>
  <si>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</si>
  <si>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</si>
  <si>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</si>
  <si>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</si>
  <si>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</si>
  <si>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</si>
  <si>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</si>
  <si>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</si>
  <si>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</si>
  <si>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</si>
  <si>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</si>
  <si>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</si>
  <si>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</si>
  <si>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</si>
  <si>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</si>
  <si>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</si>
  <si>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</si>
  <si>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</si>
  <si>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</si>
  <si>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</si>
  <si>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</si>
  <si>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</si>
  <si>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</si>
  <si>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</si>
  <si>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</si>
  <si>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</si>
  <si>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</si>
  <si>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</si>
  <si>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</si>
  <si>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</si>
  <si>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</si>
  <si>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</si>
  <si>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</si>
  <si>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</si>
  <si>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</si>
  <si>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</si>
  <si>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</si>
  <si>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</si>
  <si>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</si>
  <si>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</si>
  <si>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</si>
  <si>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</si>
  <si>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</si>
  <si>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</si>
  <si>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</si>
  <si>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</si>
  <si>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</si>
  <si>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</si>
  <si>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</si>
  <si>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</si>
  <si>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</si>
  <si>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</si>
  <si>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</si>
  <si>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</si>
  <si>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</si>
  <si>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</si>
  <si>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</si>
  <si>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</si>
  <si>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</si>
  <si>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</si>
  <si>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</si>
  <si>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</si>
  <si>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</si>
  <si>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</si>
  <si>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</si>
  <si>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</si>
  <si>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</si>
  <si>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</si>
  <si>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</si>
  <si>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</si>
  <si>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</si>
  <si>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</si>
  <si>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</si>
  <si>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</si>
  <si>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</si>
  <si>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</si>
  <si>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</si>
  <si>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</si>
  <si>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</si>
  <si>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</si>
  <si>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</si>
  <si>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</si>
  <si>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</si>
  <si>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</si>
  <si>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</si>
  <si>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</si>
  <si>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</si>
  <si>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</si>
  <si>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</si>
  <si>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</si>
  <si>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</si>
  <si>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</si>
  <si>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</si>
  <si>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</si>
  <si>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</si>
  <si>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</si>
  <si>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</si>
  <si>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</si>
  <si>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</si>
  <si>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</si>
  <si>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</si>
  <si>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</si>
  <si>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</si>
  <si>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</si>
  <si>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</si>
  <si>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</si>
  <si>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</si>
  <si>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</si>
  <si>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</si>
  <si>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</si>
  <si>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</si>
  <si>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</si>
  <si>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</si>
  <si>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</si>
  <si>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</si>
  <si>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</si>
  <si>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</si>
  <si>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</si>
  <si>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</si>
  <si>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</si>
  <si>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</si>
  <si>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</si>
  <si>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</si>
  <si>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</si>
  <si>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</si>
  <si>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</si>
  <si>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</si>
  <si>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</si>
  <si>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</si>
  <si>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</si>
  <si>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</si>
  <si>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</si>
  <si>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</si>
  <si>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</si>
  <si>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</si>
  <si>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</si>
  <si>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</si>
  <si>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</si>
  <si>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</si>
  <si>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</si>
  <si>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</si>
  <si>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</si>
  <si>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</si>
  <si>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</si>
  <si>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</si>
  <si>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</si>
  <si>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</si>
  <si>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</si>
  <si>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</si>
  <si>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</si>
  <si>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</si>
  <si>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</si>
  <si>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</si>
  <si>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</si>
  <si>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</si>
  <si>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</si>
  <si>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</si>
  <si>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</si>
  <si>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</si>
  <si>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</si>
  <si>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</si>
  <si>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</si>
  <si>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</si>
  <si>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</si>
  <si>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</si>
  <si>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</si>
  <si>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</si>
  <si>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</si>
  <si>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</si>
  <si>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</si>
  <si>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</si>
  <si>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</si>
  <si>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</si>
  <si>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</si>
  <si>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</si>
  <si>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</si>
  <si>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</si>
  <si>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</si>
  <si>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</si>
  <si>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</si>
  <si>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</si>
  <si>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</si>
  <si>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</si>
  <si>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</si>
  <si>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</si>
  <si>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</si>
  <si>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</si>
  <si>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</si>
  <si>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</si>
  <si>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</si>
  <si>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</si>
  <si>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</si>
  <si>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</si>
  <si>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</si>
  <si>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</si>
  <si>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</si>
  <si>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</si>
  <si>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</si>
  <si>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</si>
  <si>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</si>
  <si>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</si>
  <si>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</si>
  <si>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</si>
  <si>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</si>
  <si>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</si>
  <si>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</si>
  <si>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</si>
  <si>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</si>
  <si>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</si>
  <si>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</si>
  <si>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</si>
  <si>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</si>
  <si>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</si>
  <si>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</si>
  <si>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</si>
  <si>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</si>
  <si>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</si>
  <si>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</si>
  <si>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</si>
  <si>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</si>
  <si>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</si>
  <si>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</si>
  <si>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</si>
  <si>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</si>
  <si>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</si>
  <si>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</si>
  <si>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</si>
  <si>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</si>
  <si>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</si>
  <si>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</si>
  <si>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</si>
  <si>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</si>
  <si>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</si>
  <si>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</si>
  <si>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</si>
  <si>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</si>
  <si>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</si>
  <si>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</si>
  <si>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</si>
  <si>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</si>
  <si>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</si>
  <si>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</si>
  <si>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</si>
  <si>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</si>
  <si>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</si>
  <si>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</si>
  <si>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</si>
  <si>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</si>
  <si>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</si>
  <si>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</si>
  <si>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</si>
  <si>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</si>
  <si>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</si>
  <si>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</si>
  <si>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</si>
  <si>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</si>
  <si>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</si>
  <si>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</si>
  <si>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</si>
  <si>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</si>
  <si>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</si>
  <si>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</si>
  <si>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</si>
  <si>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</si>
  <si>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</si>
  <si>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</si>
  <si>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</si>
  <si>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</si>
  <si>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</si>
  <si>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</si>
  <si>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</si>
  <si>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</si>
  <si>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</si>
  <si>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</si>
  <si>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</si>
  <si>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</si>
  <si>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</si>
  <si>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</si>
  <si>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</si>
  <si>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</si>
  <si>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</si>
  <si>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</si>
  <si>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</si>
  <si>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</si>
  <si>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</si>
  <si>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</si>
  <si>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</si>
  <si>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</si>
  <si>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</si>
  <si>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</si>
  <si>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</si>
  <si>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</si>
  <si>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</si>
  <si>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</si>
  <si>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</si>
  <si>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</si>
  <si>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</si>
  <si>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</si>
  <si>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</si>
  <si>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</si>
  <si>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</si>
  <si>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</si>
  <si>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</si>
  <si>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</si>
  <si>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</si>
  <si>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</si>
  <si>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</si>
  <si>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</si>
  <si>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</si>
  <si>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</si>
  <si>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</si>
  <si>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</si>
  <si>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</si>
  <si>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</si>
  <si>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</si>
  <si>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</si>
  <si>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</si>
  <si>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</si>
  <si>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</si>
  <si>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</si>
  <si>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</si>
  <si>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</si>
  <si>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</si>
  <si>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</si>
  <si>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</si>
  <si>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</si>
  <si>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</si>
  <si>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</si>
  <si>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</si>
  <si>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</si>
  <si>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</si>
  <si>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</si>
  <si>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</si>
  <si>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</si>
  <si>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</si>
  <si>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</si>
  <si>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</si>
  <si>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</si>
  <si>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</si>
  <si>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</si>
  <si>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</si>
  <si>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</si>
  <si>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</si>
  <si>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</si>
  <si>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</si>
  <si>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</si>
  <si>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</si>
  <si>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</si>
  <si>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</si>
  <si>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</si>
  <si>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</si>
  <si>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</si>
  <si>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</si>
  <si>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</si>
  <si>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</si>
  <si>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</si>
  <si>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</si>
  <si>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</si>
  <si>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</si>
  <si>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</si>
  <si>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</si>
  <si>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</si>
  <si>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</si>
  <si>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</si>
  <si>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</si>
  <si>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</si>
  <si>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</si>
  <si>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</si>
  <si>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</si>
  <si>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</si>
  <si>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</si>
  <si>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</si>
  <si>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</si>
  <si>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</si>
  <si>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</si>
  <si>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</si>
  <si>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</si>
  <si>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</si>
  <si>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</si>
  <si>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</si>
  <si>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</si>
  <si>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</si>
  <si>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</si>
  <si>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</si>
  <si>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</si>
  <si>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</si>
  <si>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</si>
  <si>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</si>
  <si>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</si>
  <si>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</si>
  <si>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</si>
  <si>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</si>
  <si>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</si>
  <si>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</si>
  <si>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</si>
  <si>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</si>
  <si>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</si>
  <si>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</si>
  <si>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</si>
  <si>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</si>
  <si>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</si>
  <si>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</si>
  <si>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</si>
  <si>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</si>
  <si>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</si>
  <si>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</si>
  <si>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</si>
  <si>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</si>
  <si>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</si>
  <si>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</si>
  <si>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</si>
  <si>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</si>
  <si>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</si>
  <si>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</si>
  <si>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</si>
  <si>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</si>
  <si>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</si>
  <si>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</si>
  <si>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</si>
  <si>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</si>
  <si>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</si>
  <si>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</si>
  <si>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</si>
  <si>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</si>
  <si>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</si>
  <si>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</si>
  <si>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</si>
  <si>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</si>
  <si>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</si>
  <si>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</si>
  <si>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</si>
  <si>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</si>
  <si>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</si>
  <si>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</si>
  <si>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</si>
  <si>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</si>
  <si>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</si>
  <si>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</si>
  <si>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</si>
  <si>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</si>
  <si>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</si>
  <si>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</si>
  <si>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</si>
  <si>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</si>
  <si>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</si>
  <si>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</si>
  <si>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</si>
  <si>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</si>
  <si>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</si>
  <si>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</si>
  <si>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</si>
  <si>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</si>
  <si>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</si>
  <si>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</si>
  <si>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</si>
  <si>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</si>
  <si>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</si>
  <si>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</si>
  <si>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</si>
  <si>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</si>
  <si>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</si>
  <si>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</si>
  <si>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</si>
  <si>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</si>
  <si>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</si>
  <si>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</si>
  <si>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</si>
  <si>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</si>
  <si>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</si>
  <si>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</si>
  <si>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</si>
  <si>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</si>
  <si>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</si>
  <si>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</si>
  <si>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</si>
  <si>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</si>
  <si>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</si>
  <si>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</si>
  <si>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</si>
  <si>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</si>
  <si>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</si>
  <si>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</si>
  <si>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</si>
  <si>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</si>
  <si>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</si>
  <si>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</si>
  <si>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</si>
  <si>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</si>
  <si>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</si>
  <si>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</si>
  <si>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</si>
  <si>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</si>
  <si>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</si>
  <si>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</si>
  <si>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</si>
  <si>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</si>
  <si>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</si>
  <si>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</si>
  <si>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</si>
  <si>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</si>
  <si>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</si>
  <si>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</si>
  <si>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</si>
  <si>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</si>
  <si>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</si>
  <si>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</si>
  <si>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</si>
  <si>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</si>
  <si>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</si>
  <si>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</si>
  <si>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</si>
  <si>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</si>
  <si>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</si>
  <si>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</si>
  <si>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</si>
  <si>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</si>
  <si>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</si>
  <si>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</si>
  <si>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</si>
  <si>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</si>
  <si>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</si>
  <si>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</si>
  <si>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</si>
  <si>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</si>
  <si>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</si>
  <si>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</si>
  <si>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</si>
  <si>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</si>
  <si>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</si>
  <si>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</si>
  <si>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</si>
  <si>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</si>
  <si>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</si>
  <si>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</si>
  <si>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</si>
  <si>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</si>
  <si>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</si>
  <si>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</si>
  <si>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</si>
  <si>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</si>
  <si>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</si>
  <si>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</si>
  <si>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</si>
  <si>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</si>
  <si>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</si>
  <si>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</si>
  <si>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</si>
  <si>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</si>
  <si>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</si>
  <si>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</si>
  <si>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</si>
  <si>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</si>
  <si>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</si>
  <si>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</si>
  <si>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</si>
  <si>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</si>
  <si>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</si>
  <si>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</si>
  <si>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</si>
  <si>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</si>
  <si>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</si>
  <si>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</si>
  <si>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</si>
  <si>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</si>
  <si>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</si>
  <si>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</si>
  <si>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</si>
  <si>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</si>
  <si>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</si>
  <si>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</si>
  <si>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</si>
  <si>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</si>
  <si>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</si>
  <si>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</si>
  <si>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</si>
  <si>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</si>
  <si>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</si>
  <si>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</si>
  <si>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</si>
  <si>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</si>
  <si>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</si>
  <si>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</si>
  <si>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</si>
  <si>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</si>
  <si>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</si>
  <si>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</si>
  <si>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</si>
  <si>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</si>
  <si>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</si>
  <si>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</si>
  <si>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</si>
  <si>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</si>
  <si>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</si>
  <si>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</si>
  <si>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</si>
  <si>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</si>
  <si>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</si>
  <si>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</si>
  <si>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</si>
  <si>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</si>
  <si>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</si>
  <si>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</si>
  <si>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</si>
  <si>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</si>
  <si>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</si>
  <si>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</si>
  <si>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</si>
  <si>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</si>
  <si>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</si>
  <si>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</si>
  <si>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</si>
  <si>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</si>
  <si>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</si>
  <si>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</si>
  <si>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</si>
  <si>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</si>
  <si>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</si>
  <si>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</si>
  <si>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</si>
  <si>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</si>
  <si>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</si>
  <si>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</si>
  <si>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</si>
  <si>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</si>
  <si>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</si>
  <si>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</si>
  <si>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</si>
  <si>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</si>
  <si>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</si>
  <si>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</si>
  <si>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</si>
  <si>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</si>
  <si>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</si>
  <si>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</si>
  <si>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</si>
  <si>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</si>
  <si>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</si>
  <si>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</si>
  <si>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</si>
  <si>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</si>
  <si>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</si>
  <si>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</si>
  <si>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</si>
  <si>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</si>
  <si>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</si>
  <si>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</si>
  <si>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</si>
  <si>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</si>
  <si>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</si>
  <si>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</si>
  <si>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</si>
  <si>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</si>
  <si>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</si>
  <si>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</si>
  <si>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</si>
  <si>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</si>
  <si>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</si>
  <si>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</si>
  <si>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</si>
  <si>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</si>
  <si>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</si>
  <si>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</si>
  <si>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</si>
  <si>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</si>
  <si>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</si>
  <si>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</si>
  <si>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</si>
  <si>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</si>
  <si>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</si>
  <si>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</si>
  <si>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</si>
  <si>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</si>
  <si>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</si>
  <si>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</si>
  <si>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</si>
  <si>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</si>
  <si>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</si>
  <si>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</si>
  <si>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</si>
  <si>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</si>
  <si>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</si>
  <si>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</si>
  <si>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</si>
  <si>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</si>
  <si>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</si>
  <si>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</si>
  <si>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</si>
  <si>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</si>
  <si>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</si>
  <si>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</si>
  <si>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</si>
  <si>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</si>
  <si>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</si>
  <si>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</si>
  <si>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</si>
  <si>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</si>
  <si>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</si>
  <si>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</si>
  <si>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</si>
  <si>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</si>
  <si>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</si>
  <si>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</si>
  <si>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</si>
  <si>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</si>
  <si>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</si>
  <si>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</si>
  <si>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</si>
  <si>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</si>
  <si>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</si>
  <si>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</si>
  <si>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</si>
  <si>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</si>
  <si>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</si>
  <si>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</si>
  <si>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</si>
  <si>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</si>
  <si>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</si>
  <si>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</si>
  <si>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</si>
  <si>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</si>
  <si>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</si>
  <si>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</si>
  <si>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</si>
  <si>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</si>
  <si>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</si>
  <si>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</si>
  <si>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</si>
  <si>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</si>
  <si>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</si>
  <si>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</si>
  <si>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</si>
  <si>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</si>
  <si>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</si>
  <si>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</si>
  <si>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</si>
  <si>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</si>
  <si>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</si>
  <si>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</si>
  <si>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</si>
  <si>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</si>
  <si>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</si>
  <si>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</si>
  <si>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</si>
  <si>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</si>
  <si>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</si>
  <si>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</si>
  <si>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</si>
  <si>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</si>
  <si>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</si>
  <si>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</si>
  <si>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</si>
  <si>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</si>
  <si>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</si>
  <si>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</si>
  <si>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</si>
  <si>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</si>
  <si>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</si>
  <si>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</si>
  <si>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</si>
  <si>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</si>
  <si>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</si>
  <si>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</si>
  <si>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</si>
  <si>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</si>
  <si>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</si>
  <si>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</si>
  <si>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</si>
  <si>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</si>
  <si>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</si>
  <si>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</si>
  <si>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</si>
  <si>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</si>
  <si>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</si>
  <si>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</si>
  <si>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</si>
  <si>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</si>
  <si>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</si>
  <si>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</si>
  <si>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</si>
  <si>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</si>
  <si>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</si>
  <si>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</si>
  <si>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</si>
  <si>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</si>
  <si>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</si>
  <si>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</si>
  <si>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</si>
  <si>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</si>
  <si>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</si>
  <si>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</si>
  <si>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</si>
  <si>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</si>
  <si>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</si>
  <si>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</si>
  <si>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</si>
  <si>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</si>
  <si>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</si>
  <si>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</si>
  <si>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</si>
  <si>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</si>
  <si>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</si>
  <si>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</si>
  <si>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</si>
  <si>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</si>
  <si>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</si>
  <si>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</si>
  <si>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</si>
  <si>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</si>
  <si>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</si>
  <si>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</si>
  <si>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</si>
  <si>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</si>
  <si>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</si>
  <si>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</si>
  <si>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</si>
  <si>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</si>
  <si>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</si>
  <si>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</si>
  <si>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</si>
  <si>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</si>
  <si>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</si>
  <si>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</si>
  <si>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</si>
  <si>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</si>
  <si>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</si>
  <si>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</si>
  <si>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</si>
  <si>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</si>
  <si>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</si>
  <si>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</si>
  <si>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</si>
  <si>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</si>
  <si>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</si>
  <si>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</si>
  <si>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</si>
  <si>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</si>
  <si>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</si>
  <si>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</si>
  <si>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</si>
  <si>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</si>
  <si>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</si>
  <si>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</si>
  <si>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</si>
  <si>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</si>
  <si>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</si>
  <si>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</si>
  <si>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</si>
  <si>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</si>
  <si>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</si>
  <si>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</si>
  <si>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</si>
  <si>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</si>
  <si>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</si>
  <si>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</si>
  <si>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</si>
  <si>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</si>
  <si>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</si>
  <si>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</si>
  <si>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</si>
  <si>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</si>
  <si>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</si>
  <si>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</si>
  <si>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</si>
  <si>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</si>
  <si>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</si>
  <si>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</si>
  <si>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</si>
  <si>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</si>
  <si>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</si>
  <si>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</si>
  <si>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</si>
  <si>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</si>
  <si>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</si>
  <si>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</si>
  <si>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</si>
  <si>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</si>
  <si>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</si>
  <si>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</si>
  <si>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</si>
  <si>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</si>
  <si>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</si>
  <si>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</si>
  <si>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</si>
  <si>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</si>
  <si>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</si>
  <si>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</si>
  <si>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</si>
  <si>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</si>
  <si>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</si>
  <si>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</si>
  <si>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</si>
  <si>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</si>
  <si>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</si>
  <si>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</si>
  <si>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</si>
  <si>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</si>
  <si>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</si>
  <si>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</si>
  <si>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</si>
  <si>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</si>
  <si>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</si>
  <si>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</si>
  <si>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</si>
  <si>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</si>
  <si>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</si>
  <si>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</si>
  <si>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</si>
  <si>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</si>
  <si>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</si>
  <si>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</si>
  <si>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</si>
  <si>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</si>
  <si>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</si>
  <si>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</si>
  <si>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</si>
  <si>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</si>
  <si>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</si>
  <si>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</si>
  <si>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</si>
  <si>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</si>
  <si>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</si>
  <si>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</si>
  <si>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</si>
  <si>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</si>
  <si>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</si>
  <si>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</si>
  <si>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</si>
  <si>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</si>
  <si>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</si>
  <si>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</si>
  <si>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</si>
  <si>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</si>
  <si>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</si>
  <si>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</si>
  <si>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</si>
  <si>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</si>
  <si>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</si>
  <si>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</si>
  <si>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</si>
  <si>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</si>
  <si>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</si>
  <si>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</si>
  <si>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</si>
  <si>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</si>
  <si>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</si>
  <si>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</si>
  <si>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</si>
  <si>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</si>
  <si>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</si>
  <si>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</si>
  <si>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</si>
  <si>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</si>
  <si>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</si>
  <si>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</si>
  <si>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</si>
  <si>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</si>
  <si>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</si>
  <si>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</si>
  <si>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</si>
  <si>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</si>
  <si>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</si>
  <si>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</si>
  <si>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</si>
  <si>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</si>
  <si>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</si>
  <si>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</si>
  <si>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</si>
  <si>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</si>
  <si>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</si>
  <si>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</si>
  <si>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</si>
  <si>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</si>
  <si>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</si>
  <si>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</si>
  <si>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</si>
  <si>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</si>
  <si>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</si>
  <si>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</si>
  <si>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</si>
  <si>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</si>
  <si>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</si>
  <si>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</si>
  <si>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</si>
  <si>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</si>
  <si>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</si>
  <si>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</si>
  <si>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</si>
  <si>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</si>
  <si>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</si>
  <si>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</si>
  <si>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</si>
  <si>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</si>
  <si>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</si>
  <si>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</si>
  <si>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</si>
  <si>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</si>
  <si>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</si>
  <si>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</si>
  <si>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</si>
  <si>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</si>
  <si>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</si>
  <si>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</si>
  <si>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</si>
  <si>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</si>
  <si>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</si>
  <si>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</si>
  <si>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</si>
  <si>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</si>
  <si>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</si>
  <si>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</si>
  <si>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</si>
  <si>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</si>
  <si>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</si>
  <si>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</si>
  <si>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</si>
  <si>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</si>
  <si>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</si>
  <si>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</si>
  <si>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</si>
  <si>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</si>
  <si>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</si>
  <si>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</si>
  <si>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</si>
  <si>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</si>
  <si>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</si>
  <si>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</si>
  <si>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</si>
  <si>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</si>
  <si>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</si>
  <si>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</si>
  <si>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</si>
  <si>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</si>
  <si>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</si>
  <si>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</si>
  <si>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</si>
  <si>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</si>
  <si>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</si>
  <si>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</si>
  <si>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</si>
  <si>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</si>
  <si>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</si>
  <si>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</si>
  <si>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</si>
  <si>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</si>
  <si>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</si>
  <si>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</si>
  <si>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</si>
  <si>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</si>
  <si>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</si>
  <si>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</si>
  <si>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</si>
  <si>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</si>
  <si>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</si>
  <si>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</si>
  <si>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</si>
  <si>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</si>
  <si>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</si>
  <si>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</si>
  <si>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</si>
  <si>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</si>
  <si>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</si>
  <si>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</si>
  <si>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</si>
  <si>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</si>
  <si>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</si>
  <si>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</si>
  <si>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</si>
  <si>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</si>
  <si>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</si>
  <si>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</si>
  <si>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</si>
  <si>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</si>
  <si>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</si>
  <si>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</si>
  <si>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</si>
  <si>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</si>
  <si>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</si>
  <si>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</si>
  <si>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</si>
  <si>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</si>
  <si>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</si>
  <si>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</si>
  <si>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</si>
  <si>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</si>
  <si>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</si>
  <si>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</si>
  <si>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</si>
  <si>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</si>
  <si>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</si>
  <si>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</si>
  <si>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</si>
  <si>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</si>
  <si>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</si>
  <si>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</si>
  <si>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</si>
  <si>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</si>
  <si>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</si>
  <si>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</si>
  <si>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</si>
  <si>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</si>
  <si>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</si>
  <si>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</si>
  <si>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</si>
  <si>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</si>
  <si>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</si>
  <si>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</si>
  <si>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</si>
  <si>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</si>
  <si>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</si>
  <si>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</si>
  <si>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</si>
  <si>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</si>
  <si>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</si>
  <si>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</si>
  <si>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</si>
  <si>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</si>
  <si>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</si>
  <si>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</si>
  <si>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</si>
  <si>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</si>
  <si>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</si>
  <si>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</si>
  <si>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</si>
  <si>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</si>
  <si>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</si>
  <si>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</si>
  <si>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</si>
  <si>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</si>
  <si>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</si>
  <si>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</si>
  <si>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</si>
  <si>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</si>
  <si>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</si>
  <si>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</si>
  <si>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</si>
  <si>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</si>
  <si>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</si>
  <si>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</si>
  <si>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</si>
  <si>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</si>
  <si>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</si>
  <si>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</si>
  <si>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</si>
  <si>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</si>
  <si>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</si>
  <si>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</si>
  <si>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</si>
  <si>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</si>
  <si>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</si>
  <si>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</si>
  <si>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</si>
  <si>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</si>
  <si>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</si>
  <si>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</si>
  <si>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</si>
  <si>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</si>
  <si>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</si>
  <si>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</si>
  <si>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</si>
  <si>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</si>
  <si>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</si>
  <si>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</si>
  <si>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</si>
  <si>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</si>
  <si>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</si>
  <si>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</si>
  <si>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</si>
  <si>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</si>
  <si>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</si>
  <si>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</si>
  <si>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</si>
  <si>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</si>
  <si>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</si>
  <si>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</si>
  <si>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</si>
  <si>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</si>
  <si>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</si>
  <si>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</si>
  <si>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</si>
  <si>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</si>
  <si>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</si>
  <si>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</si>
  <si>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</si>
  <si>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</si>
  <si>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</si>
  <si>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</si>
  <si>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</si>
  <si>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</si>
  <si>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</si>
  <si>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</si>
  <si>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</si>
  <si>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</si>
  <si>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</si>
  <si>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</si>
  <si>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</si>
  <si>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</si>
  <si>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</si>
  <si>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</si>
  <si>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</si>
  <si>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</si>
  <si>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</si>
  <si>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</si>
  <si>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</si>
  <si>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</si>
  <si>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北京市</t>
  </si>
  <si>
    <t>自然人</t>
  </si>
  <si>
    <t>核定资产</t>
  </si>
  <si>
    <t>房地产市场价值</t>
  </si>
  <si>
    <t>住宅</t>
  </si>
  <si>
    <t>地上</t>
  </si>
  <si>
    <t>是</t>
  </si>
  <si>
    <t>住宅</t>
    <phoneticPr fontId="8" type="noConversion"/>
  </si>
  <si>
    <t>成新度</t>
  </si>
  <si>
    <t>利息：取LPR加浮动点数</t>
  </si>
  <si>
    <t>单套模式</t>
  </si>
  <si>
    <t>售价</t>
  </si>
  <si>
    <t>正常</t>
  </si>
  <si>
    <t>住宅</t>
    <phoneticPr fontId="25" type="noConversion"/>
  </si>
  <si>
    <t>楼层</t>
    <phoneticPr fontId="25" type="noConversion"/>
  </si>
  <si>
    <t>高级</t>
    <phoneticPr fontId="25" type="noConversion"/>
  </si>
  <si>
    <t>中高级</t>
    <phoneticPr fontId="25" type="noConversion"/>
  </si>
  <si>
    <t>精装修</t>
    <phoneticPr fontId="25" type="noConversion"/>
  </si>
  <si>
    <t>普通装修</t>
  </si>
  <si>
    <t>普通装修</t>
    <phoneticPr fontId="25" type="noConversion"/>
  </si>
  <si>
    <t>七通</t>
    <phoneticPr fontId="25" type="noConversion"/>
  </si>
  <si>
    <t>平层</t>
  </si>
  <si>
    <t>平层</t>
    <phoneticPr fontId="25" type="noConversion"/>
  </si>
  <si>
    <t>跃层</t>
    <phoneticPr fontId="25" type="noConversion"/>
  </si>
  <si>
    <t>简单装修</t>
    <phoneticPr fontId="25" type="noConversion"/>
  </si>
  <si>
    <t>物业公司管理</t>
  </si>
  <si>
    <t>物业公司管理</t>
    <phoneticPr fontId="25" type="noConversion"/>
  </si>
  <si>
    <t>比较法-住宅</t>
  </si>
  <si>
    <t>成本法 (元)</t>
  </si>
  <si>
    <t>塔楼</t>
    <phoneticPr fontId="25" type="noConversion"/>
  </si>
  <si>
    <t>六通</t>
    <phoneticPr fontId="25" type="noConversion"/>
  </si>
  <si>
    <t>预售</t>
    <phoneticPr fontId="25" type="noConversion"/>
  </si>
  <si>
    <t>七通</t>
  </si>
  <si>
    <t>毛坯</t>
  </si>
  <si>
    <t>毛坯</t>
    <phoneticPr fontId="25" type="noConversion"/>
  </si>
  <si>
    <t>一般</t>
  </si>
  <si>
    <t>二手房</t>
    <phoneticPr fontId="25" type="noConversion"/>
  </si>
  <si>
    <t>一手房</t>
    <phoneticPr fontId="25" type="noConversion"/>
  </si>
  <si>
    <t>多层板楼</t>
    <phoneticPr fontId="25" type="noConversion"/>
  </si>
  <si>
    <t>高层板楼</t>
    <phoneticPr fontId="25" type="noConversion"/>
  </si>
  <si>
    <t>环境质量</t>
  </si>
  <si>
    <t>钢混</t>
    <phoneticPr fontId="25" type="noConversion"/>
  </si>
  <si>
    <r>
      <rPr>
        <sz val="11"/>
        <color indexed="8"/>
        <rFont val="宋体"/>
        <family val="3"/>
        <charset val="134"/>
      </rPr>
      <t>朝向</t>
    </r>
    <phoneticPr fontId="25" type="noConversion"/>
  </si>
  <si>
    <t>已包含在土地取得成本中</t>
  </si>
  <si>
    <t>砖混</t>
    <phoneticPr fontId="25" type="noConversion"/>
  </si>
  <si>
    <t>南北西</t>
    <phoneticPr fontId="25" type="noConversion"/>
  </si>
  <si>
    <t>南北</t>
    <phoneticPr fontId="25"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</si>
  <si>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</si>
  <si>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</si>
  <si>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</si>
  <si>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</si>
  <si>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</si>
  <si>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</si>
  <si>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</si>
  <si>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</si>
  <si>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</si>
  <si>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</si>
  <si>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</si>
  <si>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</si>
  <si>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</si>
  <si>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</si>
  <si>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</si>
  <si>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</si>
  <si>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</si>
  <si>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</si>
  <si>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</si>
  <si>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</si>
  <si>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</si>
  <si>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</si>
  <si>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商品房</t>
  </si>
  <si>
    <t>高层板楼</t>
  </si>
  <si>
    <t>钢混</t>
  </si>
  <si>
    <t>电梯</t>
    <phoneticPr fontId="25" type="noConversion"/>
  </si>
  <si>
    <t>有</t>
    <phoneticPr fontId="25" type="noConversion"/>
  </si>
  <si>
    <t>无</t>
    <phoneticPr fontId="25" type="noConversion"/>
  </si>
  <si>
    <t>9（-2）</t>
  </si>
  <si>
    <t>南</t>
  </si>
  <si>
    <t>南</t>
    <phoneticPr fontId="25" type="noConversion"/>
  </si>
  <si>
    <t>东城区上龙西里40号楼1单元305号</t>
    <phoneticPr fontId="4" type="noConversion"/>
  </si>
  <si>
    <t>东南</t>
    <phoneticPr fontId="25" type="noConversion"/>
  </si>
  <si>
    <t>西南</t>
  </si>
  <si>
    <t>西南</t>
    <phoneticPr fontId="25" type="noConversion"/>
  </si>
  <si>
    <r>
      <t>3/11</t>
    </r>
    <r>
      <rPr>
        <sz val="11"/>
        <color indexed="8"/>
        <rFont val="宋体"/>
        <family val="3"/>
        <charset val="134"/>
      </rPr>
      <t>（低层）</t>
    </r>
    <phoneticPr fontId="25" type="noConversion"/>
  </si>
  <si>
    <t>2013-3-11758-RA</t>
  </si>
  <si>
    <t>王强</t>
  </si>
  <si>
    <t>北京市东城区</t>
  </si>
  <si>
    <t>上龙西里37号楼1101号</t>
  </si>
  <si>
    <t>蔡艳清</t>
  </si>
  <si>
    <t>房改房（成本价）</t>
  </si>
  <si>
    <t>2013-3-04994-RA</t>
  </si>
  <si>
    <t>柳治萍</t>
  </si>
  <si>
    <t>上龙西里37号楼1802号</t>
  </si>
  <si>
    <t>阴红伟</t>
  </si>
  <si>
    <t>2012-3-10348-RA</t>
  </si>
  <si>
    <t>杨红</t>
  </si>
  <si>
    <t>上龙西里41号楼2层2单元201号</t>
  </si>
  <si>
    <t>上龙嘉园</t>
  </si>
  <si>
    <t>袁征</t>
  </si>
  <si>
    <t>14（-2）</t>
  </si>
  <si>
    <t>2012-3-07827-RA</t>
  </si>
  <si>
    <t>贾双旭</t>
  </si>
  <si>
    <t>上龙西里41号楼2层3单元201号</t>
  </si>
  <si>
    <t>2012-3-05460-RA</t>
  </si>
  <si>
    <t>张钢</t>
  </si>
  <si>
    <t>上龙西里22号楼17层1703号</t>
  </si>
  <si>
    <t>刘冬</t>
  </si>
  <si>
    <t>2012-3-00999-RB</t>
  </si>
  <si>
    <t>富迪</t>
  </si>
  <si>
    <t>上龙西里33号楼1401号</t>
  </si>
  <si>
    <t>谭仲双</t>
  </si>
  <si>
    <t>2011-3-09018-RA</t>
  </si>
  <si>
    <t>刘新</t>
  </si>
  <si>
    <t>上龙西里42号楼5层1单元502号</t>
  </si>
  <si>
    <t>周晓燕</t>
  </si>
  <si>
    <t>2011-3-07154-RA</t>
  </si>
  <si>
    <t>高建华</t>
  </si>
  <si>
    <t>上龙西里34号楼1808号</t>
  </si>
  <si>
    <t>2009-3-17937-RB</t>
  </si>
  <si>
    <t>孙申</t>
  </si>
  <si>
    <t>上龙西里38号楼304号</t>
  </si>
  <si>
    <t>崔爽</t>
  </si>
  <si>
    <t>成本价出售住宅</t>
  </si>
  <si>
    <t>2009-3-14310-RB</t>
  </si>
  <si>
    <t>黄烜予、薛荣</t>
  </si>
  <si>
    <t>上龙西里42号楼1门6-2号</t>
  </si>
  <si>
    <t>2007-3-6860-RB</t>
  </si>
  <si>
    <t>彭继平</t>
  </si>
  <si>
    <t>青年湖南里（现楼牌号：上龙西里）22号楼1204号</t>
  </si>
  <si>
    <t>高小萌</t>
  </si>
  <si>
    <t>成本价</t>
  </si>
  <si>
    <t>2007-3-4321-RA</t>
  </si>
  <si>
    <t>焦爱平</t>
  </si>
  <si>
    <t>上龙西里41号楼3门10-1号</t>
  </si>
  <si>
    <t>董起鸣</t>
  </si>
  <si>
    <t>14（现场勘察：10）</t>
  </si>
  <si>
    <t>2013-3-03591-RA</t>
  </si>
  <si>
    <t>侯德玉</t>
  </si>
  <si>
    <t>廖腾超</t>
  </si>
  <si>
    <t>按经济适用住房管理</t>
  </si>
  <si>
    <t>15（-2）</t>
  </si>
  <si>
    <t>2012-3-16562-RA</t>
  </si>
  <si>
    <t>唐堂</t>
  </si>
  <si>
    <t>西营房胡同9号院2号楼0206号</t>
  </si>
  <si>
    <t>2013-3-08869-RA</t>
  </si>
  <si>
    <t>刘兴力</t>
  </si>
  <si>
    <t>安德路甲10号4号楼6层701号</t>
  </si>
  <si>
    <t>巷上嘉园</t>
  </si>
  <si>
    <t>王昊</t>
  </si>
  <si>
    <t>2013-3-08725-RA</t>
  </si>
  <si>
    <t>李俊滔</t>
  </si>
  <si>
    <t>安德路甲10号3号楼20层2301号</t>
  </si>
  <si>
    <t>24（-2）</t>
  </si>
  <si>
    <t>2013-3-04740-RA</t>
  </si>
  <si>
    <t>白玉红</t>
  </si>
  <si>
    <t>安德路甲10号5号楼304号</t>
  </si>
  <si>
    <t>王雨</t>
  </si>
  <si>
    <t>12（-2）</t>
  </si>
  <si>
    <t>2013-3-04208-RB</t>
  </si>
  <si>
    <t>燕宇然</t>
  </si>
  <si>
    <t>安德路12号西座604号</t>
  </si>
  <si>
    <t>中景濠庭</t>
  </si>
  <si>
    <t>23（-3）</t>
  </si>
  <si>
    <t>2013-3-03553-RB</t>
  </si>
  <si>
    <t>郭飞红</t>
  </si>
  <si>
    <t>安外安德路59号3门202号</t>
  </si>
  <si>
    <t>2013-3-02918-RA</t>
  </si>
  <si>
    <t>万晶</t>
  </si>
  <si>
    <t>安德路甲10号3号楼4层509号</t>
  </si>
  <si>
    <t>解国明</t>
  </si>
  <si>
    <t>2013-3-01176-RA</t>
  </si>
  <si>
    <t>付红</t>
  </si>
  <si>
    <t>安德路59号楼4层4门401号</t>
  </si>
  <si>
    <t>评估日期</t>
  </si>
  <si>
    <t>贷款机构</t>
  </si>
  <si>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</si>
  <si>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</si>
  <si>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</si>
  <si>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</si>
  <si>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</si>
  <si>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</si>
  <si>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</si>
  <si>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</si>
  <si>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</si>
  <si>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</si>
  <si>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</si>
  <si>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</si>
  <si>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</si>
  <si>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</si>
  <si>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</si>
  <si>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</si>
  <si>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</si>
  <si>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</si>
  <si>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</si>
  <si>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</si>
  <si>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phoneticPr fontId="4" type="noConversion"/>
  </si>
  <si>
    <t>建面成交单价</t>
    <phoneticPr fontId="4" type="noConversion"/>
  </si>
  <si>
    <t>评估总额</t>
  </si>
  <si>
    <t>评估总额(万元)</t>
  </si>
  <si>
    <t>建面评估单价(元/M2)</t>
    <phoneticPr fontId="4" type="noConversion"/>
  </si>
  <si>
    <t>风险率</t>
  </si>
  <si>
    <t>最高抵押额</t>
  </si>
  <si>
    <t>大写</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</si>
  <si>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</si>
  <si>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</si>
  <si>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</si>
  <si>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</si>
  <si>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</si>
  <si>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申请人编号</t>
    <phoneticPr fontId="4" type="noConversion"/>
  </si>
  <si>
    <t>评估人</t>
  </si>
  <si>
    <t>工程进度</t>
  </si>
  <si>
    <t>结论</t>
  </si>
  <si>
    <t>备注</t>
    <phoneticPr fontId="4" type="noConversion"/>
  </si>
  <si>
    <t>复核人</t>
    <phoneticPr fontId="4" type="noConversion"/>
  </si>
  <si>
    <t>交付时间</t>
    <phoneticPr fontId="4" type="noConversion"/>
  </si>
  <si>
    <t>评估月份</t>
    <phoneticPr fontId="4" type="noConversion"/>
  </si>
  <si>
    <t>房屋剩余年限</t>
    <phoneticPr fontId="4" type="noConversion"/>
  </si>
  <si>
    <t>房屋所有权证</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</si>
  <si>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</si>
  <si>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</si>
  <si>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</si>
  <si>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</si>
  <si>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</si>
  <si>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</si>
  <si>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</si>
  <si>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</si>
  <si>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</si>
  <si>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</si>
  <si>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</si>
  <si>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</si>
  <si>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</si>
  <si>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</si>
  <si>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</si>
  <si>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</si>
  <si>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</si>
  <si>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</si>
  <si>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</si>
  <si>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</si>
  <si>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</si>
  <si>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</si>
  <si>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</si>
  <si>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</si>
  <si>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</si>
  <si>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</si>
  <si>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评估套内单价</t>
    <phoneticPr fontId="4" type="noConversion"/>
  </si>
  <si>
    <t>套内单价</t>
    <phoneticPr fontId="4" type="noConversion"/>
  </si>
  <si>
    <t>明旭</t>
    <phoneticPr fontId="4" type="noConversion"/>
  </si>
  <si>
    <t>410105197607183823</t>
    <phoneticPr fontId="4" type="noConversion"/>
  </si>
  <si>
    <t>15011300566</t>
    <phoneticPr fontId="4" type="noConversion"/>
  </si>
  <si>
    <t>东城区</t>
    <phoneticPr fontId="4" type="noConversion"/>
  </si>
  <si>
    <t>上龙西里</t>
    <phoneticPr fontId="4" type="noConversion"/>
  </si>
  <si>
    <t>33号楼</t>
    <phoneticPr fontId="4" type="noConversion"/>
  </si>
  <si>
    <t>203号</t>
    <phoneticPr fontId="4" type="noConversion"/>
  </si>
  <si>
    <t>魏守信</t>
    <phoneticPr fontId="4" type="noConversion"/>
  </si>
  <si>
    <t>2</t>
    <phoneticPr fontId="4" type="noConversion"/>
  </si>
  <si>
    <t>三室一厅一卫一厨</t>
    <phoneticPr fontId="4" type="noConversion"/>
  </si>
  <si>
    <t>复式、平层√、跃层、错层</t>
    <phoneticPr fontId="4" type="noConversion"/>
  </si>
  <si>
    <t>北京住房公积金管理中心中央国家机关分中心</t>
    <phoneticPr fontId="4" type="noConversion"/>
  </si>
  <si>
    <t>王昊</t>
    <phoneticPr fontId="4" type="noConversion"/>
  </si>
  <si>
    <t>二手房</t>
    <phoneticPr fontId="4" type="noConversion"/>
  </si>
  <si>
    <t>可抵押商品住宅</t>
  </si>
  <si>
    <t>李晓岩</t>
    <phoneticPr fontId="4" type="noConversion"/>
  </si>
  <si>
    <t>四</t>
    <phoneticPr fontId="4" type="noConversion"/>
  </si>
  <si>
    <t>王明君</t>
    <phoneticPr fontId="4" type="noConversion"/>
  </si>
  <si>
    <t>新增</t>
    <phoneticPr fontId="4" type="noConversion"/>
  </si>
  <si>
    <t xml:space="preserve"> </t>
  </si>
  <si>
    <t>买卖合同</t>
    <phoneticPr fontId="4" type="noConversion"/>
  </si>
  <si>
    <t>C</t>
    <phoneticPr fontId="4" type="noConversion"/>
  </si>
  <si>
    <t>747292</t>
    <phoneticPr fontId="4" type="noConversion"/>
  </si>
  <si>
    <t>王明君</t>
  </si>
  <si>
    <t>二手房</t>
    <phoneticPr fontId="4" type="noConversion"/>
  </si>
  <si>
    <t>北京住房公积金管理中心中央国家机关分中心</t>
  </si>
  <si>
    <t>2013-22-CP-10726-U</t>
    <phoneticPr fontId="4" type="noConversion"/>
  </si>
  <si>
    <t>王丽娟</t>
    <phoneticPr fontId="4" type="noConversion"/>
  </si>
  <si>
    <t>110108197310106323</t>
    <phoneticPr fontId="4" type="noConversion"/>
  </si>
  <si>
    <t>18610810700</t>
    <phoneticPr fontId="4" type="noConversion"/>
  </si>
  <si>
    <t>东城区</t>
    <phoneticPr fontId="4" type="noConversion"/>
  </si>
  <si>
    <t>安德路47号院</t>
    <phoneticPr fontId="4" type="noConversion"/>
  </si>
  <si>
    <t>13号楼</t>
    <phoneticPr fontId="4" type="noConversion"/>
  </si>
  <si>
    <t>4层9单元</t>
    <phoneticPr fontId="4" type="noConversion"/>
  </si>
  <si>
    <t>402、403号</t>
    <phoneticPr fontId="4" type="noConversion"/>
  </si>
  <si>
    <t>王丽娟</t>
    <phoneticPr fontId="4" type="noConversion"/>
  </si>
  <si>
    <t>二室二厅一卫一厨</t>
    <phoneticPr fontId="4" type="noConversion"/>
  </si>
  <si>
    <t>北京住房公积金管理中心住房公积金贷款中心</t>
  </si>
  <si>
    <t>冯德智</t>
    <phoneticPr fontId="4" type="noConversion"/>
  </si>
  <si>
    <t>二手房</t>
  </si>
  <si>
    <t>李晓岩</t>
  </si>
  <si>
    <t>三</t>
    <phoneticPr fontId="4" type="noConversion"/>
  </si>
  <si>
    <t>孙岳</t>
    <phoneticPr fontId="4" type="noConversion"/>
  </si>
  <si>
    <t>新增</t>
  </si>
  <si>
    <t>买卖合同</t>
    <phoneticPr fontId="4" type="noConversion"/>
  </si>
  <si>
    <t>694987</t>
    <phoneticPr fontId="4" type="noConversion"/>
  </si>
  <si>
    <t>李棚</t>
    <phoneticPr fontId="4" type="noConversion"/>
  </si>
  <si>
    <t>孙岳</t>
    <phoneticPr fontId="4" type="noConversion"/>
  </si>
  <si>
    <t>正常</t>
    <phoneticPr fontId="4" type="noConversion"/>
  </si>
  <si>
    <t>中介</t>
    <phoneticPr fontId="4" type="noConversion"/>
  </si>
  <si>
    <t>不含任何税费</t>
    <phoneticPr fontId="4" type="noConversion"/>
  </si>
  <si>
    <t>孙岳</t>
  </si>
  <si>
    <t>2013-22-GP-13028-U</t>
    <phoneticPr fontId="4" type="noConversion"/>
  </si>
  <si>
    <t>苏强</t>
    <phoneticPr fontId="4" type="noConversion"/>
  </si>
  <si>
    <t>110106197011103621</t>
    <phoneticPr fontId="4" type="noConversion"/>
  </si>
  <si>
    <t>18612408981</t>
    <phoneticPr fontId="4" type="noConversion"/>
  </si>
  <si>
    <t>东城区</t>
    <phoneticPr fontId="4" type="noConversion"/>
  </si>
  <si>
    <t>安德路乙61号院</t>
    <phoneticPr fontId="4" type="noConversion"/>
  </si>
  <si>
    <t>1号楼</t>
    <phoneticPr fontId="4" type="noConversion"/>
  </si>
  <si>
    <t>5层4单元</t>
    <phoneticPr fontId="4" type="noConversion"/>
  </si>
  <si>
    <t>512号</t>
    <phoneticPr fontId="4" type="noConversion"/>
  </si>
  <si>
    <t>徐勇</t>
    <phoneticPr fontId="4" type="noConversion"/>
  </si>
  <si>
    <t>5</t>
    <phoneticPr fontId="4" type="noConversion"/>
  </si>
  <si>
    <t>二室一厅一卫一厨</t>
    <phoneticPr fontId="4" type="noConversion"/>
  </si>
  <si>
    <t>复式、平层√、跃层、错层</t>
  </si>
  <si>
    <t>北京住房公积金管理中心中央国家机关分中心</t>
    <phoneticPr fontId="4" type="noConversion"/>
  </si>
  <si>
    <t>冯德智</t>
    <phoneticPr fontId="4" type="noConversion"/>
  </si>
  <si>
    <t>二手房</t>
    <phoneticPr fontId="4" type="noConversion"/>
  </si>
  <si>
    <t>可抵押商品住宅</t>
    <phoneticPr fontId="4" type="noConversion"/>
  </si>
  <si>
    <t>李晓岩</t>
    <phoneticPr fontId="4" type="noConversion"/>
  </si>
  <si>
    <t>三</t>
    <phoneticPr fontId="4" type="noConversion"/>
  </si>
  <si>
    <t>段明菲</t>
    <phoneticPr fontId="4" type="noConversion"/>
  </si>
  <si>
    <t>C</t>
    <phoneticPr fontId="4" type="noConversion"/>
  </si>
  <si>
    <t>733792</t>
    <phoneticPr fontId="4" type="noConversion"/>
  </si>
  <si>
    <t>段明菲</t>
    <phoneticPr fontId="4" type="noConversion"/>
  </si>
  <si>
    <t>段明菲</t>
  </si>
  <si>
    <t>2013-22-HP-05374-U</t>
    <phoneticPr fontId="4" type="noConversion"/>
  </si>
  <si>
    <t>佟影</t>
  </si>
  <si>
    <t>110101198001242022</t>
    <phoneticPr fontId="4" type="noConversion"/>
  </si>
  <si>
    <t>安德路乙61号院</t>
    <phoneticPr fontId="4" type="noConversion"/>
  </si>
  <si>
    <t>2号楼</t>
    <phoneticPr fontId="4" type="noConversion"/>
  </si>
  <si>
    <t>7层</t>
    <phoneticPr fontId="4" type="noConversion"/>
  </si>
  <si>
    <t>703号</t>
    <phoneticPr fontId="4" type="noConversion"/>
  </si>
  <si>
    <t>一室一厅一卫一厨</t>
    <phoneticPr fontId="4" type="noConversion"/>
  </si>
  <si>
    <t>北京住房公积金管理中心住房公积金贷款中心</t>
    <phoneticPr fontId="4" type="noConversion"/>
  </si>
  <si>
    <t>三</t>
    <phoneticPr fontId="4" type="noConversion"/>
  </si>
  <si>
    <t>五</t>
  </si>
  <si>
    <t>杨熙</t>
    <phoneticPr fontId="4" type="noConversion"/>
  </si>
  <si>
    <t>换正式</t>
    <phoneticPr fontId="4" type="noConversion"/>
  </si>
  <si>
    <t>林双、张金莉、柯昕欣</t>
    <phoneticPr fontId="4" type="noConversion"/>
  </si>
  <si>
    <t>杨熙</t>
    <phoneticPr fontId="4" type="noConversion"/>
  </si>
  <si>
    <t>二手房</t>
    <phoneticPr fontId="4" type="noConversion"/>
  </si>
  <si>
    <t>正常</t>
    <phoneticPr fontId="4" type="noConversion"/>
  </si>
  <si>
    <t>中介</t>
    <phoneticPr fontId="4" type="noConversion"/>
  </si>
  <si>
    <t>杨熙</t>
  </si>
  <si>
    <t>2013-22-YP-01475-FU</t>
    <phoneticPr fontId="4" type="noConversion"/>
  </si>
  <si>
    <t>杨璘、谢允佳</t>
    <phoneticPr fontId="4" type="noConversion"/>
  </si>
  <si>
    <t>110101196912042591、110225196911230028</t>
    <phoneticPr fontId="4" type="noConversion"/>
  </si>
  <si>
    <t>13910633150</t>
    <phoneticPr fontId="4" type="noConversion"/>
  </si>
  <si>
    <t>东城区</t>
    <phoneticPr fontId="4" type="noConversion"/>
  </si>
  <si>
    <t>安德路甲10号</t>
    <phoneticPr fontId="4" type="noConversion"/>
  </si>
  <si>
    <t>3号楼</t>
    <phoneticPr fontId="4" type="noConversion"/>
  </si>
  <si>
    <t>18层</t>
    <phoneticPr fontId="4" type="noConversion"/>
  </si>
  <si>
    <t>2107</t>
    <phoneticPr fontId="4" type="noConversion"/>
  </si>
  <si>
    <t>18</t>
    <phoneticPr fontId="4" type="noConversion"/>
  </si>
  <si>
    <t>二室二厅二卫一厨</t>
    <phoneticPr fontId="4" type="noConversion"/>
  </si>
  <si>
    <t>复式、平层√、跃层、错层</t>
    <phoneticPr fontId="4" type="noConversion"/>
  </si>
  <si>
    <t>冯德智</t>
    <phoneticPr fontId="4" type="noConversion"/>
  </si>
  <si>
    <t>祁龙</t>
    <phoneticPr fontId="4" type="noConversion"/>
  </si>
  <si>
    <t>买卖合同</t>
    <phoneticPr fontId="4" type="noConversion"/>
  </si>
  <si>
    <t>C</t>
    <phoneticPr fontId="4" type="noConversion"/>
  </si>
  <si>
    <t>方杰</t>
  </si>
  <si>
    <t>祁龙</t>
  </si>
  <si>
    <t>2013-22-HP-10826-FU</t>
    <phoneticPr fontId="4" type="noConversion"/>
  </si>
  <si>
    <t>王海跃</t>
    <phoneticPr fontId="4" type="noConversion"/>
  </si>
  <si>
    <t>110111198212201231</t>
    <phoneticPr fontId="4" type="noConversion"/>
  </si>
  <si>
    <t>安德路47号院</t>
    <phoneticPr fontId="4" type="noConversion"/>
  </si>
  <si>
    <t/>
  </si>
  <si>
    <t>4号楼</t>
    <phoneticPr fontId="4" type="noConversion"/>
  </si>
  <si>
    <t>1层5单元</t>
    <phoneticPr fontId="4" type="noConversion"/>
  </si>
  <si>
    <t>102号</t>
    <phoneticPr fontId="4" type="noConversion"/>
  </si>
  <si>
    <t>王海跃</t>
    <phoneticPr fontId="4" type="noConversion"/>
  </si>
  <si>
    <t>二室一厅一卫一厨</t>
    <phoneticPr fontId="4" type="noConversion"/>
  </si>
  <si>
    <t>复式、平层√、跃层、错层</t>
    <phoneticPr fontId="4" type="noConversion"/>
  </si>
  <si>
    <t>冯德智</t>
  </si>
  <si>
    <t>730156</t>
    <phoneticPr fontId="4" type="noConversion"/>
  </si>
  <si>
    <t>李广才</t>
    <phoneticPr fontId="4" type="noConversion"/>
  </si>
  <si>
    <t>中介</t>
  </si>
  <si>
    <t>不含任何税费</t>
  </si>
  <si>
    <t>西营房胡同9号院4号楼12层1212号</t>
    <phoneticPr fontId="135" type="noConversion"/>
  </si>
  <si>
    <t>2012-22-CP-53098-FU</t>
  </si>
  <si>
    <t>王友</t>
  </si>
  <si>
    <t>110101198401173011</t>
    <phoneticPr fontId="4" type="noConversion"/>
  </si>
  <si>
    <t>西营房胡同9号院</t>
    <phoneticPr fontId="4" type="noConversion"/>
  </si>
  <si>
    <t>9层</t>
    <phoneticPr fontId="4" type="noConversion"/>
  </si>
  <si>
    <t>0904号</t>
    <phoneticPr fontId="4" type="noConversion"/>
  </si>
  <si>
    <t>一室一卫一厨</t>
    <phoneticPr fontId="4" type="noConversion"/>
  </si>
  <si>
    <t>北京住房公积金管理中心住房公积金贷款中心</t>
    <phoneticPr fontId="4" type="noConversion"/>
  </si>
  <si>
    <t>王昊</t>
    <phoneticPr fontId="4" type="noConversion"/>
  </si>
  <si>
    <t>一</t>
    <phoneticPr fontId="4" type="noConversion"/>
  </si>
  <si>
    <t>杨菲菲</t>
    <phoneticPr fontId="4" type="noConversion"/>
  </si>
  <si>
    <t>买卖合同</t>
    <phoneticPr fontId="4" type="noConversion"/>
  </si>
  <si>
    <t>C</t>
    <phoneticPr fontId="4" type="noConversion"/>
  </si>
  <si>
    <t>667638</t>
    <phoneticPr fontId="4" type="noConversion"/>
  </si>
  <si>
    <t>钱彦</t>
    <phoneticPr fontId="4" type="noConversion"/>
  </si>
  <si>
    <t>二手房</t>
    <phoneticPr fontId="4" type="noConversion"/>
  </si>
  <si>
    <t>中介</t>
    <phoneticPr fontId="4" type="noConversion"/>
  </si>
  <si>
    <t>不含任何税费</t>
    <phoneticPr fontId="4" type="noConversion"/>
  </si>
  <si>
    <t>杨菲菲</t>
  </si>
  <si>
    <t>2013-22-GP-02066-U</t>
    <phoneticPr fontId="4" type="noConversion"/>
  </si>
  <si>
    <t>赵英琨、臧艳</t>
    <phoneticPr fontId="4" type="noConversion"/>
  </si>
  <si>
    <t>370705198402012515、37078219820201114X</t>
    <phoneticPr fontId="4" type="noConversion"/>
  </si>
  <si>
    <t>东城区西营房胡同9号院</t>
    <phoneticPr fontId="4" type="noConversion"/>
  </si>
  <si>
    <t>3号楼</t>
    <phoneticPr fontId="4" type="noConversion"/>
  </si>
  <si>
    <t>1213号</t>
    <phoneticPr fontId="4" type="noConversion"/>
  </si>
  <si>
    <t>应新华</t>
    <phoneticPr fontId="4" type="noConversion"/>
  </si>
  <si>
    <t>一室一卫一厨</t>
    <phoneticPr fontId="4" type="noConversion"/>
  </si>
  <si>
    <t>王昊</t>
    <phoneticPr fontId="4" type="noConversion"/>
  </si>
  <si>
    <t>李晓岩</t>
    <phoneticPr fontId="4" type="noConversion"/>
  </si>
  <si>
    <t>一</t>
  </si>
  <si>
    <t>杨熙</t>
    <phoneticPr fontId="4" type="noConversion"/>
  </si>
  <si>
    <t>新增</t>
    <phoneticPr fontId="4" type="noConversion"/>
  </si>
  <si>
    <t>应新华</t>
    <phoneticPr fontId="4" type="noConversion"/>
  </si>
  <si>
    <t>2013-22-HP-05856-FU</t>
    <phoneticPr fontId="4" type="noConversion"/>
  </si>
  <si>
    <t>贺立、张雪</t>
    <phoneticPr fontId="4" type="noConversion"/>
  </si>
  <si>
    <t>11010419781205162X、11010519790222683X</t>
    <phoneticPr fontId="4" type="noConversion"/>
  </si>
  <si>
    <t>13701289607</t>
    <phoneticPr fontId="4" type="noConversion"/>
  </si>
  <si>
    <t>东城区</t>
    <phoneticPr fontId="4" type="noConversion"/>
  </si>
  <si>
    <t>2号楼</t>
    <phoneticPr fontId="4" type="noConversion"/>
  </si>
  <si>
    <r>
      <t>15层</t>
    </r>
    <r>
      <rPr>
        <sz val="12"/>
        <color indexed="8"/>
        <rFont val="Times New Roman"/>
        <family val="1"/>
      </rPr>
      <t/>
    </r>
    <phoneticPr fontId="4" type="noConversion"/>
  </si>
  <si>
    <t>1504号</t>
    <phoneticPr fontId="4" type="noConversion"/>
  </si>
  <si>
    <t>三</t>
    <phoneticPr fontId="4" type="noConversion"/>
  </si>
  <si>
    <t>张旭婷</t>
    <phoneticPr fontId="4" type="noConversion"/>
  </si>
  <si>
    <t>697204</t>
    <phoneticPr fontId="4" type="noConversion"/>
  </si>
  <si>
    <t>石利光</t>
    <phoneticPr fontId="4" type="noConversion"/>
  </si>
  <si>
    <t>惠新东街乙8号楼</t>
    <phoneticPr fontId="4" type="noConversion"/>
  </si>
  <si>
    <t>张旭婷</t>
  </si>
  <si>
    <t>张秀梅</t>
    <phoneticPr fontId="4" type="noConversion"/>
  </si>
  <si>
    <t>110102197503183028</t>
    <phoneticPr fontId="4" type="noConversion"/>
  </si>
  <si>
    <t>13611203490</t>
    <phoneticPr fontId="4" type="noConversion"/>
  </si>
  <si>
    <t>4号楼</t>
    <phoneticPr fontId="4" type="noConversion"/>
  </si>
  <si>
    <t>10层</t>
    <phoneticPr fontId="4" type="noConversion"/>
  </si>
  <si>
    <t>1006号</t>
    <phoneticPr fontId="4" type="noConversion"/>
  </si>
  <si>
    <t>张秀梅</t>
    <phoneticPr fontId="4" type="noConversion"/>
  </si>
  <si>
    <t>10</t>
    <phoneticPr fontId="4" type="noConversion"/>
  </si>
  <si>
    <t>王昊</t>
    <phoneticPr fontId="4" type="noConversion"/>
  </si>
  <si>
    <t>戴钧</t>
    <phoneticPr fontId="4" type="noConversion"/>
  </si>
  <si>
    <t>730789</t>
    <phoneticPr fontId="4" type="noConversion"/>
  </si>
  <si>
    <t>杨建斌</t>
    <phoneticPr fontId="4" type="noConversion"/>
  </si>
  <si>
    <t>戴钧</t>
    <phoneticPr fontId="4" type="noConversion"/>
  </si>
  <si>
    <t>惠新东街乙8号楼</t>
    <phoneticPr fontId="4" type="noConversion"/>
  </si>
  <si>
    <t>戴钧</t>
  </si>
  <si>
    <t>2013-22-HP-25860-FU</t>
    <phoneticPr fontId="4" type="noConversion"/>
  </si>
  <si>
    <t>路书英</t>
    <phoneticPr fontId="4" type="noConversion"/>
  </si>
  <si>
    <t>110106197205030045</t>
    <phoneticPr fontId="4" type="noConversion"/>
  </si>
  <si>
    <t>13693200628</t>
    <phoneticPr fontId="4" type="noConversion"/>
  </si>
  <si>
    <t>3号楼</t>
    <phoneticPr fontId="4" type="noConversion"/>
  </si>
  <si>
    <t>9层</t>
    <phoneticPr fontId="4" type="noConversion"/>
  </si>
  <si>
    <t>0912号</t>
    <phoneticPr fontId="4" type="noConversion"/>
  </si>
  <si>
    <t>路书英</t>
    <phoneticPr fontId="4" type="noConversion"/>
  </si>
  <si>
    <t>9</t>
    <phoneticPr fontId="4" type="noConversion"/>
  </si>
  <si>
    <t>北京住房公积金管理中心住房公积金贷款中心</t>
    <phoneticPr fontId="4" type="noConversion"/>
  </si>
  <si>
    <t>五</t>
    <phoneticPr fontId="4" type="noConversion"/>
  </si>
  <si>
    <t>张琳</t>
  </si>
  <si>
    <t>2013-22-GP-19882-U</t>
  </si>
  <si>
    <t>2013-22-GP-19882-U</t>
    <phoneticPr fontId="4" type="noConversion"/>
  </si>
  <si>
    <t>2013-22-HP-05856-FU</t>
  </si>
  <si>
    <t>2013-22-HP-15519-FU</t>
  </si>
  <si>
    <t>2013-22-HP-15519-FU</t>
    <phoneticPr fontId="4" type="noConversion"/>
  </si>
  <si>
    <t>2012-22-CP-02690-FU</t>
  </si>
  <si>
    <t>孙昊</t>
  </si>
  <si>
    <t>110103198307161236</t>
    <phoneticPr fontId="4" type="noConversion"/>
  </si>
  <si>
    <t>13810373041</t>
    <phoneticPr fontId="4" type="noConversion"/>
  </si>
  <si>
    <t>上龙西里</t>
    <phoneticPr fontId="4" type="noConversion"/>
  </si>
  <si>
    <t>33号楼</t>
    <phoneticPr fontId="4" type="noConversion"/>
  </si>
  <si>
    <t>14层</t>
    <phoneticPr fontId="4" type="noConversion"/>
  </si>
  <si>
    <t>1404号</t>
    <phoneticPr fontId="4" type="noConversion"/>
  </si>
  <si>
    <t>刘维</t>
    <phoneticPr fontId="4" type="noConversion"/>
  </si>
  <si>
    <t>14</t>
    <phoneticPr fontId="4" type="noConversion"/>
  </si>
  <si>
    <t>一室一厅一卫一厨</t>
    <phoneticPr fontId="4" type="noConversion"/>
  </si>
  <si>
    <t>复式、平层√、跃层、错层</t>
    <phoneticPr fontId="4" type="noConversion"/>
  </si>
  <si>
    <t>91302012030259</t>
    <phoneticPr fontId="4" type="noConversion"/>
  </si>
  <si>
    <t>冯德智</t>
    <phoneticPr fontId="4" type="noConversion"/>
  </si>
  <si>
    <t>二手房</t>
    <phoneticPr fontId="4" type="noConversion"/>
  </si>
  <si>
    <t>李晓岩</t>
    <phoneticPr fontId="4" type="noConversion"/>
  </si>
  <si>
    <t>三</t>
    <phoneticPr fontId="4" type="noConversion"/>
  </si>
  <si>
    <t>四</t>
    <phoneticPr fontId="4" type="noConversion"/>
  </si>
  <si>
    <t>张旭婷</t>
    <phoneticPr fontId="4" type="noConversion"/>
  </si>
  <si>
    <t>换正式</t>
    <phoneticPr fontId="4" type="noConversion"/>
  </si>
  <si>
    <t>542644</t>
    <phoneticPr fontId="4" type="noConversion"/>
  </si>
  <si>
    <t>2012-22-CP-02921-FU</t>
    <phoneticPr fontId="4" type="noConversion"/>
  </si>
  <si>
    <t>张静、朱迁踏</t>
    <phoneticPr fontId="4" type="noConversion"/>
  </si>
  <si>
    <t>11022819820824002X、450202198301270017</t>
    <phoneticPr fontId="4" type="noConversion"/>
  </si>
  <si>
    <t>13426107127</t>
    <phoneticPr fontId="4" type="noConversion"/>
  </si>
  <si>
    <t>31号楼</t>
    <phoneticPr fontId="4" type="noConversion"/>
  </si>
  <si>
    <t>6层1单元</t>
    <phoneticPr fontId="4" type="noConversion"/>
  </si>
  <si>
    <t>601号</t>
    <phoneticPr fontId="4" type="noConversion"/>
  </si>
  <si>
    <t>91302012030454</t>
    <phoneticPr fontId="4" type="noConversion"/>
  </si>
  <si>
    <t>袁征</t>
    <phoneticPr fontId="4" type="noConversion"/>
  </si>
  <si>
    <t>张旭婷</t>
    <phoneticPr fontId="4" type="noConversion"/>
  </si>
  <si>
    <t>544803</t>
    <phoneticPr fontId="4" type="noConversion"/>
  </si>
  <si>
    <t>赵国胜</t>
    <phoneticPr fontId="4" type="noConversion"/>
  </si>
  <si>
    <t>2012-22-GP-10649-U</t>
    <phoneticPr fontId="4" type="noConversion"/>
  </si>
  <si>
    <t>张一、孙卓越</t>
    <phoneticPr fontId="4" type="noConversion"/>
  </si>
  <si>
    <t>440603198611273420、440602198506090036</t>
    <phoneticPr fontId="4" type="noConversion"/>
  </si>
  <si>
    <t>13811623028</t>
    <phoneticPr fontId="4" type="noConversion"/>
  </si>
  <si>
    <t>22号楼</t>
    <phoneticPr fontId="4" type="noConversion"/>
  </si>
  <si>
    <t>13层1307号</t>
    <phoneticPr fontId="4" type="noConversion"/>
  </si>
  <si>
    <t>赵津</t>
    <phoneticPr fontId="4" type="noConversion"/>
  </si>
  <si>
    <t>559657</t>
    <phoneticPr fontId="4" type="noConversion"/>
  </si>
  <si>
    <t>赵津</t>
    <phoneticPr fontId="4" type="noConversion"/>
  </si>
  <si>
    <t>王明君</t>
    <phoneticPr fontId="4" type="noConversion"/>
  </si>
  <si>
    <t>2012-22-GP-26309-U</t>
    <phoneticPr fontId="4" type="noConversion"/>
  </si>
  <si>
    <t>耿玲玲、张雪锋</t>
    <phoneticPr fontId="4" type="noConversion"/>
  </si>
  <si>
    <t>372401198107092743、422129197702014512</t>
    <phoneticPr fontId="4" type="noConversion"/>
  </si>
  <si>
    <t>13436680879</t>
    <phoneticPr fontId="4" type="noConversion"/>
  </si>
  <si>
    <t>38号楼</t>
    <phoneticPr fontId="4" type="noConversion"/>
  </si>
  <si>
    <t>402号</t>
    <phoneticPr fontId="4" type="noConversion"/>
  </si>
  <si>
    <t>何明</t>
    <phoneticPr fontId="4" type="noConversion"/>
  </si>
  <si>
    <t>二室二厅一卫一厨</t>
    <phoneticPr fontId="4" type="noConversion"/>
  </si>
  <si>
    <t>王昊</t>
    <phoneticPr fontId="4" type="noConversion"/>
  </si>
  <si>
    <t>八</t>
    <phoneticPr fontId="4" type="noConversion"/>
  </si>
  <si>
    <t>二</t>
    <phoneticPr fontId="4" type="noConversion"/>
  </si>
  <si>
    <t>601872</t>
    <phoneticPr fontId="4" type="noConversion"/>
  </si>
  <si>
    <t>何明</t>
  </si>
  <si>
    <t>2012-22-HP-28718-FU</t>
    <phoneticPr fontId="4" type="noConversion"/>
  </si>
  <si>
    <t>何勇</t>
    <phoneticPr fontId="4" type="noConversion"/>
  </si>
  <si>
    <t>431002198004206613</t>
    <phoneticPr fontId="4" type="noConversion"/>
  </si>
  <si>
    <t>13717873161</t>
    <phoneticPr fontId="4" type="noConversion"/>
  </si>
  <si>
    <t>23号楼</t>
    <phoneticPr fontId="4" type="noConversion"/>
  </si>
  <si>
    <t>11层</t>
    <phoneticPr fontId="4" type="noConversion"/>
  </si>
  <si>
    <t>1101号</t>
    <phoneticPr fontId="4" type="noConversion"/>
  </si>
  <si>
    <t>11</t>
    <phoneticPr fontId="4" type="noConversion"/>
  </si>
  <si>
    <t>三室一厅一卫一厨</t>
    <phoneticPr fontId="4" type="noConversion"/>
  </si>
  <si>
    <t>北京住房公积金管理中心住房公积金贷款中心</t>
    <phoneticPr fontId="4" type="noConversion"/>
  </si>
  <si>
    <t>岳士军</t>
    <phoneticPr fontId="4" type="noConversion"/>
  </si>
  <si>
    <t>九</t>
  </si>
  <si>
    <t>二</t>
    <phoneticPr fontId="4" type="noConversion"/>
  </si>
  <si>
    <t>祁龙</t>
    <phoneticPr fontId="4" type="noConversion"/>
  </si>
  <si>
    <t>买卖合同</t>
    <phoneticPr fontId="4" type="noConversion"/>
  </si>
  <si>
    <t>王成学</t>
    <phoneticPr fontId="4" type="noConversion"/>
  </si>
  <si>
    <t>正常</t>
    <phoneticPr fontId="4" type="noConversion"/>
  </si>
  <si>
    <t>中介</t>
    <phoneticPr fontId="4" type="noConversion"/>
  </si>
  <si>
    <t xml:space="preserve">2012-22-HP-38004-FU  </t>
  </si>
  <si>
    <t>高艳</t>
  </si>
  <si>
    <t>140102197603254044</t>
  </si>
  <si>
    <t>东城区</t>
  </si>
  <si>
    <t>上龙西里</t>
  </si>
  <si>
    <t>22号楼</t>
  </si>
  <si>
    <t>4层</t>
  </si>
  <si>
    <t>403号</t>
  </si>
  <si>
    <t>一室一厅一卫一厨</t>
  </si>
  <si>
    <t>十</t>
    <phoneticPr fontId="4" type="noConversion"/>
  </si>
  <si>
    <t>杨熙</t>
    <phoneticPr fontId="4" type="noConversion"/>
  </si>
  <si>
    <t>买卖合同</t>
  </si>
  <si>
    <t>金小英</t>
  </si>
  <si>
    <t>2012-22-HP-42012-FU</t>
    <phoneticPr fontId="4" type="noConversion"/>
  </si>
  <si>
    <t>周俐</t>
    <phoneticPr fontId="4" type="noConversion"/>
  </si>
  <si>
    <t>360102197207230025</t>
    <phoneticPr fontId="4" type="noConversion"/>
  </si>
  <si>
    <t>东城区</t>
    <phoneticPr fontId="4" type="noConversion"/>
  </si>
  <si>
    <t>41号楼</t>
    <phoneticPr fontId="4" type="noConversion"/>
  </si>
  <si>
    <t>2层2单元</t>
    <phoneticPr fontId="4" type="noConversion"/>
  </si>
  <si>
    <t>201号</t>
    <phoneticPr fontId="4" type="noConversion"/>
  </si>
  <si>
    <t>十二</t>
  </si>
  <si>
    <t>戴钧</t>
    <phoneticPr fontId="4" type="noConversion"/>
  </si>
  <si>
    <t xml:space="preserve">C </t>
    <phoneticPr fontId="4" type="noConversion"/>
  </si>
  <si>
    <t>635130</t>
    <phoneticPr fontId="4" type="noConversion"/>
  </si>
  <si>
    <t>杨红</t>
    <phoneticPr fontId="4" type="noConversion"/>
  </si>
  <si>
    <t>塔楼</t>
  </si>
  <si>
    <r>
      <t>15/18</t>
    </r>
    <r>
      <rPr>
        <sz val="11"/>
        <color indexed="8"/>
        <rFont val="宋体"/>
        <family val="3"/>
        <charset val="134"/>
      </rPr>
      <t>（高层）</t>
    </r>
    <phoneticPr fontId="25" type="noConversion"/>
  </si>
  <si>
    <r>
      <t>2/18</t>
    </r>
    <r>
      <rPr>
        <sz val="11"/>
        <color indexed="8"/>
        <rFont val="宋体"/>
        <family val="3"/>
        <charset val="134"/>
      </rPr>
      <t>（低层）</t>
    </r>
    <phoneticPr fontId="25" type="noConversion"/>
  </si>
  <si>
    <t>南北东</t>
  </si>
  <si>
    <t>南北东</t>
    <phoneticPr fontId="25" type="noConversion"/>
  </si>
  <si>
    <t>东</t>
    <phoneticPr fontId="25" type="noConversion"/>
  </si>
  <si>
    <t>西</t>
  </si>
  <si>
    <t>西</t>
    <phoneticPr fontId="25" type="noConversion"/>
  </si>
  <si>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</si>
  <si>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</si>
  <si>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</si>
  <si>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</si>
  <si>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</si>
  <si>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</si>
  <si>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</si>
  <si>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</si>
  <si>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</si>
  <si>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</si>
  <si>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</si>
  <si>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</si>
  <si>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</si>
  <si>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</si>
  <si>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</si>
  <si>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</si>
  <si>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</si>
  <si>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</si>
  <si>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</si>
  <si>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</si>
  <si>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</si>
  <si>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</si>
  <si>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</si>
  <si>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</si>
  <si>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</si>
  <si>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</si>
  <si>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</si>
  <si>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</si>
  <si>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</si>
  <si>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</si>
  <si>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</si>
  <si>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</si>
  <si>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</si>
  <si>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</si>
  <si>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</si>
  <si>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</si>
  <si>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</si>
  <si>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</si>
  <si>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</si>
  <si>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</si>
  <si>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</si>
  <si>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</si>
  <si>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</si>
  <si>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</si>
  <si>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</si>
  <si>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</si>
  <si>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</si>
  <si>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</si>
  <si>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</si>
  <si>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</si>
  <si>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</si>
  <si>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</si>
  <si>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</si>
  <si>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</si>
  <si>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</si>
  <si>
    <t>朝向</t>
  </si>
  <si>
    <t>贷款额度</t>
  </si>
  <si>
    <t>贷款年限</t>
  </si>
  <si>
    <t>33-203</t>
  </si>
  <si>
    <t>涂料</t>
  </si>
  <si>
    <t>外窗：塑钢窗；户门：防盗门</t>
  </si>
  <si>
    <t>铝扣板吊顶</t>
  </si>
  <si>
    <t>瓷砖</t>
  </si>
  <si>
    <t>地砖、木地板</t>
  </si>
  <si>
    <t>地砖</t>
  </si>
  <si>
    <t>木门</t>
  </si>
  <si>
    <t>洗菜池、整体橱柜、抽油烟机</t>
  </si>
  <si>
    <t>面盆、座便器</t>
  </si>
  <si>
    <t>水泥地面、涂料墙面</t>
  </si>
  <si>
    <t>市政供水</t>
  </si>
  <si>
    <t>市政排水</t>
  </si>
  <si>
    <t>市政供电</t>
  </si>
  <si>
    <t>集中供暖</t>
  </si>
  <si>
    <t>管道燃气入户</t>
  </si>
  <si>
    <t>电话线、有线电视、宽带入户</t>
  </si>
  <si>
    <t>消防栓</t>
  </si>
  <si>
    <t>电表磁卡计量</t>
  </si>
  <si>
    <t>小区门卫、电子门禁</t>
  </si>
  <si>
    <t>2部</t>
  </si>
  <si>
    <t>楼前后停车</t>
  </si>
  <si>
    <t>自管</t>
  </si>
  <si>
    <t>标准居住区</t>
  </si>
  <si>
    <t>市级、区级、小区级√、街区级</t>
  </si>
  <si>
    <t>高速公路、城市快速路、城市主干道√、城市次干道、支路</t>
  </si>
  <si>
    <t>有108、407等公交线路及地铁2号线经过</t>
  </si>
  <si>
    <t>利用周围配套设施</t>
  </si>
  <si>
    <t>√</t>
  </si>
  <si>
    <t>高塔</t>
  </si>
  <si>
    <t>中</t>
  </si>
  <si>
    <t>七通一平</t>
  </si>
  <si>
    <t>东南北</t>
  </si>
  <si>
    <t>西营房胡同9号院</t>
  </si>
  <si>
    <t>2号楼1504号</t>
  </si>
  <si>
    <t>PVC吊顶</t>
  </si>
  <si>
    <t>洗菜池、整体厨柜、灶具、抽油烟机</t>
  </si>
  <si>
    <t>水泥地面，涂料墙面</t>
  </si>
  <si>
    <t>有线电视、电话线、宽带入户</t>
  </si>
  <si>
    <t>电子门禁</t>
  </si>
  <si>
    <t>3部</t>
  </si>
  <si>
    <t>专用停车场位</t>
  </si>
  <si>
    <t>专业物业公司管理</t>
  </si>
  <si>
    <t>市级、区级√、小区级、街区级</t>
  </si>
  <si>
    <t>城市主干道√、城市次干道、支路</t>
  </si>
  <si>
    <t>有27、113路等公交线路及地铁2号线经过</t>
  </si>
  <si>
    <t>较好</t>
  </si>
  <si>
    <t>四</t>
  </si>
  <si>
    <t>4-1006</t>
  </si>
  <si>
    <t>外窗：塑钢窗，户门：防盗门、木门</t>
  </si>
  <si>
    <t>木地板</t>
  </si>
  <si>
    <t>洗菜池、整体橱柜、灶具、周油烟机</t>
  </si>
  <si>
    <t>消防井</t>
  </si>
  <si>
    <t>有27、113等公交线路经过</t>
  </si>
  <si>
    <t>三</t>
  </si>
  <si>
    <t>按经适房管理</t>
    <phoneticPr fontId="9" type="noConversion"/>
  </si>
  <si>
    <t>时间</t>
  </si>
  <si>
    <t>户型</t>
  </si>
  <si>
    <t>面积(㎡)</t>
  </si>
  <si>
    <t>楼层</t>
  </si>
  <si>
    <t>挂牌价(万)</t>
  </si>
  <si>
    <t>挂牌时间</t>
  </si>
  <si>
    <t>成交价(万)</t>
  </si>
  <si>
    <t>1室1厅1卫</t>
  </si>
  <si>
    <t>东</t>
  </si>
  <si>
    <t>0000-00-00</t>
  </si>
  <si>
    <t>2室2厅</t>
  </si>
  <si>
    <t>高楼层(共18层)</t>
  </si>
  <si>
    <t>南 北</t>
  </si>
  <si>
    <t>2室1厅</t>
  </si>
  <si>
    <t>低楼层(共18层)</t>
  </si>
  <si>
    <t>东南</t>
  </si>
  <si>
    <t>中楼层(共5层)</t>
  </si>
  <si>
    <t>3室1厅</t>
  </si>
  <si>
    <t>东 西 北</t>
  </si>
  <si>
    <t>中楼层(共18层)</t>
  </si>
  <si>
    <t>东北</t>
  </si>
  <si>
    <t>1室1厅</t>
  </si>
  <si>
    <t>中楼层(共6层)</t>
  </si>
  <si>
    <t>3室1厅1卫</t>
  </si>
  <si>
    <t>低楼层(共11层)</t>
  </si>
  <si>
    <t>2室1厅1卫</t>
  </si>
  <si>
    <t>3室2厅2卫</t>
  </si>
  <si>
    <t>西南 北</t>
  </si>
  <si>
    <t>3室2厅</t>
  </si>
  <si>
    <t>顶层(共5层)</t>
  </si>
  <si>
    <t>南 北 西</t>
  </si>
  <si>
    <t>低楼层(共6层)</t>
  </si>
  <si>
    <t>西 东</t>
  </si>
  <si>
    <t>南 西 北</t>
  </si>
  <si>
    <t>中楼层(共11层)</t>
  </si>
  <si>
    <t>底层(共18层)</t>
  </si>
  <si>
    <t>3室0厅</t>
  </si>
  <si>
    <t>/</t>
  </si>
  <si>
    <t>东南 西南</t>
  </si>
  <si>
    <t>高楼层/6层</t>
  </si>
  <si>
    <t>东南西</t>
  </si>
  <si>
    <t>高楼层(共11层)</t>
  </si>
  <si>
    <t>东 北</t>
  </si>
  <si>
    <t>顶层(共6层)</t>
  </si>
  <si>
    <t>东 西</t>
  </si>
  <si>
    <t>高楼层/11层</t>
  </si>
  <si>
    <t>高楼层(共6层)</t>
  </si>
  <si>
    <t>顶层(共18层)</t>
  </si>
  <si>
    <t>1室2厅</t>
  </si>
  <si>
    <t>低楼层/18层</t>
  </si>
  <si>
    <t>中楼层 共18层</t>
  </si>
  <si>
    <t>南北</t>
  </si>
  <si>
    <t>高楼层/18层</t>
  </si>
  <si>
    <t>中楼层/18层</t>
  </si>
  <si>
    <t>西南 西北 东北</t>
  </si>
  <si>
    <t>0000-00-01</t>
  </si>
  <si>
    <t>低楼层 共11层</t>
  </si>
  <si>
    <t>西北</t>
  </si>
  <si>
    <t>顶层 共6层</t>
  </si>
  <si>
    <t>中楼层 共6层</t>
  </si>
  <si>
    <t>底层 共6层</t>
  </si>
  <si>
    <t>中楼层 共11层</t>
  </si>
  <si>
    <t>高楼层 共18层</t>
  </si>
  <si>
    <t>1室1厅1厨1卫</t>
  </si>
  <si>
    <t>顶层/18层</t>
  </si>
  <si>
    <t>3室1厅1厨1卫</t>
  </si>
  <si>
    <t>中楼层/6层</t>
  </si>
  <si>
    <t>2室2厅1卫</t>
  </si>
  <si>
    <t>低楼层/6层</t>
  </si>
  <si>
    <t>顶层/5层</t>
  </si>
  <si>
    <t>底层/18层</t>
  </si>
  <si>
    <t>2室1厅1厨1卫</t>
  </si>
  <si>
    <t>东南 西北</t>
  </si>
  <si>
    <t>4室2厅3卫</t>
  </si>
  <si>
    <t>高楼层/5层</t>
  </si>
  <si>
    <t>3室2厅1厨2卫</t>
  </si>
  <si>
    <t>5室2厅1厨2卫</t>
  </si>
  <si>
    <t>中楼层/5层</t>
  </si>
  <si>
    <t>3室1厅2卫</t>
  </si>
  <si>
    <t>东南 北</t>
  </si>
  <si>
    <t>4室2厅</t>
  </si>
  <si>
    <t>东 南</t>
  </si>
  <si>
    <t>东南 西 北</t>
  </si>
  <si>
    <t>中楼层/11层</t>
  </si>
  <si>
    <t>低楼层/11层</t>
  </si>
  <si>
    <t>东南 西</t>
  </si>
  <si>
    <t>西南 东北</t>
  </si>
  <si>
    <t>底层/11层</t>
  </si>
  <si>
    <t>顶层/6层</t>
  </si>
  <si>
    <t>2室0厅</t>
  </si>
  <si>
    <t>西 东北</t>
  </si>
  <si>
    <t>西 南</t>
  </si>
  <si>
    <t>4室1厅</t>
  </si>
  <si>
    <t>南 西</t>
  </si>
  <si>
    <t>底层/6层</t>
  </si>
  <si>
    <t>上龙西里</t>
    <phoneticPr fontId="25" type="noConversion"/>
  </si>
  <si>
    <r>
      <rPr>
        <sz val="11"/>
        <color indexed="8"/>
        <rFont val="宋体"/>
        <family val="3"/>
        <charset val="134"/>
      </rPr>
      <t>高层</t>
    </r>
    <r>
      <rPr>
        <sz val="11"/>
        <color indexed="8"/>
        <rFont val="Arial"/>
        <family val="2"/>
      </rPr>
      <t>/18</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</si>
</sst>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0000"/>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
      <sz val="12"/>
      <color indexed="8"/>
      <name val="Times New Roman"/>
      <family val="1"/>
    </font>
    <font>
      <b/>
      <sz val="9"/>
      <color indexed="81"/>
      <name val="Times New Roman"/>
      <family val="1"/>
    </font>
    <font>
      <sz val="10"/>
      <name val="Times New Roman"/>
      <family val="1"/>
    </font>
    <font>
      <sz val="10"/>
      <color theme="1"/>
      <name val="宋体"/>
      <family val="2"/>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40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5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10" fontId="48" fillId="9" borderId="1" xfId="1" applyNumberFormat="1" applyFont="1" applyFill="1" applyBorder="1" applyAlignment="1" applyProtection="1">
      <alignment horizontal="center" vertical="center"/>
      <protection locked="0"/>
    </xf>
    <xf numFmtId="49" fontId="4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0" fontId="129" fillId="0" borderId="37" xfId="0" applyNumberFormat="1" applyFont="1" applyFill="1" applyBorder="1" applyAlignment="1" applyProtection="1">
      <alignment horizontal="center" vertical="center" wrapText="1"/>
      <protection locked="0"/>
    </xf>
    <xf numFmtId="181" fontId="69" fillId="9" borderId="0" xfId="0" applyNumberFormat="1" applyFont="1" applyFill="1" applyBorder="1" applyAlignment="1" applyProtection="1">
      <alignment horizontal="center" vertical="center" wrapText="1"/>
      <protection locked="0"/>
    </xf>
    <xf numFmtId="0" fontId="52" fillId="9" borderId="0" xfId="0" applyFont="1" applyFill="1" applyBorder="1" applyAlignment="1" applyProtection="1">
      <alignment horizontal="center" vertical="center"/>
      <protection locked="0"/>
    </xf>
    <xf numFmtId="0" fontId="52" fillId="9" borderId="1" xfId="0" applyFont="1" applyFill="1" applyBorder="1" applyAlignment="1" applyProtection="1">
      <alignment horizontal="center" vertical="center" wrapText="1"/>
    </xf>
    <xf numFmtId="187" fontId="52" fillId="9" borderId="5" xfId="0" applyNumberFormat="1" applyFont="1" applyFill="1" applyBorder="1" applyAlignment="1" applyProtection="1">
      <alignment horizontal="center" vertical="center"/>
    </xf>
    <xf numFmtId="49" fontId="52" fillId="9" borderId="3" xfId="0" applyNumberFormat="1" applyFont="1" applyFill="1" applyBorder="1" applyAlignment="1" applyProtection="1">
      <alignment horizontal="center" vertical="center"/>
    </xf>
    <xf numFmtId="0" fontId="52" fillId="9" borderId="15" xfId="0" applyFont="1" applyFill="1" applyBorder="1" applyAlignment="1" applyProtection="1">
      <alignment horizontal="center" vertical="center"/>
    </xf>
    <xf numFmtId="0" fontId="52" fillId="9" borderId="1" xfId="0" applyFont="1" applyFill="1" applyBorder="1" applyAlignment="1" applyProtection="1">
      <alignment horizontal="center" vertical="center"/>
    </xf>
    <xf numFmtId="0" fontId="52" fillId="9" borderId="1" xfId="0" applyNumberFormat="1" applyFont="1" applyFill="1" applyBorder="1" applyAlignment="1" applyProtection="1">
      <alignment horizontal="center" vertical="center"/>
    </xf>
    <xf numFmtId="0" fontId="52" fillId="9" borderId="0" xfId="0" applyFont="1" applyFill="1" applyAlignment="1" applyProtection="1">
      <alignment horizontal="center" vertical="center"/>
      <protection locked="0"/>
    </xf>
    <xf numFmtId="0" fontId="129" fillId="0" borderId="4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protection locked="0"/>
    </xf>
    <xf numFmtId="49" fontId="129" fillId="0" borderId="41" xfId="0" applyNumberFormat="1" applyFont="1" applyFill="1" applyBorder="1" applyAlignment="1" applyProtection="1">
      <alignment horizontal="center" vertical="center" wrapText="1"/>
      <protection locked="0"/>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14" fontId="271" fillId="12" borderId="176" xfId="0" applyNumberFormat="1" applyFont="1" applyFill="1" applyBorder="1" applyAlignment="1">
      <alignment horizontal="center" vertical="center" wrapText="1"/>
    </xf>
    <xf numFmtId="14" fontId="271" fillId="22" borderId="176" xfId="0" applyNumberFormat="1" applyFont="1" applyFill="1" applyBorder="1" applyAlignment="1">
      <alignment horizontal="center" vertical="center" wrapText="1"/>
    </xf>
    <xf numFmtId="0" fontId="273" fillId="12" borderId="176" xfId="0" applyFont="1" applyFill="1" applyBorder="1" applyAlignment="1">
      <alignment horizontal="center" vertical="center" wrapText="1"/>
    </xf>
    <xf numFmtId="14" fontId="273" fillId="12" borderId="176" xfId="0" applyNumberFormat="1" applyFont="1" applyFill="1" applyBorder="1" applyAlignment="1">
      <alignment horizontal="center" vertical="center" wrapText="1"/>
    </xf>
    <xf numFmtId="0" fontId="270" fillId="22" borderId="178"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72" fillId="22" borderId="177" xfId="0" applyFont="1" applyFill="1" applyBorder="1" applyAlignment="1">
      <alignment horizontal="center" vertical="center" wrapText="1"/>
    </xf>
    <xf numFmtId="14" fontId="271" fillId="22" borderId="177" xfId="0" applyNumberFormat="1" applyFont="1" applyFill="1" applyBorder="1" applyAlignment="1">
      <alignment horizontal="center" vertical="center" wrapText="1"/>
    </xf>
    <xf numFmtId="0" fontId="271" fillId="5" borderId="176" xfId="0" applyFont="1" applyFill="1" applyBorder="1" applyAlignment="1">
      <alignment horizontal="center" vertical="center" wrapText="1"/>
    </xf>
    <xf numFmtId="0" fontId="272" fillId="5" borderId="176" xfId="0" applyFont="1" applyFill="1" applyBorder="1" applyAlignment="1">
      <alignment horizontal="center" vertical="center" wrapText="1"/>
    </xf>
    <xf numFmtId="14" fontId="271" fillId="5" borderId="176" xfId="0" applyNumberFormat="1" applyFont="1" applyFill="1" applyBorder="1" applyAlignment="1">
      <alignment horizontal="center" vertical="center" wrapText="1"/>
    </xf>
    <xf numFmtId="49" fontId="20" fillId="23" borderId="1" xfId="0" applyNumberFormat="1" applyFont="1" applyFill="1" applyBorder="1" applyAlignment="1" applyProtection="1">
      <alignment horizontal="left"/>
      <protection locked="0"/>
    </xf>
    <xf numFmtId="0" fontId="20" fillId="23" borderId="1" xfId="0" applyFont="1" applyFill="1" applyBorder="1" applyAlignment="1" applyProtection="1">
      <alignment horizontal="center"/>
      <protection locked="0"/>
    </xf>
    <xf numFmtId="49" fontId="20" fillId="23" borderId="1" xfId="0" applyNumberFormat="1" applyFont="1" applyFill="1" applyBorder="1" applyAlignment="1" applyProtection="1">
      <alignment horizontal="center"/>
      <protection locked="0"/>
    </xf>
    <xf numFmtId="0" fontId="20" fillId="23" borderId="1" xfId="0" applyFont="1" applyFill="1" applyBorder="1" applyAlignment="1" applyProtection="1">
      <protection locked="0"/>
    </xf>
    <xf numFmtId="0" fontId="20" fillId="23" borderId="1" xfId="0" applyFont="1" applyFill="1" applyBorder="1" applyAlignment="1" applyProtection="1">
      <alignment horizontal="right"/>
      <protection locked="0"/>
    </xf>
    <xf numFmtId="0" fontId="20" fillId="23" borderId="1" xfId="0" applyFont="1" applyFill="1" applyBorder="1" applyAlignment="1" applyProtection="1">
      <alignment horizontal="left"/>
      <protection locked="0"/>
    </xf>
    <xf numFmtId="196" fontId="20" fillId="23" borderId="1" xfId="0" applyNumberFormat="1" applyFont="1" applyFill="1" applyBorder="1" applyAlignment="1" applyProtection="1">
      <alignment horizontal="right"/>
      <protection locked="0"/>
    </xf>
    <xf numFmtId="0" fontId="185" fillId="23" borderId="1" xfId="0" applyFont="1" applyFill="1" applyBorder="1" applyAlignment="1" applyProtection="1">
      <alignment horizontal="left"/>
      <protection locked="0"/>
    </xf>
    <xf numFmtId="0" fontId="185" fillId="23" borderId="1" xfId="0" applyFont="1" applyFill="1" applyBorder="1" applyAlignment="1" applyProtection="1">
      <protection locked="0"/>
    </xf>
    <xf numFmtId="31" fontId="20" fillId="23" borderId="1" xfId="0" applyNumberFormat="1" applyFont="1" applyFill="1" applyBorder="1" applyAlignment="1" applyProtection="1">
      <protection locked="0"/>
    </xf>
    <xf numFmtId="0" fontId="177" fillId="23" borderId="1" xfId="0" applyFont="1" applyFill="1" applyBorder="1" applyAlignment="1" applyProtection="1">
      <alignment horizontal="center"/>
      <protection locked="0"/>
    </xf>
    <xf numFmtId="0" fontId="177" fillId="23" borderId="5" xfId="0" applyFont="1" applyFill="1" applyBorder="1" applyAlignment="1" applyProtection="1">
      <alignment horizontal="center"/>
      <protection locked="0"/>
    </xf>
    <xf numFmtId="0" fontId="81" fillId="23" borderId="1" xfId="0" applyFont="1" applyFill="1" applyBorder="1" applyAlignment="1" applyProtection="1">
      <alignment horizontal="center"/>
      <protection locked="0"/>
    </xf>
    <xf numFmtId="0" fontId="81" fillId="23" borderId="1" xfId="0" applyFont="1" applyFill="1" applyBorder="1" applyAlignment="1">
      <alignment horizontal="center"/>
    </xf>
    <xf numFmtId="0" fontId="20" fillId="24" borderId="1" xfId="0" applyFont="1" applyFill="1" applyBorder="1" applyAlignment="1" applyProtection="1">
      <protection locked="0"/>
    </xf>
    <xf numFmtId="49" fontId="20" fillId="24" borderId="1" xfId="0" applyNumberFormat="1" applyFont="1" applyFill="1" applyBorder="1" applyAlignment="1" applyProtection="1">
      <protection locked="0"/>
    </xf>
    <xf numFmtId="197" fontId="20" fillId="24" borderId="1" xfId="0" applyNumberFormat="1" applyFont="1" applyFill="1" applyBorder="1" applyAlignment="1" applyProtection="1">
      <protection locked="0"/>
    </xf>
    <xf numFmtId="179" fontId="20" fillId="24" borderId="1" xfId="0" applyNumberFormat="1" applyFont="1" applyFill="1" applyBorder="1" applyAlignment="1" applyProtection="1">
      <protection locked="0"/>
    </xf>
    <xf numFmtId="31" fontId="20" fillId="24" borderId="1" xfId="0" applyNumberFormat="1" applyFont="1" applyFill="1" applyBorder="1" applyAlignment="1" applyProtection="1">
      <protection locked="0"/>
    </xf>
    <xf numFmtId="183" fontId="81" fillId="23" borderId="1" xfId="0" applyNumberFormat="1" applyFont="1" applyFill="1" applyBorder="1" applyAlignment="1" applyProtection="1">
      <alignment horizontal="center"/>
      <protection locked="0"/>
    </xf>
    <xf numFmtId="183" fontId="177" fillId="23" borderId="1" xfId="0" applyNumberFormat="1" applyFont="1" applyFill="1" applyBorder="1" applyAlignment="1" applyProtection="1">
      <alignment horizontal="center"/>
      <protection locked="0"/>
    </xf>
    <xf numFmtId="0" fontId="81" fillId="25" borderId="1" xfId="0" applyFont="1" applyFill="1" applyBorder="1" applyAlignment="1" applyProtection="1">
      <alignment horizontal="center"/>
      <protection locked="0"/>
    </xf>
    <xf numFmtId="0" fontId="20" fillId="0" borderId="1" xfId="0" applyFont="1" applyFill="1" applyBorder="1" applyAlignment="1" applyProtection="1">
      <protection locked="0"/>
    </xf>
    <xf numFmtId="0" fontId="20" fillId="0" borderId="1" xfId="0" applyNumberFormat="1" applyFont="1" applyFill="1" applyBorder="1" applyAlignment="1" applyProtection="1">
      <protection locked="0"/>
    </xf>
    <xf numFmtId="49" fontId="81" fillId="23" borderId="1" xfId="0" applyNumberFormat="1" applyFont="1" applyFill="1" applyBorder="1" applyAlignment="1" applyProtection="1">
      <alignment horizontal="center"/>
      <protection locked="0"/>
    </xf>
    <xf numFmtId="0" fontId="81" fillId="23" borderId="1" xfId="0" applyFont="1" applyFill="1" applyBorder="1" applyAlignment="1" applyProtection="1">
      <alignment horizontal="right"/>
      <protection locked="0"/>
    </xf>
    <xf numFmtId="0" fontId="81" fillId="23" borderId="1" xfId="0" applyFont="1" applyFill="1" applyBorder="1" applyAlignment="1" applyProtection="1">
      <protection locked="0"/>
    </xf>
    <xf numFmtId="196" fontId="81" fillId="23" borderId="1" xfId="0" applyNumberFormat="1" applyFont="1" applyFill="1" applyBorder="1" applyAlignment="1" applyProtection="1">
      <alignment horizontal="right"/>
      <protection locked="0"/>
    </xf>
    <xf numFmtId="31" fontId="81" fillId="23" borderId="1" xfId="0" applyNumberFormat="1" applyFont="1" applyFill="1" applyBorder="1" applyAlignment="1" applyProtection="1">
      <alignment horizontal="center"/>
      <protection locked="0"/>
    </xf>
    <xf numFmtId="0" fontId="81" fillId="24" borderId="1" xfId="0" applyFont="1" applyFill="1" applyBorder="1" applyAlignment="1" applyProtection="1">
      <alignment horizontal="center"/>
      <protection locked="0"/>
    </xf>
    <xf numFmtId="46" fontId="81" fillId="24" borderId="1" xfId="0" applyNumberFormat="1" applyFont="1" applyFill="1" applyBorder="1" applyAlignment="1" applyProtection="1">
      <alignment horizontal="center"/>
      <protection locked="0"/>
    </xf>
    <xf numFmtId="49" fontId="81" fillId="24" borderId="1" xfId="0" applyNumberFormat="1" applyFont="1" applyFill="1" applyBorder="1" applyAlignment="1" applyProtection="1">
      <alignment horizontal="center"/>
      <protection locked="0"/>
    </xf>
    <xf numFmtId="197" fontId="81" fillId="24" borderId="1" xfId="0" applyNumberFormat="1" applyFont="1" applyFill="1" applyBorder="1" applyAlignment="1" applyProtection="1">
      <alignment horizontal="center"/>
      <protection locked="0"/>
    </xf>
    <xf numFmtId="179" fontId="81" fillId="24" borderId="1" xfId="0" applyNumberFormat="1" applyFont="1" applyFill="1" applyBorder="1" applyAlignment="1" applyProtection="1">
      <alignment horizontal="center"/>
      <protection locked="0"/>
    </xf>
    <xf numFmtId="31" fontId="81" fillId="24" borderId="1" xfId="0" applyNumberFormat="1" applyFont="1" applyFill="1" applyBorder="1" applyAlignment="1" applyProtection="1">
      <alignment horizontal="center"/>
      <protection locked="0"/>
    </xf>
    <xf numFmtId="0" fontId="81" fillId="0" borderId="1" xfId="0" applyFont="1" applyFill="1" applyBorder="1" applyAlignment="1" applyProtection="1">
      <alignment horizontal="center"/>
      <protection locked="0"/>
    </xf>
    <xf numFmtId="0" fontId="81" fillId="0" borderId="1" xfId="0" applyNumberFormat="1" applyFont="1" applyFill="1" applyBorder="1" applyAlignment="1" applyProtection="1">
      <alignment horizontal="center"/>
      <protection locked="0"/>
    </xf>
    <xf numFmtId="0" fontId="20" fillId="0" borderId="1" xfId="0" applyFont="1" applyFill="1" applyBorder="1" applyAlignment="1">
      <alignment vertical="center"/>
    </xf>
    <xf numFmtId="49" fontId="20" fillId="0" borderId="1" xfId="0" applyNumberFormat="1" applyFont="1" applyFill="1" applyBorder="1" applyAlignment="1">
      <alignment vertical="center"/>
    </xf>
    <xf numFmtId="49" fontId="20" fillId="0" borderId="1" xfId="0" applyNumberFormat="1" applyFont="1" applyFill="1" applyBorder="1" applyAlignment="1" applyProtection="1">
      <alignment horizontal="lef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2" fontId="20" fillId="0" borderId="1" xfId="0" applyNumberFormat="1" applyFont="1" applyFill="1" applyBorder="1" applyAlignment="1">
      <alignment horizontal="right" vertical="center"/>
    </xf>
    <xf numFmtId="196" fontId="20" fillId="0" borderId="1" xfId="0" applyNumberFormat="1" applyFont="1" applyFill="1" applyBorder="1" applyAlignment="1">
      <alignment horizontal="right" vertical="center"/>
    </xf>
    <xf numFmtId="9" fontId="20" fillId="0" borderId="1" xfId="0" applyNumberFormat="1" applyFont="1" applyFill="1" applyBorder="1" applyAlignment="1">
      <alignment horizontal="right" vertical="center"/>
    </xf>
    <xf numFmtId="2" fontId="20" fillId="0" borderId="1" xfId="0" applyNumberFormat="1" applyFont="1" applyFill="1" applyBorder="1" applyAlignment="1" applyProtection="1">
      <alignment horizontal="right" vertical="center"/>
    </xf>
    <xf numFmtId="0" fontId="20" fillId="0" borderId="1" xfId="0" applyFont="1" applyFill="1" applyBorder="1" applyAlignment="1" applyProtection="1">
      <alignment horizontal="right" vertical="center"/>
      <protection locked="0"/>
    </xf>
    <xf numFmtId="0" fontId="20" fillId="0" borderId="1" xfId="0" applyFont="1" applyFill="1" applyBorder="1" applyAlignment="1">
      <alignment horizontal="center" vertical="center"/>
    </xf>
    <xf numFmtId="0" fontId="20" fillId="0" borderId="1" xfId="0" applyFont="1" applyFill="1" applyBorder="1" applyAlignment="1" applyProtection="1">
      <alignment vertical="center"/>
    </xf>
    <xf numFmtId="31" fontId="20" fillId="0" borderId="1" xfId="0" applyNumberFormat="1" applyFont="1" applyFill="1" applyBorder="1" applyAlignment="1" applyProtection="1">
      <alignment vertical="center"/>
    </xf>
    <xf numFmtId="198" fontId="20" fillId="0" borderId="1" xfId="0" applyNumberFormat="1" applyFont="1" applyFill="1" applyBorder="1" applyAlignment="1" applyProtection="1">
      <alignment horizontal="center" vertical="center"/>
    </xf>
    <xf numFmtId="0" fontId="20" fillId="0" borderId="1" xfId="0" applyFont="1" applyFill="1" applyBorder="1" applyAlignment="1" applyProtection="1">
      <alignment vertical="center"/>
      <protection locked="0"/>
    </xf>
    <xf numFmtId="0" fontId="20" fillId="0" borderId="1" xfId="0" applyFont="1" applyFill="1" applyBorder="1" applyAlignment="1" applyProtection="1">
      <alignment horizontal="left" vertical="center"/>
      <protection locked="0"/>
    </xf>
    <xf numFmtId="49" fontId="20" fillId="0" borderId="1" xfId="0" applyNumberFormat="1" applyFont="1" applyFill="1" applyBorder="1" applyAlignment="1" applyProtection="1">
      <alignment vertical="center"/>
      <protection locked="0"/>
    </xf>
    <xf numFmtId="197" fontId="20" fillId="0" borderId="1" xfId="0" applyNumberFormat="1" applyFont="1" applyFill="1" applyBorder="1" applyAlignment="1" applyProtection="1">
      <alignment vertical="center"/>
      <protection locked="0"/>
    </xf>
    <xf numFmtId="179" fontId="20" fillId="0" borderId="1" xfId="0" applyNumberFormat="1" applyFont="1" applyFill="1" applyBorder="1" applyAlignment="1" applyProtection="1">
      <alignment vertical="center"/>
      <protection locked="0"/>
    </xf>
    <xf numFmtId="0" fontId="20" fillId="0" borderId="1" xfId="0" applyFont="1" applyFill="1" applyBorder="1" applyAlignment="1">
      <alignment horizontal="left" vertical="center"/>
    </xf>
    <xf numFmtId="183" fontId="20" fillId="0" borderId="1" xfId="0" applyNumberFormat="1" applyFont="1" applyFill="1" applyBorder="1" applyAlignment="1" applyProtection="1">
      <alignment vertical="center"/>
      <protection locked="0"/>
    </xf>
    <xf numFmtId="0" fontId="276" fillId="0" borderId="0" xfId="0" applyFont="1" applyFill="1" applyBorder="1" applyAlignment="1"/>
    <xf numFmtId="0" fontId="20" fillId="0" borderId="0" xfId="0" applyFont="1" applyFill="1" applyBorder="1" applyAlignment="1" applyProtection="1">
      <alignment vertical="center"/>
      <protection locked="0"/>
    </xf>
    <xf numFmtId="0" fontId="20" fillId="0" borderId="0" xfId="0" applyFont="1" applyFill="1" applyBorder="1" applyAlignment="1">
      <alignment vertical="center"/>
    </xf>
    <xf numFmtId="31" fontId="20" fillId="0" borderId="1" xfId="0" applyNumberFormat="1" applyFont="1" applyFill="1" applyBorder="1" applyAlignment="1">
      <alignment vertical="center"/>
    </xf>
    <xf numFmtId="197" fontId="20" fillId="0" borderId="1" xfId="0" applyNumberFormat="1" applyFont="1" applyFill="1" applyBorder="1" applyAlignment="1">
      <alignment vertical="center"/>
    </xf>
    <xf numFmtId="179" fontId="20" fillId="0" borderId="1" xfId="0" applyNumberFormat="1" applyFont="1" applyFill="1" applyBorder="1" applyAlignment="1">
      <alignment vertical="center"/>
    </xf>
    <xf numFmtId="58" fontId="20" fillId="0" borderId="1" xfId="0" applyNumberFormat="1" applyFont="1" applyFill="1" applyBorder="1" applyAlignment="1" applyProtection="1">
      <alignment vertical="center"/>
      <protection locked="0"/>
    </xf>
    <xf numFmtId="198" fontId="20" fillId="0" borderId="1" xfId="0" applyNumberFormat="1" applyFont="1" applyFill="1" applyBorder="1" applyAlignment="1">
      <alignment horizontal="left" vertical="center"/>
    </xf>
    <xf numFmtId="183" fontId="20" fillId="0" borderId="1" xfId="0" applyNumberFormat="1" applyFont="1" applyFill="1" applyBorder="1" applyAlignment="1">
      <alignment vertical="center"/>
    </xf>
    <xf numFmtId="49" fontId="20" fillId="0" borderId="1" xfId="0" applyNumberFormat="1" applyFont="1" applyFill="1" applyBorder="1" applyAlignment="1">
      <alignment horizontal="left" vertical="center"/>
    </xf>
    <xf numFmtId="31" fontId="20" fillId="0" borderId="1" xfId="0" applyNumberFormat="1" applyFont="1" applyFill="1" applyBorder="1" applyAlignment="1">
      <alignment horizontal="left" vertical="center"/>
    </xf>
    <xf numFmtId="183" fontId="20" fillId="0" borderId="1" xfId="0" applyNumberFormat="1" applyFont="1" applyFill="1" applyBorder="1" applyAlignment="1">
      <alignment horizontal="left" vertical="center"/>
    </xf>
    <xf numFmtId="0" fontId="20" fillId="0" borderId="0" xfId="0" applyFont="1" applyFill="1" applyBorder="1" applyAlignment="1">
      <alignment horizontal="left" vertical="center"/>
    </xf>
    <xf numFmtId="0" fontId="20" fillId="0" borderId="1" xfId="0" applyFont="1" applyFill="1" applyBorder="1" applyAlignment="1">
      <alignment horizontal="left"/>
    </xf>
    <xf numFmtId="49" fontId="20" fillId="0" borderId="1" xfId="0" applyNumberFormat="1" applyFont="1" applyFill="1" applyBorder="1" applyAlignment="1">
      <alignment horizontal="left"/>
    </xf>
    <xf numFmtId="0" fontId="20" fillId="0" borderId="1" xfId="0" applyFont="1" applyFill="1" applyBorder="1" applyAlignment="1">
      <alignment horizontal="right"/>
    </xf>
    <xf numFmtId="49" fontId="20" fillId="0" borderId="1" xfId="0" applyNumberFormat="1" applyFont="1" applyFill="1" applyBorder="1" applyAlignment="1"/>
    <xf numFmtId="1" fontId="20" fillId="0" borderId="1" xfId="0" applyNumberFormat="1" applyFont="1" applyFill="1" applyBorder="1" applyAlignment="1">
      <alignment horizontal="right"/>
    </xf>
    <xf numFmtId="2" fontId="20" fillId="0" borderId="1" xfId="0" applyNumberFormat="1" applyFont="1" applyFill="1" applyBorder="1" applyAlignment="1">
      <alignment horizontal="right"/>
    </xf>
    <xf numFmtId="196" fontId="20" fillId="0" borderId="1" xfId="0" applyNumberFormat="1" applyFont="1" applyFill="1" applyBorder="1" applyAlignment="1">
      <alignment horizontal="right"/>
    </xf>
    <xf numFmtId="9" fontId="20" fillId="0" borderId="1" xfId="0" applyNumberFormat="1" applyFont="1" applyFill="1" applyBorder="1" applyAlignment="1">
      <alignment horizontal="right"/>
    </xf>
    <xf numFmtId="2" fontId="20" fillId="0" borderId="1" xfId="0" applyNumberFormat="1" applyFont="1" applyFill="1" applyBorder="1" applyAlignment="1" applyProtection="1">
      <alignment horizontal="right"/>
    </xf>
    <xf numFmtId="31" fontId="20" fillId="0" borderId="1" xfId="0" applyNumberFormat="1" applyFont="1" applyFill="1" applyBorder="1" applyAlignment="1">
      <alignment horizontal="left"/>
    </xf>
    <xf numFmtId="197" fontId="20" fillId="0" borderId="1" xfId="0" applyNumberFormat="1" applyFont="1" applyFill="1" applyBorder="1" applyAlignment="1">
      <alignment horizontal="left"/>
    </xf>
    <xf numFmtId="179" fontId="20" fillId="0" borderId="1" xfId="0" applyNumberFormat="1" applyFont="1" applyFill="1" applyBorder="1" applyAlignment="1">
      <alignment horizontal="left"/>
    </xf>
    <xf numFmtId="0" fontId="20" fillId="0" borderId="0" xfId="0" applyNumberFormat="1" applyFont="1" applyFill="1" applyBorder="1" applyAlignment="1"/>
    <xf numFmtId="0" fontId="20" fillId="0" borderId="0" xfId="0" applyFont="1" applyFill="1" applyBorder="1" applyAlignment="1">
      <alignment horizontal="left"/>
    </xf>
    <xf numFmtId="0" fontId="20" fillId="0" borderId="1" xfId="0" applyFont="1" applyFill="1" applyBorder="1" applyAlignment="1"/>
    <xf numFmtId="199" fontId="20" fillId="0" borderId="1" xfId="0" applyNumberFormat="1" applyFont="1" applyFill="1" applyBorder="1" applyAlignment="1">
      <alignment horizontal="right"/>
    </xf>
    <xf numFmtId="0" fontId="20" fillId="0" borderId="1" xfId="0" applyFont="1" applyFill="1" applyBorder="1" applyAlignment="1">
      <alignment horizontal="center"/>
    </xf>
    <xf numFmtId="31" fontId="20" fillId="0" borderId="1" xfId="0" applyNumberFormat="1" applyFont="1" applyFill="1" applyBorder="1" applyAlignment="1" applyProtection="1"/>
    <xf numFmtId="183" fontId="20" fillId="0" borderId="1" xfId="0" applyNumberFormat="1" applyFont="1" applyFill="1" applyBorder="1" applyAlignment="1"/>
    <xf numFmtId="0" fontId="20" fillId="0" borderId="0" xfId="0" applyFont="1" applyFill="1" applyBorder="1" applyAlignment="1"/>
    <xf numFmtId="0" fontId="20" fillId="26" borderId="1" xfId="0" applyFont="1" applyFill="1" applyBorder="1" applyAlignment="1">
      <alignment vertical="center"/>
    </xf>
    <xf numFmtId="49" fontId="20" fillId="26" borderId="1" xfId="0" applyNumberFormat="1" applyFont="1" applyFill="1" applyBorder="1" applyAlignment="1">
      <alignment vertical="center"/>
    </xf>
    <xf numFmtId="0" fontId="20" fillId="26" borderId="1" xfId="0" applyFont="1" applyFill="1" applyBorder="1" applyAlignment="1" applyProtection="1">
      <alignment horizontal="left" vertical="center"/>
    </xf>
    <xf numFmtId="49" fontId="20" fillId="26" borderId="1" xfId="0" applyNumberFormat="1" applyFont="1" applyFill="1" applyBorder="1" applyAlignment="1" applyProtection="1">
      <alignment horizontal="left" vertical="center"/>
    </xf>
    <xf numFmtId="0" fontId="20" fillId="26" borderId="1" xfId="0" applyFont="1" applyFill="1" applyBorder="1" applyAlignment="1">
      <alignment horizontal="right" vertical="center"/>
    </xf>
    <xf numFmtId="1" fontId="20" fillId="26" borderId="1" xfId="0" applyNumberFormat="1" applyFont="1" applyFill="1" applyBorder="1" applyAlignment="1">
      <alignment horizontal="right" vertical="center"/>
    </xf>
    <xf numFmtId="2" fontId="20" fillId="26" borderId="1" xfId="0" applyNumberFormat="1" applyFont="1" applyFill="1" applyBorder="1" applyAlignment="1">
      <alignment horizontal="right" vertical="center"/>
    </xf>
    <xf numFmtId="196" fontId="20" fillId="26" borderId="1" xfId="0" applyNumberFormat="1" applyFont="1" applyFill="1" applyBorder="1" applyAlignment="1">
      <alignment horizontal="right" vertical="center"/>
    </xf>
    <xf numFmtId="9" fontId="20" fillId="26" borderId="1" xfId="0" applyNumberFormat="1" applyFont="1" applyFill="1" applyBorder="1" applyAlignment="1">
      <alignment horizontal="right" vertical="center"/>
    </xf>
    <xf numFmtId="2" fontId="20" fillId="26" borderId="1" xfId="0" applyNumberFormat="1" applyFont="1" applyFill="1" applyBorder="1" applyAlignment="1" applyProtection="1">
      <alignment horizontal="right" vertical="center"/>
    </xf>
    <xf numFmtId="0" fontId="20" fillId="26" borderId="1" xfId="0" applyFont="1" applyFill="1" applyBorder="1" applyAlignment="1" applyProtection="1">
      <alignment horizontal="right" vertical="center"/>
      <protection locked="0"/>
    </xf>
    <xf numFmtId="49" fontId="20" fillId="26" borderId="1" xfId="0" applyNumberFormat="1" applyFont="1" applyFill="1" applyBorder="1" applyAlignment="1" applyProtection="1">
      <alignment vertical="center"/>
    </xf>
    <xf numFmtId="0" fontId="20" fillId="26" borderId="1" xfId="0" applyFont="1" applyFill="1" applyBorder="1" applyAlignment="1">
      <alignment horizontal="center" vertical="center"/>
    </xf>
    <xf numFmtId="0" fontId="20" fillId="26" borderId="1" xfId="0" applyFont="1" applyFill="1" applyBorder="1" applyAlignment="1" applyProtection="1">
      <alignment vertical="center"/>
    </xf>
    <xf numFmtId="31" fontId="20" fillId="26" borderId="1" xfId="0" applyNumberFormat="1" applyFont="1" applyFill="1" applyBorder="1" applyAlignment="1" applyProtection="1">
      <alignment vertical="center"/>
    </xf>
    <xf numFmtId="198" fontId="20" fillId="26" borderId="1" xfId="0" applyNumberFormat="1" applyFont="1" applyFill="1" applyBorder="1" applyAlignment="1" applyProtection="1">
      <alignment horizontal="center" vertical="center"/>
    </xf>
    <xf numFmtId="0" fontId="20" fillId="26" borderId="1" xfId="0" applyFont="1" applyFill="1" applyBorder="1" applyAlignment="1" applyProtection="1">
      <alignment vertical="center"/>
      <protection locked="0"/>
    </xf>
    <xf numFmtId="49" fontId="20" fillId="26" borderId="1" xfId="0" applyNumberFormat="1" applyFont="1" applyFill="1" applyBorder="1" applyAlignment="1" applyProtection="1">
      <alignment horizontal="left" vertical="center"/>
      <protection locked="0"/>
    </xf>
    <xf numFmtId="0" fontId="20" fillId="26" borderId="1" xfId="0" applyFont="1" applyFill="1" applyBorder="1" applyAlignment="1" applyProtection="1">
      <alignment horizontal="left" vertical="center"/>
      <protection locked="0"/>
    </xf>
    <xf numFmtId="49" fontId="20" fillId="26" borderId="1" xfId="0" applyNumberFormat="1" applyFont="1" applyFill="1" applyBorder="1" applyAlignment="1" applyProtection="1">
      <alignment vertical="center"/>
      <protection locked="0"/>
    </xf>
    <xf numFmtId="197" fontId="20" fillId="26" borderId="1" xfId="0" applyNumberFormat="1" applyFont="1" applyFill="1" applyBorder="1" applyAlignment="1" applyProtection="1">
      <alignment vertical="center"/>
      <protection locked="0"/>
    </xf>
    <xf numFmtId="179" fontId="20" fillId="26" borderId="1" xfId="0" applyNumberFormat="1" applyFont="1" applyFill="1" applyBorder="1" applyAlignment="1" applyProtection="1">
      <alignment vertical="center"/>
      <protection locked="0"/>
    </xf>
    <xf numFmtId="31" fontId="20" fillId="26" borderId="1" xfId="0" applyNumberFormat="1" applyFont="1" applyFill="1" applyBorder="1" applyAlignment="1" applyProtection="1">
      <alignment vertical="center"/>
      <protection locked="0"/>
    </xf>
    <xf numFmtId="0" fontId="20" fillId="26" borderId="1" xfId="0" applyFont="1" applyFill="1" applyBorder="1" applyAlignment="1">
      <alignment horizontal="left" vertical="center"/>
    </xf>
    <xf numFmtId="31" fontId="20" fillId="26" borderId="1" xfId="0" applyNumberFormat="1" applyFont="1" applyFill="1" applyBorder="1" applyAlignment="1" applyProtection="1">
      <alignment horizontal="right" vertical="center"/>
      <protection locked="0"/>
    </xf>
    <xf numFmtId="183" fontId="20" fillId="26" borderId="1" xfId="0" applyNumberFormat="1" applyFont="1" applyFill="1" applyBorder="1" applyAlignment="1" applyProtection="1">
      <alignment vertical="center"/>
      <protection locked="0"/>
    </xf>
    <xf numFmtId="0" fontId="276" fillId="26" borderId="0" xfId="0" applyFont="1" applyFill="1" applyBorder="1" applyAlignment="1"/>
    <xf numFmtId="0" fontId="20" fillId="26" borderId="0" xfId="0" applyFont="1" applyFill="1" applyBorder="1" applyAlignment="1" applyProtection="1">
      <alignment vertical="center"/>
      <protection locked="0"/>
    </xf>
    <xf numFmtId="0" fontId="20" fillId="26" borderId="0" xfId="0" applyFont="1" applyFill="1" applyBorder="1" applyAlignment="1">
      <alignment vertical="center"/>
    </xf>
    <xf numFmtId="31" fontId="20" fillId="26" borderId="1" xfId="0" applyNumberFormat="1" applyFont="1" applyFill="1" applyBorder="1" applyAlignment="1">
      <alignment vertical="center"/>
    </xf>
    <xf numFmtId="197" fontId="20" fillId="26" borderId="1" xfId="0" applyNumberFormat="1" applyFont="1" applyFill="1" applyBorder="1" applyAlignment="1">
      <alignment vertical="center"/>
    </xf>
    <xf numFmtId="179" fontId="20" fillId="26" borderId="1" xfId="0" applyNumberFormat="1" applyFont="1" applyFill="1" applyBorder="1" applyAlignment="1">
      <alignment vertical="center"/>
    </xf>
    <xf numFmtId="49" fontId="20" fillId="26" borderId="0" xfId="0" applyNumberFormat="1" applyFont="1" applyFill="1" applyBorder="1" applyAlignment="1" applyProtection="1">
      <alignment horizontal="center" vertical="center"/>
      <protection locked="0"/>
    </xf>
    <xf numFmtId="49" fontId="20" fillId="0" borderId="1" xfId="0" applyNumberFormat="1" applyFont="1" applyFill="1" applyBorder="1" applyAlignment="1" applyProtection="1">
      <alignment horizontal="left"/>
    </xf>
    <xf numFmtId="1" fontId="20" fillId="0" borderId="1" xfId="0" applyNumberFormat="1" applyFont="1" applyFill="1" applyBorder="1" applyAlignment="1">
      <alignment horizontal="center"/>
    </xf>
    <xf numFmtId="196" fontId="20" fillId="0" borderId="1" xfId="0" applyNumberFormat="1" applyFont="1" applyFill="1" applyBorder="1" applyAlignment="1"/>
    <xf numFmtId="9" fontId="20" fillId="0" borderId="1" xfId="0" applyNumberFormat="1" applyFont="1" applyFill="1" applyBorder="1" applyAlignment="1"/>
    <xf numFmtId="31" fontId="20" fillId="0" borderId="1" xfId="0" applyNumberFormat="1" applyFont="1" applyFill="1" applyBorder="1" applyAlignment="1"/>
    <xf numFmtId="198" fontId="20" fillId="0" borderId="1" xfId="0" applyNumberFormat="1" applyFont="1" applyFill="1" applyBorder="1" applyAlignment="1" applyProtection="1">
      <alignment horizontal="center"/>
    </xf>
    <xf numFmtId="197" fontId="20" fillId="0" borderId="1" xfId="0" applyNumberFormat="1" applyFont="1" applyFill="1" applyBorder="1" applyAlignment="1"/>
    <xf numFmtId="179" fontId="20" fillId="0" borderId="1" xfId="0" applyNumberFormat="1" applyFont="1" applyFill="1" applyBorder="1" applyAlignment="1"/>
    <xf numFmtId="183" fontId="20" fillId="0" borderId="1" xfId="0" applyNumberFormat="1" applyFont="1" applyFill="1" applyBorder="1" applyAlignment="1" applyProtection="1">
      <protection locked="0"/>
    </xf>
    <xf numFmtId="0" fontId="20" fillId="0" borderId="0" xfId="0" applyNumberFormat="1" applyFont="1" applyFill="1" applyBorder="1" applyAlignment="1" applyProtection="1">
      <alignment horizontal="center"/>
      <protection locked="0"/>
    </xf>
    <xf numFmtId="49" fontId="20" fillId="0" borderId="0" xfId="0" applyNumberFormat="1" applyFont="1" applyFill="1" applyBorder="1" applyAlignment="1" applyProtection="1">
      <alignment horizontal="center"/>
      <protection locked="0"/>
    </xf>
    <xf numFmtId="49" fontId="20" fillId="0" borderId="1" xfId="0" applyNumberFormat="1" applyFont="1" applyFill="1" applyBorder="1" applyAlignment="1">
      <alignment horizontal="right"/>
    </xf>
    <xf numFmtId="2" fontId="20" fillId="0" borderId="1" xfId="0" applyNumberFormat="1" applyFont="1" applyFill="1" applyBorder="1" applyAlignment="1">
      <alignment horizontal="left"/>
    </xf>
    <xf numFmtId="196" fontId="20" fillId="0" borderId="1" xfId="0" applyNumberFormat="1" applyFont="1" applyFill="1" applyBorder="1" applyAlignment="1">
      <alignment horizontal="left"/>
    </xf>
    <xf numFmtId="2" fontId="20" fillId="0" borderId="1" xfId="0" applyNumberFormat="1" applyFont="1" applyFill="1" applyBorder="1" applyAlignment="1" applyProtection="1"/>
    <xf numFmtId="198" fontId="20" fillId="0" borderId="1" xfId="0" applyNumberFormat="1" applyFont="1" applyFill="1" applyBorder="1" applyAlignment="1"/>
    <xf numFmtId="183" fontId="20" fillId="0" borderId="1" xfId="0" applyNumberFormat="1" applyFont="1" applyFill="1" applyBorder="1" applyAlignment="1">
      <alignment horizontal="left"/>
    </xf>
    <xf numFmtId="0" fontId="20" fillId="0" borderId="1" xfId="0" applyFont="1" applyFill="1" applyBorder="1" applyAlignment="1" applyProtection="1">
      <alignment horizontal="left"/>
      <protection locked="0"/>
    </xf>
    <xf numFmtId="0" fontId="20" fillId="0" borderId="0" xfId="0" applyFont="1" applyFill="1" applyBorder="1" applyAlignment="1" applyProtection="1">
      <protection locked="0"/>
    </xf>
    <xf numFmtId="196" fontId="20" fillId="0" borderId="1" xfId="0" applyNumberFormat="1" applyFont="1" applyFill="1" applyBorder="1" applyAlignment="1" applyProtection="1">
      <alignment horizontal="right"/>
    </xf>
    <xf numFmtId="9" fontId="52" fillId="2" borderId="23" xfId="17" applyFont="1" applyFill="1" applyBorder="1" applyAlignment="1" applyProtection="1">
      <alignment horizontal="center" vertical="center" wrapText="1"/>
      <protection locked="0"/>
    </xf>
    <xf numFmtId="9" fontId="52" fillId="2" borderId="3" xfId="17" applyFont="1" applyFill="1" applyBorder="1" applyAlignment="1" applyProtection="1">
      <alignment horizontal="center" vertical="center" wrapText="1"/>
      <protection locked="0"/>
    </xf>
    <xf numFmtId="0" fontId="81" fillId="23" borderId="1" xfId="1" applyFont="1" applyFill="1" applyBorder="1" applyAlignment="1">
      <alignment horizontal="left"/>
    </xf>
    <xf numFmtId="49" fontId="81" fillId="23" borderId="1" xfId="1" applyNumberFormat="1" applyFont="1" applyFill="1" applyBorder="1" applyAlignment="1">
      <alignment horizontal="center"/>
    </xf>
    <xf numFmtId="0" fontId="81" fillId="23" borderId="1" xfId="1" applyFont="1" applyFill="1" applyBorder="1" applyAlignment="1">
      <alignment horizontal="center"/>
    </xf>
    <xf numFmtId="9" fontId="81" fillId="23" borderId="1" xfId="1" applyNumberFormat="1" applyFont="1" applyFill="1" applyBorder="1" applyAlignment="1">
      <alignment horizontal="center"/>
    </xf>
    <xf numFmtId="0" fontId="81" fillId="23" borderId="1" xfId="1" applyFont="1" applyFill="1" applyBorder="1" applyAlignment="1">
      <alignment horizontal="right"/>
    </xf>
    <xf numFmtId="0" fontId="81" fillId="23" borderId="13" xfId="1" applyFont="1" applyFill="1" applyBorder="1" applyAlignment="1">
      <alignment horizontal="left"/>
    </xf>
    <xf numFmtId="49" fontId="81" fillId="23" borderId="13" xfId="1" applyNumberFormat="1" applyFont="1" applyFill="1" applyBorder="1" applyAlignment="1">
      <alignment horizontal="center"/>
    </xf>
    <xf numFmtId="0" fontId="81" fillId="23" borderId="13" xfId="1" applyFont="1" applyFill="1" applyBorder="1" applyAlignment="1">
      <alignment horizontal="center"/>
    </xf>
    <xf numFmtId="9" fontId="81" fillId="23" borderId="13" xfId="1" applyNumberFormat="1" applyFont="1" applyFill="1" applyBorder="1" applyAlignment="1">
      <alignment horizontal="center"/>
    </xf>
    <xf numFmtId="0" fontId="81" fillId="23" borderId="13" xfId="1" applyFont="1" applyFill="1" applyBorder="1" applyAlignment="1">
      <alignment horizontal="right"/>
    </xf>
    <xf numFmtId="0" fontId="96" fillId="0" borderId="0" xfId="1">
      <alignment vertical="center"/>
    </xf>
    <xf numFmtId="0" fontId="124" fillId="0" borderId="23" xfId="0" applyFont="1" applyBorder="1" applyAlignment="1" applyProtection="1">
      <alignment horizontal="center" vertical="center"/>
      <protection locked="0"/>
    </xf>
    <xf numFmtId="0" fontId="277" fillId="0" borderId="0" xfId="19" applyFont="1" applyAlignment="1">
      <alignment horizontal="center" vertical="center" wrapText="1"/>
    </xf>
    <xf numFmtId="0" fontId="1" fillId="0" borderId="0" xfId="19">
      <alignment vertical="center"/>
    </xf>
    <xf numFmtId="14" fontId="277" fillId="0" borderId="0" xfId="19" applyNumberFormat="1" applyFont="1" applyAlignment="1">
      <alignment horizontal="center" vertical="center" wrapText="1"/>
    </xf>
    <xf numFmtId="0" fontId="1" fillId="0" borderId="0" xfId="19" applyAlignment="1">
      <alignment horizontal="center" vertical="center" wrapText="1"/>
    </xf>
    <xf numFmtId="0" fontId="20" fillId="0" borderId="1" xfId="0" applyFont="1" applyFill="1" applyBorder="1" applyAlignment="1" applyProtection="1">
      <alignment horizontal="left" vertical="center"/>
    </xf>
    <xf numFmtId="0" fontId="20" fillId="0" borderId="1" xfId="0" applyNumberFormat="1" applyFont="1" applyFill="1" applyBorder="1" applyAlignment="1">
      <alignment horizontal="right" vertical="center"/>
    </xf>
    <xf numFmtId="49" fontId="20" fillId="0" borderId="1" xfId="0" applyNumberFormat="1" applyFont="1" applyFill="1" applyBorder="1" applyAlignment="1" applyProtection="1">
      <alignment vertical="center"/>
    </xf>
    <xf numFmtId="31" fontId="20" fillId="0" borderId="1" xfId="0" applyNumberFormat="1" applyFont="1" applyFill="1" applyBorder="1" applyAlignment="1" applyProtection="1">
      <alignment vertical="center"/>
      <protection locked="0"/>
    </xf>
    <xf numFmtId="58" fontId="20" fillId="0" borderId="1" xfId="0" applyNumberFormat="1" applyFont="1" applyFill="1" applyBorder="1" applyAlignment="1">
      <alignment vertical="center"/>
    </xf>
    <xf numFmtId="31" fontId="20" fillId="0" borderId="1" xfId="0" applyNumberFormat="1" applyFont="1" applyFill="1" applyBorder="1" applyAlignment="1" applyProtection="1">
      <alignment horizontal="right" vertical="center"/>
      <protection locked="0"/>
    </xf>
    <xf numFmtId="14" fontId="277" fillId="26" borderId="0" xfId="19" applyNumberFormat="1" applyFont="1" applyFill="1" applyAlignment="1">
      <alignment horizontal="center" vertical="center" wrapText="1"/>
    </xf>
    <xf numFmtId="0" fontId="277" fillId="26" borderId="0" xfId="19" applyFont="1" applyFill="1" applyAlignment="1">
      <alignment horizontal="center" vertical="center" wrapText="1"/>
    </xf>
    <xf numFmtId="14" fontId="277" fillId="5" borderId="0" xfId="19" applyNumberFormat="1" applyFont="1" applyFill="1" applyAlignment="1">
      <alignment horizontal="center" vertical="center" wrapText="1"/>
    </xf>
    <xf numFmtId="0" fontId="277" fillId="5" borderId="0" xfId="19" applyFont="1" applyFill="1" applyAlignment="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9"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NumberFormat="1" applyFont="1" applyFill="1" applyBorder="1" applyAlignment="1" applyProtection="1">
      <alignment horizontal="center" vertical="center" wrapText="1"/>
      <protection locked="0"/>
    </xf>
    <xf numFmtId="0" fontId="167" fillId="0" borderId="24" xfId="0" applyNumberFormat="1"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209"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31" fontId="209" fillId="0" borderId="3" xfId="0" applyNumberFormat="1" applyFont="1" applyFill="1" applyBorder="1" applyAlignment="1" applyProtection="1">
      <alignment horizontal="center" vertical="center" wrapText="1"/>
      <protection locked="0"/>
    </xf>
    <xf numFmtId="0" fontId="167" fillId="0" borderId="5" xfId="0" applyNumberFormat="1"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129540</xdr:rowOff>
    </xdr:from>
    <xdr:to>
      <xdr:col>13</xdr:col>
      <xdr:colOff>95534</xdr:colOff>
      <xdr:row>55</xdr:row>
      <xdr:rowOff>112260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542520"/>
          <a:ext cx="8515634" cy="1080000"/>
        </a:xfrm>
        <a:prstGeom prst="rect">
          <a:avLst/>
        </a:prstGeom>
      </xdr:spPr>
    </xdr:pic>
    <xdr:clientData/>
  </xdr:twoCellAnchor>
  <xdr:twoCellAnchor editAs="oneCell">
    <xdr:from>
      <xdr:col>0</xdr:col>
      <xdr:colOff>0</xdr:colOff>
      <xdr:row>55</xdr:row>
      <xdr:rowOff>160020</xdr:rowOff>
    </xdr:from>
    <xdr:to>
      <xdr:col>8</xdr:col>
      <xdr:colOff>123737</xdr:colOff>
      <xdr:row>73</xdr:row>
      <xdr:rowOff>108180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670280"/>
          <a:ext cx="5495837" cy="3240000"/>
        </a:xfrm>
        <a:prstGeom prst="rect">
          <a:avLst/>
        </a:prstGeom>
      </xdr:spPr>
    </xdr:pic>
    <xdr:clientData/>
  </xdr:twoCellAnchor>
  <xdr:twoCellAnchor editAs="oneCell">
    <xdr:from>
      <xdr:col>0</xdr:col>
      <xdr:colOff>0</xdr:colOff>
      <xdr:row>73</xdr:row>
      <xdr:rowOff>129540</xdr:rowOff>
    </xdr:from>
    <xdr:to>
      <xdr:col>19</xdr:col>
      <xdr:colOff>103252</xdr:colOff>
      <xdr:row>79</xdr:row>
      <xdr:rowOff>175117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31640"/>
          <a:ext cx="12180952" cy="1142857"/>
        </a:xfrm>
        <a:prstGeom prst="rect">
          <a:avLst/>
        </a:prstGeom>
      </xdr:spPr>
    </xdr:pic>
    <xdr:clientData/>
  </xdr:twoCellAnchor>
  <xdr:twoCellAnchor editAs="oneCell">
    <xdr:from>
      <xdr:col>0</xdr:col>
      <xdr:colOff>0</xdr:colOff>
      <xdr:row>79</xdr:row>
      <xdr:rowOff>121920</xdr:rowOff>
    </xdr:from>
    <xdr:to>
      <xdr:col>7</xdr:col>
      <xdr:colOff>146924</xdr:colOff>
      <xdr:row>97</xdr:row>
      <xdr:rowOff>70080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021300"/>
          <a:ext cx="4909424" cy="32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19978;&#40857;&#35199;&#3732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02基准地价"/>
      <sheetName val="2014基准地价"/>
      <sheetName val="2014因素修正幅度"/>
      <sheetName val="2014区片价"/>
      <sheetName val="2014修正"/>
      <sheetName val="2014容积率修正"/>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18">
          <cell r="E18">
            <v>1689205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估价对象为北京市房地产，为所有。根据《国有土地使用证》[]，估价对象（分摊）出让国有建设用地使用权面积为0平方米，建筑面积为103.29平方米。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估价对象为北京市房地产,属开发建设的，该项目尚在开发建设中。根据《国有土地使用证》[]，估价对象（分摊）出让国有建设用地使用权面积为0平方米，规划建筑面积为103.29平方米。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2013年5月30日</v>
      </c>
    </row>
    <row r="13" spans="1:2" s="1203" customFormat="1">
      <c r="A13" s="1201" t="s">
        <v>529</v>
      </c>
      <c r="B13" s="1202" t="str">
        <f>'预评函-1'!A18</f>
        <v>本次估价的“房地产价值”是指在正常市场情况下，在价值时点2013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103.29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7" sqref="H27"/>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0"/>
      <c r="B54" s="1554" t="s">
        <v>385</v>
      </c>
      <c r="C54" s="1551" t="s">
        <v>583</v>
      </c>
    </row>
    <row r="55" spans="1:4">
      <c r="A55" s="3700"/>
      <c r="B55" s="1554" t="s">
        <v>386</v>
      </c>
      <c r="C55" s="1551" t="s">
        <v>584</v>
      </c>
    </row>
    <row r="56" spans="1:4">
      <c r="A56" s="3700"/>
      <c r="B56" s="1554" t="s">
        <v>387</v>
      </c>
      <c r="C56" s="1551" t="s">
        <v>588</v>
      </c>
    </row>
    <row r="57" spans="1:4">
      <c r="A57" s="37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701" t="s">
        <v>2580</v>
      </c>
      <c r="J2" s="3701"/>
      <c r="K2" s="3701"/>
      <c r="L2" s="3701"/>
      <c r="M2" s="3701"/>
      <c r="N2" s="3701"/>
      <c r="O2" s="3701"/>
      <c r="P2" s="3701"/>
      <c r="Q2" s="3701"/>
      <c r="R2" s="3701"/>
    </row>
    <row r="3" spans="1:18">
      <c r="A3" s="3020" t="s">
        <v>2501</v>
      </c>
      <c r="B3" s="3021">
        <f>项目基本情况!D3</f>
        <v>41424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13.56</v>
      </c>
      <c r="D5" s="3025">
        <f>IF(ISERROR(ROUND(POWER(1+E5,A5-C5)*(POWER(1+E5,C5)-1)/(POWER(1+E5,A5)-1),3)),0,ROUND(POWER(1+E5,A5-C5)*(POWER(1+E5,C5)-1)/(POWER(1+E5,A5)-1),4))</f>
        <v>0.52100000000000002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23.57</v>
      </c>
      <c r="D6" s="3025">
        <f>IF(ISERROR(ROUND(POWER(1+E6,A6-C6)*(POWER(1+E6,C6)-1)/(POWER(1+E6,A6)-1),3)),0,ROUND(POWER(1+E6,A6-C6)*(POWER(1+E6,C6)-1)/(POWER(1+E6,A6)-1),4))</f>
        <v>0.70199999999999996</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43.58</v>
      </c>
      <c r="D7" s="3025">
        <f>IF(ISERROR(ROUND(POWER(1+E7,A7-C7)*(POWER(1+E7,C7)-1)/(POWER(1+E7,A7)-1),3)),0,ROUND(POWER(1+E7,A7-C7)*(POWER(1+E7,C7)-1)/(POWER(1+E7,A7)-1),4))</f>
        <v>0.87519999999999998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710" t="str">
        <f>IF(B10="北京市","北京市",C10)&amp;F10&amp;IF(结果表!G1="在建","出让国有建设用地使用权及在建建筑物",IF(结果表!G1="土地","出让国有建设用地使用权",))&amp;B9&amp;"预评估"</f>
        <v>北京市房地产市场价值预评估</v>
      </c>
      <c r="C1" s="3711"/>
      <c r="D1" s="3711"/>
      <c r="E1" s="3711"/>
      <c r="F1" s="3711"/>
      <c r="G1" s="3711"/>
      <c r="H1" s="3711"/>
      <c r="I1" s="37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41424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713"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714"/>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67179</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720"/>
      <c r="C16" s="3721"/>
      <c r="D16" s="3722"/>
      <c r="E16" s="2413" t="s">
        <v>2193</v>
      </c>
      <c r="F16" s="3723"/>
      <c r="G16" s="3724"/>
      <c r="H16" s="3724"/>
      <c r="I16" s="3725"/>
      <c r="J16" s="2439"/>
      <c r="K16" s="2617"/>
      <c r="L16" s="2451"/>
      <c r="M16" s="2451"/>
      <c r="N16" s="2509"/>
      <c r="O16" s="2451"/>
      <c r="P16" s="2509"/>
      <c r="Q16" s="2439"/>
      <c r="R16" s="2439"/>
    </row>
    <row r="17" spans="1:28">
      <c r="A17" s="313" t="s">
        <v>2194</v>
      </c>
      <c r="B17" s="302" t="s">
        <v>2195</v>
      </c>
      <c r="C17" s="8">
        <f>'数据-汇总表'!E3</f>
        <v>103.29</v>
      </c>
      <c r="D17" s="2322" t="s">
        <v>2196</v>
      </c>
      <c r="E17" s="3726" t="s">
        <v>2197</v>
      </c>
      <c r="F17" s="3727"/>
      <c r="G17" s="3727"/>
      <c r="H17" s="3727"/>
      <c r="I17" s="3728"/>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729" t="s">
        <v>2201</v>
      </c>
      <c r="F18" s="3730"/>
      <c r="G18" s="3730"/>
      <c r="H18" s="3730"/>
      <c r="I18" s="3731"/>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716" t="s">
        <v>2205</v>
      </c>
      <c r="C20" s="3717"/>
      <c r="D20" s="3718" t="s">
        <v>2206</v>
      </c>
      <c r="E20" s="3719"/>
      <c r="F20" s="2647" t="s">
        <v>1056</v>
      </c>
      <c r="G20" s="2664"/>
      <c r="H20" s="2664"/>
      <c r="I20" s="2664"/>
      <c r="J20" s="2439"/>
      <c r="K20" s="371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7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7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70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70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70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704"/>
      <c r="B30" s="302" t="s">
        <v>2217</v>
      </c>
      <c r="C30" s="3705"/>
      <c r="D30" s="3706"/>
      <c r="E30" s="2664"/>
      <c r="F30" s="2664"/>
      <c r="G30" s="2664"/>
      <c r="H30" s="2664"/>
      <c r="I30" s="2664"/>
      <c r="J30" s="2439"/>
      <c r="K30" s="2616"/>
      <c r="L30" s="2613"/>
      <c r="M30" s="2613"/>
      <c r="N30" s="2439"/>
      <c r="O30" s="2450"/>
      <c r="P30" s="2439"/>
      <c r="Q30" s="2439"/>
      <c r="R30" s="2439"/>
      <c r="S30" s="2439"/>
      <c r="T30" s="2439"/>
      <c r="U30" s="2439"/>
      <c r="V30" s="2439"/>
    </row>
    <row r="31" spans="1:28">
      <c r="A31" s="370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0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0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702" t="s">
        <v>2227</v>
      </c>
      <c r="T34" s="2428" t="str">
        <f>NUMBERSTRING(7-K34,1)&amp;"通"</f>
        <v>七通</v>
      </c>
      <c r="U34" s="2439"/>
      <c r="V34" s="2439"/>
    </row>
    <row r="35" spans="1:30">
      <c r="A35" s="2429"/>
      <c r="B35" s="3709" t="s">
        <v>2228</v>
      </c>
      <c r="C35" s="3709"/>
      <c r="D35" s="3709"/>
      <c r="E35" s="370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0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103.29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103.29</v>
      </c>
      <c r="H5" s="13">
        <f t="shared" ref="H5:AT5" si="0">SUM(H13:H656)</f>
        <v>103.29</v>
      </c>
      <c r="I5" s="13">
        <f t="shared" si="0"/>
        <v>103.29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103.29</v>
      </c>
      <c r="BA5" s="15">
        <f t="shared" si="1"/>
        <v>103.29</v>
      </c>
      <c r="BB5" s="15">
        <f t="shared" si="1"/>
        <v>103.29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103.29</v>
      </c>
      <c r="H13" s="17">
        <f>SUMIF(I$12:AB$12,"总值",I13:AB13)</f>
        <v>103.29</v>
      </c>
      <c r="I13" s="1626">
        <v>103.29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103.29</v>
      </c>
      <c r="BA13" s="13">
        <f>SUM(BB13:BK13)</f>
        <v>103.29</v>
      </c>
      <c r="BB13" s="13">
        <f>IF($D13="是",I13-J13,0)</f>
        <v>103.29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741" t="s">
        <v>1131</v>
      </c>
      <c r="B2" s="3741"/>
      <c r="C2" s="3741"/>
      <c r="D2" s="796" t="s">
        <v>1107</v>
      </c>
      <c r="E2" s="1639" t="s">
        <v>1108</v>
      </c>
      <c r="F2" s="2659"/>
      <c r="G2" s="2650"/>
      <c r="H2" s="2651"/>
      <c r="I2" s="2325" t="s">
        <v>1132</v>
      </c>
      <c r="J2" s="2659"/>
      <c r="K2" s="2659"/>
      <c r="L2" s="2659"/>
      <c r="M2" s="2659"/>
      <c r="N2" s="2661"/>
      <c r="O2" s="2659"/>
      <c r="P2" s="2659"/>
    </row>
    <row r="3" spans="1:16" ht="15" thickBot="1">
      <c r="A3" s="3742" t="s">
        <v>1105</v>
      </c>
      <c r="B3" s="3742"/>
      <c r="C3" s="3742"/>
      <c r="D3" s="43">
        <f>'数据-基础表'!AY6</f>
        <v>0</v>
      </c>
      <c r="E3" s="43">
        <f>'数据-基础表'!AZ5</f>
        <v>103.29</v>
      </c>
      <c r="F3" s="2659"/>
      <c r="G3" s="1145"/>
      <c r="H3" s="1026" t="s">
        <v>1106</v>
      </c>
      <c r="I3" s="855" t="e">
        <f>ROUND('数据-基础表'!B3/'数据-基础表'!A3,2)</f>
        <v>#DIV/0!</v>
      </c>
      <c r="J3" s="2659"/>
      <c r="K3" s="2659"/>
      <c r="L3" s="2659"/>
      <c r="M3" s="2659"/>
      <c r="N3" s="2661"/>
      <c r="O3" s="2659"/>
      <c r="P3" s="2659"/>
    </row>
    <row r="4" spans="1:16" ht="14.4">
      <c r="A4" s="3743"/>
      <c r="B4" s="3744"/>
      <c r="C4" s="374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46" t="s">
        <v>1110</v>
      </c>
      <c r="C5" s="3746"/>
      <c r="D5" s="45">
        <f>ROUND($D$3*E5/$E$3,2)</f>
        <v>0</v>
      </c>
      <c r="E5" s="46">
        <f>SUMIF('数据-基础表'!$11:$11,"住宅",'数据-基础表'!$5:$5)</f>
        <v>103.29</v>
      </c>
      <c r="F5" s="2659"/>
      <c r="G5" s="1145"/>
      <c r="H5" s="1026" t="s">
        <v>1106</v>
      </c>
      <c r="I5" s="855" t="e">
        <f>ROUND(E31/D31,2)</f>
        <v>#DIV/0!</v>
      </c>
      <c r="J5" s="2659"/>
      <c r="K5" s="2659"/>
      <c r="L5" s="2659"/>
      <c r="M5" s="2659"/>
      <c r="N5" s="2659"/>
      <c r="O5" s="2659"/>
      <c r="P5" s="2659"/>
    </row>
    <row r="6" spans="1:16" ht="15" thickBot="1">
      <c r="A6" s="1644"/>
      <c r="B6" s="3746" t="s">
        <v>1111</v>
      </c>
      <c r="C6" s="3746"/>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738"/>
      <c r="B7" s="3739"/>
      <c r="C7" s="374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103.29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103.29</v>
      </c>
      <c r="F16" s="2659"/>
      <c r="G16" s="2660"/>
      <c r="H16" s="1648" t="s">
        <v>1135</v>
      </c>
      <c r="I16" s="1649"/>
      <c r="J16" s="1139"/>
      <c r="K16" s="3735" t="s">
        <v>1135</v>
      </c>
      <c r="L16" s="3736"/>
      <c r="M16" s="3736"/>
      <c r="N16" s="3736"/>
      <c r="O16" s="3736"/>
      <c r="P16" s="3737"/>
    </row>
    <row r="17" spans="1:19" ht="14.4">
      <c r="A17" s="1650" t="s">
        <v>1136</v>
      </c>
      <c r="B17" s="1651" t="s">
        <v>1137</v>
      </c>
      <c r="C17" s="1652" t="s">
        <v>1138</v>
      </c>
      <c r="D17" s="1653" t="s">
        <v>1126</v>
      </c>
      <c r="E17" s="1654" t="s">
        <v>1127</v>
      </c>
      <c r="F17" s="1655"/>
      <c r="G17" s="1656"/>
      <c r="H17" s="1657" t="s">
        <v>1139</v>
      </c>
      <c r="I17" s="1658" t="s">
        <v>1124</v>
      </c>
      <c r="J17" s="1139"/>
      <c r="K17" s="3732" t="s">
        <v>1140</v>
      </c>
      <c r="L17" s="3733"/>
      <c r="M17" s="3734"/>
      <c r="N17" s="3732" t="s">
        <v>1141</v>
      </c>
      <c r="O17" s="3733"/>
      <c r="P17" s="373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103.29</v>
      </c>
      <c r="F19" s="2795">
        <f>'数据-基础表'!I13</f>
        <v>103.29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103.29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103.29</v>
      </c>
      <c r="F27" s="1140">
        <f>IF(SUM(F19:F26)=E8,SUM(F19:F26),"地上面积有误")</f>
        <v>103.29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103.29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103.29</v>
      </c>
      <c r="F31" s="677">
        <f>F27+F30</f>
        <v>103.29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103.29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41424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67179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103.29</v>
      </c>
      <c r="L6" s="733">
        <v>3500</v>
      </c>
      <c r="M6" s="67">
        <f t="shared" ref="M6:M14" si="0">ROUND(K6*L6/10000,0)</f>
        <v>36</v>
      </c>
      <c r="N6" s="3455">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t="s">
        <v>3411</v>
      </c>
      <c r="AO6" s="52">
        <f ca="1">SUMIF(INDIRECT("'"&amp;AN6&amp;"'"&amp;"!A:A"),"总价",INDIRECT("'"&amp;AN6&amp;"'"&amp;"!B:B"))</f>
        <v>325.02359999999999</v>
      </c>
      <c r="AP6" s="1716">
        <f>IF(C6="住宅",K6*L6,0)</f>
        <v>361515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103.29</v>
      </c>
      <c r="L16" s="93">
        <f>ROUND(M16*10000/SUM(K6:K14),0)</f>
        <v>3485</v>
      </c>
      <c r="M16" s="93">
        <f>SUM(M6:M14)</f>
        <v>36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f>1-(2013-2012)/60</f>
        <v>0.98333333333333328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0.03</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6.1500000000000006E-2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47" t="s">
        <v>2285</v>
      </c>
      <c r="B1" s="3748"/>
      <c r="C1" s="3748"/>
      <c r="D1" s="3748"/>
      <c r="E1" s="3748"/>
      <c r="F1" s="3748"/>
      <c r="G1" s="37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103.29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41424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501</v>
      </c>
      <c r="C5" s="2512" t="e">
        <f ca="1">IF(B5=D14,结果表!H102,ROUND(B5*10000/$B$1,0))</f>
        <v>#N/A</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103.29</v>
      </c>
      <c r="C14" s="2518"/>
      <c r="D14" s="2518">
        <f ca="1">结果表!G19</f>
        <v>501</v>
      </c>
      <c r="E14" s="2518">
        <f ca="1">ROUND(D14*10000/B14,0)</f>
        <v>48504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27" sqref="C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83" t="str">
        <f>项目基本情况!S2</f>
        <v>北京市房地产</v>
      </c>
      <c r="B2" s="3784"/>
      <c r="C2" s="3784"/>
      <c r="D2" s="3784"/>
      <c r="E2" s="3784"/>
      <c r="F2" s="3784"/>
      <c r="G2" s="3784"/>
      <c r="H2" s="3784"/>
      <c r="I2" s="3785"/>
    </row>
    <row r="3" spans="1:12" ht="13.2">
      <c r="A3" s="3787" t="s">
        <v>1264</v>
      </c>
      <c r="B3" s="3788"/>
      <c r="C3" s="3788"/>
      <c r="D3" s="3788"/>
      <c r="E3" s="3788"/>
      <c r="F3" s="3788"/>
      <c r="G3" s="3788"/>
      <c r="H3" s="3788"/>
      <c r="I3" s="3788"/>
    </row>
    <row r="4" spans="1:12" ht="14.4">
      <c r="A4" s="1754" t="s">
        <v>1265</v>
      </c>
      <c r="B4" s="1755" t="s">
        <v>1266</v>
      </c>
      <c r="C4" s="1756" t="s">
        <v>3410</v>
      </c>
      <c r="D4" s="1756" t="s">
        <v>3411</v>
      </c>
      <c r="E4" s="3789" t="s">
        <v>1267</v>
      </c>
      <c r="F4" s="3790"/>
      <c r="G4" s="3790"/>
      <c r="H4" s="3790"/>
      <c r="I4" s="37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63" t="s">
        <v>1268</v>
      </c>
      <c r="B5" s="3750">
        <v>25</v>
      </c>
      <c r="C5" s="3766">
        <v>8</v>
      </c>
      <c r="D5" s="3786">
        <f>10-C5</f>
        <v>2</v>
      </c>
      <c r="E5" s="131" t="s">
        <v>1269</v>
      </c>
      <c r="F5" s="1757"/>
      <c r="G5" s="1757"/>
      <c r="H5" s="1757"/>
      <c r="I5" s="1373"/>
    </row>
    <row r="6" spans="1:12" ht="13.2">
      <c r="A6" s="3763"/>
      <c r="B6" s="3750"/>
      <c r="C6" s="3767"/>
      <c r="D6" s="3786"/>
      <c r="E6" s="131" t="s">
        <v>1270</v>
      </c>
      <c r="F6" s="1757"/>
      <c r="G6" s="1757"/>
      <c r="H6" s="1757"/>
      <c r="I6" s="1373"/>
    </row>
    <row r="7" spans="1:12" ht="13.2">
      <c r="A7" s="3763"/>
      <c r="B7" s="3750"/>
      <c r="C7" s="3768"/>
      <c r="D7" s="3786"/>
      <c r="E7" s="131" t="s">
        <v>1271</v>
      </c>
      <c r="F7" s="1757"/>
      <c r="G7" s="1757"/>
      <c r="H7" s="1757"/>
      <c r="I7" s="1373"/>
    </row>
    <row r="8" spans="1:12" ht="13.2">
      <c r="A8" s="3763" t="s">
        <v>1272</v>
      </c>
      <c r="B8" s="3750">
        <v>15</v>
      </c>
      <c r="C8" s="3766"/>
      <c r="D8" s="3786"/>
      <c r="E8" s="131" t="s">
        <v>1273</v>
      </c>
      <c r="F8" s="1757"/>
      <c r="G8" s="1757"/>
      <c r="H8" s="1757"/>
      <c r="I8" s="1373"/>
    </row>
    <row r="9" spans="1:12" ht="13.2">
      <c r="A9" s="3763"/>
      <c r="B9" s="3750"/>
      <c r="C9" s="3768"/>
      <c r="D9" s="3786"/>
      <c r="E9" s="131" t="s">
        <v>1274</v>
      </c>
      <c r="F9" s="1757"/>
      <c r="G9" s="1757"/>
      <c r="H9" s="1757"/>
      <c r="I9" s="1373"/>
    </row>
    <row r="10" spans="1:12" ht="13.2">
      <c r="A10" s="3763" t="s">
        <v>1275</v>
      </c>
      <c r="B10" s="3750">
        <v>15</v>
      </c>
      <c r="C10" s="3766"/>
      <c r="D10" s="3786"/>
      <c r="E10" s="131" t="s">
        <v>1276</v>
      </c>
      <c r="F10" s="1757"/>
      <c r="G10" s="1757"/>
      <c r="H10" s="1757"/>
      <c r="I10" s="1373"/>
    </row>
    <row r="11" spans="1:12" ht="13.2">
      <c r="A11" s="3763"/>
      <c r="B11" s="3750"/>
      <c r="C11" s="3768"/>
      <c r="D11" s="3786"/>
      <c r="E11" s="131" t="s">
        <v>1277</v>
      </c>
      <c r="F11" s="1757"/>
      <c r="G11" s="1757"/>
      <c r="H11" s="1757"/>
      <c r="I11" s="1373"/>
    </row>
    <row r="12" spans="1:12" ht="13.2">
      <c r="A12" s="3763" t="s">
        <v>1278</v>
      </c>
      <c r="B12" s="3750">
        <v>15</v>
      </c>
      <c r="C12" s="3766"/>
      <c r="D12" s="3786"/>
      <c r="E12" s="131" t="s">
        <v>1279</v>
      </c>
      <c r="F12" s="1757"/>
      <c r="G12" s="1757"/>
      <c r="H12" s="1757"/>
      <c r="I12" s="1373"/>
    </row>
    <row r="13" spans="1:12" ht="13.2">
      <c r="A13" s="3763"/>
      <c r="B13" s="3750"/>
      <c r="C13" s="3768"/>
      <c r="D13" s="3786"/>
      <c r="E13" s="131" t="s">
        <v>1280</v>
      </c>
      <c r="F13" s="1757"/>
      <c r="G13" s="1757"/>
      <c r="H13" s="1757"/>
      <c r="I13" s="1373"/>
    </row>
    <row r="14" spans="1:12" ht="13.2">
      <c r="A14" s="3763" t="s">
        <v>1281</v>
      </c>
      <c r="B14" s="3750">
        <v>30</v>
      </c>
      <c r="C14" s="3766"/>
      <c r="D14" s="3786"/>
      <c r="E14" s="131" t="s">
        <v>1282</v>
      </c>
      <c r="F14" s="1757"/>
      <c r="G14" s="1757"/>
      <c r="H14" s="1757"/>
      <c r="I14" s="1373"/>
    </row>
    <row r="15" spans="1:12" ht="13.2">
      <c r="A15" s="3763"/>
      <c r="B15" s="3750"/>
      <c r="C15" s="3767"/>
      <c r="D15" s="3786"/>
      <c r="E15" s="131" t="s">
        <v>1283</v>
      </c>
      <c r="F15" s="1757"/>
      <c r="G15" s="1757"/>
      <c r="H15" s="1757"/>
      <c r="I15" s="1373"/>
    </row>
    <row r="16" spans="1:12" ht="13.2">
      <c r="A16" s="3763"/>
      <c r="B16" s="3750"/>
      <c r="C16" s="3768"/>
      <c r="D16" s="3786"/>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73" t="s">
        <v>2130</v>
      </c>
      <c r="F18" s="3774"/>
      <c r="G18" s="3774"/>
      <c r="H18" s="3774"/>
      <c r="I18" s="3774"/>
      <c r="K18" s="302" t="s">
        <v>1289</v>
      </c>
      <c r="L18" s="302">
        <f>IF(C1="",'数据-汇总表'!E3,SUMIF(项目类型,C1,'数据-汇总表'!E17:E26)+SUMIF(项目类型,C1,'数据-汇总表'!I17:I26))</f>
        <v>103.29</v>
      </c>
      <c r="M18" s="302">
        <f>IF(C1="",'数据-汇总表'!E3,SUMIF(项目类型,C1,'数据-汇总表'!E17:E26))</f>
        <v>103.29</v>
      </c>
    </row>
    <row r="19" spans="1:36" ht="14.4">
      <c r="A19" s="1761" t="s">
        <v>1290</v>
      </c>
      <c r="B19" s="1762" t="s">
        <v>1291</v>
      </c>
      <c r="C19" s="134">
        <f ca="1">SUMIF(INDIRECT("'"&amp;C4&amp;"'"&amp;"!A:A"),结果表!B19,INDIRECT("'"&amp;C4&amp;"'"&amp;"!B:B"))</f>
        <v>545.48479999999995</v>
      </c>
      <c r="D19" s="135">
        <f ca="1">SUMIF(INDIRECT("'"&amp;D4&amp;"'"&amp;"!A:A"),结果表!B19,INDIRECT("'"&amp;D4&amp;"'"&amp;"!B:B"))</f>
        <v>325.02359999999999</v>
      </c>
      <c r="E19" s="1761" t="s">
        <v>1292</v>
      </c>
      <c r="F19" s="1762" t="s">
        <v>1291</v>
      </c>
      <c r="G19" s="136">
        <f ca="1">ROUND(C19*$C$18+D19*$D$18,0)</f>
        <v>501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52811</v>
      </c>
      <c r="D20" s="138">
        <f ca="1">SUMIF(INDIRECT("'"&amp;D4&amp;"'"&amp;"!A:A"),结果表!B20,INDIRECT("'"&amp;D4&amp;"'"&amp;"!B:B"))</f>
        <v>31467</v>
      </c>
      <c r="E20" s="1764"/>
      <c r="F20" s="1026" t="s">
        <v>1295</v>
      </c>
      <c r="G20" s="139">
        <f ca="1">ROUND(C20*$C$18+D20*$D$18,0)</f>
        <v>48542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0.67829289934638592</v>
      </c>
      <c r="E22" s="129"/>
      <c r="F22" s="129"/>
      <c r="G22" s="129"/>
      <c r="H22" s="129"/>
      <c r="I22" s="129"/>
    </row>
    <row r="23" spans="1:36" ht="13.8" thickBot="1">
      <c r="A23" s="1747"/>
      <c r="B23" s="1747"/>
      <c r="C23" s="1747"/>
      <c r="D23" s="1747"/>
      <c r="E23" s="129"/>
      <c r="F23" s="129"/>
      <c r="G23" s="129"/>
      <c r="H23" s="129"/>
      <c r="I23" s="129"/>
    </row>
    <row r="24" spans="1:36" ht="14.4">
      <c r="A24" s="3757" t="s">
        <v>1299</v>
      </c>
      <c r="B24" s="1762" t="s">
        <v>1291</v>
      </c>
      <c r="C24" s="136">
        <f>IF(B30=0,0,D30)</f>
        <v>0</v>
      </c>
      <c r="D24" s="1769"/>
      <c r="E24" s="129"/>
      <c r="F24" s="129"/>
      <c r="G24" s="129"/>
      <c r="H24" s="129"/>
      <c r="I24" s="129"/>
    </row>
    <row r="25" spans="1:36" ht="14.4">
      <c r="A25" s="37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4">
      <c r="A27" s="3645" t="s">
        <v>4057</v>
      </c>
      <c r="B27" s="142">
        <f>'数据-汇总表'!F19</f>
        <v>103.29</v>
      </c>
      <c r="C27" s="142">
        <f ca="1">ROUND(G20*0.03,0)</f>
        <v>1456</v>
      </c>
      <c r="D27" s="143">
        <f ca="1">ROUND(C27*B27/10000,0)</f>
        <v>15</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48542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77" t="s">
        <v>1312</v>
      </c>
      <c r="B36" s="1787" t="s">
        <v>1313</v>
      </c>
      <c r="C36" s="145"/>
      <c r="D36" s="1788"/>
      <c r="E36" s="1789"/>
      <c r="F36" s="1790"/>
      <c r="G36" s="129"/>
      <c r="H36" s="129"/>
      <c r="I36" s="129"/>
    </row>
    <row r="37" spans="1:15" ht="15" thickBot="1">
      <c r="A37" s="3778"/>
      <c r="B37" s="1674" t="s">
        <v>1314</v>
      </c>
      <c r="C37" s="147"/>
      <c r="D37" s="1139"/>
      <c r="E37" s="1139"/>
      <c r="F37" s="1790"/>
      <c r="G37" s="129"/>
      <c r="H37" s="129"/>
      <c r="I37" s="129"/>
    </row>
    <row r="38" spans="1:15" ht="15" thickBot="1">
      <c r="A38" s="377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54" t="s">
        <v>1326</v>
      </c>
      <c r="B45" s="3755"/>
      <c r="C45" s="3756"/>
      <c r="D45" s="155" t="e">
        <f ca="1">ROUND(H101*F45,0)</f>
        <v>#REF!</v>
      </c>
      <c r="E45" s="156" t="s">
        <v>1327</v>
      </c>
      <c r="F45" s="157">
        <v>1</v>
      </c>
      <c r="G45" s="158" t="s">
        <v>1328</v>
      </c>
      <c r="H45" s="129"/>
      <c r="I45" s="129"/>
      <c r="J45" s="3832" t="s">
        <v>1329</v>
      </c>
      <c r="K45" s="3832"/>
      <c r="L45" s="3832"/>
      <c r="M45" s="3832"/>
      <c r="N45" s="3832"/>
      <c r="O45" s="3832"/>
    </row>
    <row r="46" spans="1:15" ht="14.25" customHeight="1">
      <c r="A46" s="3751" t="s">
        <v>1330</v>
      </c>
      <c r="B46" s="3752"/>
      <c r="C46" s="3752"/>
      <c r="D46" s="3752"/>
      <c r="E46" s="3752"/>
      <c r="F46" s="3752"/>
      <c r="G46" s="3753"/>
      <c r="H46" s="1806"/>
      <c r="I46" s="159"/>
      <c r="J46" s="2523">
        <v>1</v>
      </c>
      <c r="K46" s="3813" t="s">
        <v>1331</v>
      </c>
      <c r="L46" s="3813"/>
      <c r="M46" s="3833"/>
      <c r="N46" s="3833"/>
      <c r="O46" s="3833"/>
    </row>
    <row r="47" spans="1:15" ht="12" customHeight="1">
      <c r="A47" s="160" t="s">
        <v>1332</v>
      </c>
      <c r="B47" s="161"/>
      <c r="C47" s="162"/>
      <c r="D47" s="1087" t="s">
        <v>1333</v>
      </c>
      <c r="E47" s="302" t="s">
        <v>1334</v>
      </c>
      <c r="F47" s="163" t="s">
        <v>1335</v>
      </c>
      <c r="G47" s="2546" t="s">
        <v>1336</v>
      </c>
      <c r="H47" s="2547"/>
      <c r="I47" s="159"/>
      <c r="J47" s="2523">
        <v>2</v>
      </c>
      <c r="K47" s="3813" t="s">
        <v>1337</v>
      </c>
      <c r="L47" s="3813"/>
      <c r="M47" s="3834">
        <f>'数据-取费表'!B2</f>
        <v>41424</v>
      </c>
      <c r="N47" s="3834"/>
      <c r="O47" s="3834"/>
    </row>
    <row r="48" spans="1:15" ht="26.4">
      <c r="A48" s="3782" t="s">
        <v>1338</v>
      </c>
      <c r="B48" s="3765"/>
      <c r="C48" s="376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813" t="s">
        <v>1340</v>
      </c>
      <c r="L48" s="3813"/>
      <c r="M48" s="3835" t="e">
        <f ca="1">H101</f>
        <v>#REF!</v>
      </c>
      <c r="N48" s="3835"/>
      <c r="O48" s="3835"/>
    </row>
    <row r="49" spans="1:35" ht="25.5" customHeight="1">
      <c r="A49" s="2333" t="s">
        <v>1341</v>
      </c>
      <c r="B49" s="3749" t="s">
        <v>1342</v>
      </c>
      <c r="C49" s="3749"/>
      <c r="D49" s="1590">
        <v>0</v>
      </c>
      <c r="E49" s="324" t="s">
        <v>1343</v>
      </c>
      <c r="F49" s="2424" t="s">
        <v>28</v>
      </c>
      <c r="G49" s="3819"/>
      <c r="H49" s="2310" t="s">
        <v>2133</v>
      </c>
      <c r="I49" s="2311"/>
      <c r="J49" s="2523">
        <v>4</v>
      </c>
      <c r="K49" s="3813" t="str">
        <f>IF(项目基本情况!E8="房地产抵押价值","房地产抵押价值","抵押担保权已注销时的房地产抵押价值")</f>
        <v>抵押担保权已注销时的房地产抵押价值</v>
      </c>
      <c r="L49" s="3813"/>
      <c r="M49" s="3835" t="str">
        <f>IF(项目基本情况!E8="房地产抵押价值",H107,H109)</f>
        <v>——</v>
      </c>
      <c r="N49" s="3835"/>
      <c r="O49" s="3835"/>
    </row>
    <row r="50" spans="1:35" ht="25.5" customHeight="1">
      <c r="A50" s="2551"/>
      <c r="B50" s="3749" t="s">
        <v>1344</v>
      </c>
      <c r="C50" s="3749"/>
      <c r="D50" s="2552"/>
      <c r="E50" s="332"/>
      <c r="F50" s="2424"/>
      <c r="G50" s="3820"/>
      <c r="H50" s="2312" t="s">
        <v>2134</v>
      </c>
      <c r="I50" s="2311"/>
      <c r="J50" s="3832" t="s">
        <v>1345</v>
      </c>
      <c r="K50" s="3832"/>
      <c r="L50" s="3832"/>
      <c r="M50" s="3832"/>
      <c r="N50" s="3832"/>
      <c r="O50" s="3832"/>
    </row>
    <row r="51" spans="1:35" ht="20.399999999999999" customHeight="1">
      <c r="A51" s="2553"/>
      <c r="B51" s="3749" t="s">
        <v>1346</v>
      </c>
      <c r="C51" s="3749"/>
      <c r="D51" s="1087"/>
      <c r="E51" s="327"/>
      <c r="F51" s="2424"/>
      <c r="G51" s="3821"/>
      <c r="H51" s="2312" t="s">
        <v>2135</v>
      </c>
      <c r="I51" s="2311"/>
      <c r="J51" s="2524" t="s">
        <v>1347</v>
      </c>
      <c r="K51" s="3813" t="s">
        <v>1348</v>
      </c>
      <c r="L51" s="3813"/>
      <c r="M51" s="2524" t="s">
        <v>1349</v>
      </c>
      <c r="N51" s="2524" t="s">
        <v>1350</v>
      </c>
      <c r="O51" s="2524" t="s">
        <v>1351</v>
      </c>
    </row>
    <row r="52" spans="1:35" ht="24" customHeight="1">
      <c r="A52" s="2335" t="s">
        <v>1352</v>
      </c>
      <c r="B52" s="3749" t="s">
        <v>1353</v>
      </c>
      <c r="C52" s="3749"/>
      <c r="D52" s="1087" t="e">
        <f ca="1">ROUND(D45*'数据-取费表'!B41/(1+'数据-取费表'!C42),0)</f>
        <v>#REF!</v>
      </c>
      <c r="E52" s="2334" t="s">
        <v>1354</v>
      </c>
      <c r="F52" s="2554">
        <f>'数据-取费表'!B41</f>
        <v>5.6000000000000001E-2</v>
      </c>
      <c r="G52" s="2555"/>
      <c r="H52" s="2544"/>
      <c r="I52" s="1807"/>
      <c r="J52" s="2523">
        <v>1</v>
      </c>
      <c r="K52" s="3814" t="s">
        <v>1355</v>
      </c>
      <c r="L52" s="3814"/>
      <c r="M52" s="2525" t="b">
        <f>D48</f>
        <v>0</v>
      </c>
      <c r="N52" s="2523" t="str">
        <f>E48</f>
        <v>销售额×税（费）率</v>
      </c>
      <c r="O52" s="2526">
        <f>F48</f>
        <v>5.6000000000000001E-2</v>
      </c>
    </row>
    <row r="53" spans="1:35" ht="12" customHeight="1">
      <c r="A53" s="2335" t="s">
        <v>1356</v>
      </c>
      <c r="B53" s="3775" t="s">
        <v>2290</v>
      </c>
      <c r="C53" s="3776"/>
      <c r="D53" s="1087" t="e">
        <f ca="1">ROUND(D45*'数据-取费表'!B41/(1+'数据-取费表'!C42),0)</f>
        <v>#REF!</v>
      </c>
      <c r="E53" s="2334" t="s">
        <v>1354</v>
      </c>
      <c r="F53" s="2554">
        <f>'数据-取费表'!B41</f>
        <v>5.6000000000000001E-2</v>
      </c>
      <c r="G53" s="2555"/>
      <c r="H53" s="2544"/>
      <c r="I53" s="1807"/>
      <c r="J53" s="2523">
        <v>2</v>
      </c>
      <c r="K53" s="3814" t="s">
        <v>1357</v>
      </c>
      <c r="L53" s="3814"/>
      <c r="M53" s="2525" t="e">
        <f t="shared" ref="M53:O54" ca="1" si="0">D55</f>
        <v>#REF!</v>
      </c>
      <c r="N53" s="2523" t="str">
        <f t="shared" si="0"/>
        <v>销售额×税（费）率</v>
      </c>
      <c r="O53" s="2526" t="str">
        <f t="shared" si="0"/>
        <v>免征</v>
      </c>
    </row>
    <row r="54" spans="1:35" ht="12" customHeight="1">
      <c r="A54" s="2335" t="s">
        <v>1358</v>
      </c>
      <c r="B54" s="3775" t="s">
        <v>2291</v>
      </c>
      <c r="C54" s="3776"/>
      <c r="D54" s="1087" t="e">
        <f ca="1">C68</f>
        <v>#REF!</v>
      </c>
      <c r="E54" s="327" t="s">
        <v>1359</v>
      </c>
      <c r="F54" s="2554">
        <f>'数据-取费表'!B41</f>
        <v>5.6000000000000001E-2</v>
      </c>
      <c r="G54" s="2555"/>
      <c r="H54" s="2556"/>
      <c r="I54" s="1807"/>
      <c r="J54" s="2523">
        <v>3</v>
      </c>
      <c r="K54" s="3814" t="s">
        <v>1360</v>
      </c>
      <c r="L54" s="3814"/>
      <c r="M54" s="2525" t="e">
        <f t="shared" ca="1" si="0"/>
        <v>#REF!</v>
      </c>
      <c r="N54" s="2523" t="str">
        <f t="shared" si="0"/>
        <v>增值额×税（费）率</v>
      </c>
      <c r="O54" s="2527" t="str">
        <f t="shared" si="0"/>
        <v>免征</v>
      </c>
    </row>
    <row r="55" spans="1:35" ht="24" customHeight="1">
      <c r="A55" s="3764" t="s">
        <v>1361</v>
      </c>
      <c r="B55" s="3765"/>
      <c r="C55" s="3765"/>
      <c r="D55" s="2324" t="e">
        <f ca="1">IF(H55="个人住宅",0,ROUND(D45*I55,0))</f>
        <v>#REF!</v>
      </c>
      <c r="E55" s="2334" t="s">
        <v>1362</v>
      </c>
      <c r="F55" s="2554" t="str">
        <f>IF(H55="正常",I55,"免征")</f>
        <v>免征</v>
      </c>
      <c r="G55" s="2555"/>
      <c r="H55" s="2550"/>
      <c r="I55" s="165">
        <f>'数据-取费表'!B49</f>
        <v>5.0000000000000001E-4</v>
      </c>
      <c r="J55" s="2523">
        <f>IF(H59="非个人房产","",4)</f>
        <v>4</v>
      </c>
      <c r="K55" s="3814" t="str">
        <f>IF(H59="非个人房产","——","个人所得税")</f>
        <v>个人所得税</v>
      </c>
      <c r="L55" s="3814"/>
      <c r="M55" s="2528" t="e">
        <f ca="1">D59</f>
        <v>#REF!</v>
      </c>
      <c r="N55" s="2040" t="str">
        <f>E59</f>
        <v>差额计税</v>
      </c>
      <c r="O55" s="2529">
        <f>F59</f>
        <v>0.01</v>
      </c>
    </row>
    <row r="56" spans="1:35" ht="25.2">
      <c r="A56" s="3764" t="s">
        <v>1363</v>
      </c>
      <c r="B56" s="3765"/>
      <c r="C56" s="3765"/>
      <c r="D56" s="2324" t="e">
        <f ca="1">IF(H56="个人住宅",D57,D58)</f>
        <v>#REF!</v>
      </c>
      <c r="E56" s="2334" t="s">
        <v>1364</v>
      </c>
      <c r="F56" s="2554" t="str">
        <f>IF(H56="正常",F58,"免征")</f>
        <v>免征</v>
      </c>
      <c r="G56" s="2557" t="s">
        <v>1365</v>
      </c>
      <c r="H56" s="2558"/>
      <c r="I56" s="1808"/>
      <c r="J56" s="2523" t="str">
        <f>IF(项目基本情况!K6="上海银行",IF(J55="",4,J55+1),"")</f>
        <v/>
      </c>
      <c r="K56" s="3837" t="str">
        <f>IF(项目基本情况!K6="上海银行","其他处置费用","")</f>
        <v/>
      </c>
      <c r="L56" s="3838"/>
      <c r="M56" s="2525" t="str">
        <f>IF(项目基本情况!K6="上海银行",M69,"")</f>
        <v/>
      </c>
      <c r="N56" s="3837" t="str">
        <f>IF(项目基本情况!K6="上海银行","包含处置中涉及的律师、诉讼、拍卖、评估等费用","")</f>
        <v/>
      </c>
      <c r="O56" s="3840"/>
    </row>
    <row r="57" spans="1:35" ht="13.2">
      <c r="A57" s="2335" t="s">
        <v>1341</v>
      </c>
      <c r="B57" s="3775" t="s">
        <v>1366</v>
      </c>
      <c r="C57" s="3776"/>
      <c r="D57" s="1590">
        <v>0</v>
      </c>
      <c r="E57" s="324" t="s">
        <v>1343</v>
      </c>
      <c r="F57" s="302"/>
      <c r="G57" s="2555"/>
      <c r="H57" s="2559"/>
      <c r="I57" s="1808"/>
      <c r="J57" s="3814">
        <f>IF(AND(J55="",J56=""),4,IF(项目基本情况!K6="上海银行",结果表!J56+1,结果表!J55+1))</f>
        <v>5</v>
      </c>
      <c r="K57" s="3814" t="s">
        <v>1367</v>
      </c>
      <c r="L57" s="2530" t="s">
        <v>1368</v>
      </c>
      <c r="M57" s="2531"/>
      <c r="N57" s="2532">
        <f ca="1">SUMIF(M52:M56,"&lt;9e307")</f>
        <v>0</v>
      </c>
      <c r="O57" s="2533"/>
      <c r="P57" s="2690" t="e">
        <f ca="1">N57/M49</f>
        <v>#VALUE!</v>
      </c>
    </row>
    <row r="58" spans="1:35" ht="25.2">
      <c r="A58" s="2335" t="s">
        <v>1352</v>
      </c>
      <c r="B58" s="3775" t="s">
        <v>1369</v>
      </c>
      <c r="C58" s="3749"/>
      <c r="D58" s="2324" t="e">
        <f ca="1">IF(H58="转让取得",C81,C97)</f>
        <v>#REF!</v>
      </c>
      <c r="E58" s="2334" t="s">
        <v>1364</v>
      </c>
      <c r="F58" s="302" t="s">
        <v>28</v>
      </c>
      <c r="G58" s="2555"/>
      <c r="H58" s="2558"/>
      <c r="I58" s="1808"/>
      <c r="J58" s="3814"/>
      <c r="K58" s="3814"/>
      <c r="L58" s="2530" t="s">
        <v>1370</v>
      </c>
      <c r="M58" s="2534"/>
      <c r="N58" s="2535" t="str">
        <f ca="1">NUMBERSTRING(INT(N57*10000),2)&amp;"元整"</f>
        <v>零元整</v>
      </c>
      <c r="O58" s="2536"/>
    </row>
    <row r="59" spans="1:35" ht="24.6" thickBot="1">
      <c r="A59" s="3817" t="s">
        <v>1371</v>
      </c>
      <c r="B59" s="3818"/>
      <c r="C59" s="381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815">
        <f>J57+1</f>
        <v>6</v>
      </c>
      <c r="K59" s="3814" t="s">
        <v>1372</v>
      </c>
      <c r="L59" s="2523" t="s">
        <v>1368</v>
      </c>
      <c r="M59" s="2537"/>
      <c r="N59" s="2538" t="e">
        <f ca="1">M49-N57</f>
        <v>#VALUE!</v>
      </c>
      <c r="O59" s="2539"/>
    </row>
    <row r="60" spans="1:35" ht="12" customHeight="1">
      <c r="A60" s="1809"/>
      <c r="B60" s="1747"/>
      <c r="C60" s="1747"/>
      <c r="D60" s="1747"/>
      <c r="E60" s="1578"/>
      <c r="F60" s="1808"/>
      <c r="G60" s="1808"/>
      <c r="H60" s="1810"/>
      <c r="I60" s="129"/>
      <c r="J60" s="3816"/>
      <c r="K60" s="3814"/>
      <c r="L60" s="2530" t="s">
        <v>1370</v>
      </c>
      <c r="M60" s="2534"/>
      <c r="N60" s="2535" t="e">
        <f ca="1">NUMBERSTRING(INT(N59*10000),2)&amp;"元整"</f>
        <v>#VALUE!</v>
      </c>
      <c r="O60" s="2536"/>
    </row>
    <row r="61" spans="1:35" ht="13.8" thickBot="1">
      <c r="A61" s="3762" t="s">
        <v>1373</v>
      </c>
      <c r="B61" s="3762"/>
      <c r="C61" s="3762"/>
      <c r="D61" s="3762"/>
      <c r="E61" s="3762"/>
      <c r="F61" s="1808"/>
      <c r="G61" s="1808"/>
      <c r="H61" s="1810"/>
      <c r="I61" s="129"/>
      <c r="J61" s="2523">
        <f>J59+1</f>
        <v>7</v>
      </c>
      <c r="K61" s="3814" t="s">
        <v>1374</v>
      </c>
      <c r="L61" s="3814"/>
      <c r="M61" s="2540"/>
      <c r="N61" s="2541" t="e">
        <f ca="1">ROUND(N59*10000/'数据-汇总表'!E3,0)</f>
        <v>#VALUE!</v>
      </c>
      <c r="O61" s="2542"/>
    </row>
    <row r="62" spans="1:35" ht="13.2">
      <c r="A62" s="3780" t="s">
        <v>1375</v>
      </c>
      <c r="B62" s="378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83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83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83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83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83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83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83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801" t="s">
        <v>1394</v>
      </c>
      <c r="B70" s="3802"/>
      <c r="C70" s="3802"/>
      <c r="D70" s="3802"/>
      <c r="E70" s="3802"/>
      <c r="F70" s="3802"/>
      <c r="G70" s="3802"/>
      <c r="H70" s="38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80" t="s">
        <v>1375</v>
      </c>
      <c r="B71" s="378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75" t="s">
        <v>1402</v>
      </c>
      <c r="F76" s="3749"/>
      <c r="G76" s="3749"/>
      <c r="H76" s="38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59" t="s">
        <v>1406</v>
      </c>
      <c r="F78" s="3760"/>
      <c r="G78" s="3760"/>
      <c r="H78" s="37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801" t="s">
        <v>1410</v>
      </c>
      <c r="B83" s="3802"/>
      <c r="C83" s="3802"/>
      <c r="D83" s="3802"/>
      <c r="E83" s="3802"/>
      <c r="F83" s="3802"/>
      <c r="G83" s="3802"/>
      <c r="H83" s="38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80" t="s">
        <v>1375</v>
      </c>
      <c r="B84" s="37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841" t="s">
        <v>2128</v>
      </c>
      <c r="H90" s="384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59" t="s">
        <v>1419</v>
      </c>
      <c r="F91" s="3760"/>
      <c r="G91" s="37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59" t="s">
        <v>1422</v>
      </c>
      <c r="F92" s="3760"/>
      <c r="G92" s="3760"/>
      <c r="H92" s="376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59" t="s">
        <v>1406</v>
      </c>
      <c r="F93" s="3760"/>
      <c r="G93" s="3760"/>
      <c r="H93" s="37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70" t="s">
        <v>1426</v>
      </c>
      <c r="F94" s="3771"/>
      <c r="G94" s="3771"/>
      <c r="H94" s="37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43" t="s">
        <v>1428</v>
      </c>
      <c r="B100" s="3744"/>
      <c r="C100" s="3744"/>
      <c r="D100" s="3761"/>
      <c r="E100" s="3744" t="s">
        <v>1429</v>
      </c>
      <c r="F100" s="3744"/>
      <c r="G100" s="3744"/>
      <c r="H100" s="3761"/>
      <c r="I100" s="129"/>
    </row>
    <row r="101" spans="1:35" ht="18.75" customHeight="1">
      <c r="A101" s="3822" t="s">
        <v>1430</v>
      </c>
      <c r="B101" s="3823"/>
      <c r="C101" s="2585" t="str">
        <f>C4</f>
        <v>比较法-住宅</v>
      </c>
      <c r="D101" s="2586" t="str">
        <f>D4</f>
        <v>成本法 (元)</v>
      </c>
      <c r="E101" s="3836" t="s">
        <v>1431</v>
      </c>
      <c r="F101" s="3793"/>
      <c r="G101" s="1827" t="s">
        <v>1432</v>
      </c>
      <c r="H101" s="2595" t="e">
        <f ca="1">H118</f>
        <v>#REF!</v>
      </c>
      <c r="I101" s="129"/>
    </row>
    <row r="102" spans="1:35" ht="18.75" customHeight="1">
      <c r="A102" s="3795" t="s">
        <v>1433</v>
      </c>
      <c r="B102" s="2584" t="s">
        <v>1432</v>
      </c>
      <c r="C102" s="2585">
        <f ca="1">IF(D32="楼面单价",ROUND(C19,0),C19)</f>
        <v>545.48479999999995</v>
      </c>
      <c r="D102" s="2586">
        <f ca="1">IF(D32="楼面单价",ROUND(D19,0),D19)</f>
        <v>325.02359999999999</v>
      </c>
      <c r="E102" s="3836"/>
      <c r="F102" s="3793"/>
      <c r="G102" s="1827" t="s">
        <v>1434</v>
      </c>
      <c r="H102" s="2555" t="e">
        <f ca="1">I118</f>
        <v>#REF!</v>
      </c>
      <c r="I102" s="129"/>
    </row>
    <row r="103" spans="1:35" ht="42.75" customHeight="1">
      <c r="A103" s="3795"/>
      <c r="B103" s="2584" t="s">
        <v>1434</v>
      </c>
      <c r="C103" s="2587">
        <f ca="1">C20</f>
        <v>52811</v>
      </c>
      <c r="D103" s="2588">
        <f ca="1">D20</f>
        <v>31467</v>
      </c>
      <c r="E103" s="3830" t="s">
        <v>1435</v>
      </c>
      <c r="F103" s="3831"/>
      <c r="G103" s="1828" t="s">
        <v>1436</v>
      </c>
      <c r="H103" s="2595">
        <f>IF(D36="正常操作",H104+H105+H106,H105+H106)</f>
        <v>0</v>
      </c>
      <c r="I103" s="129"/>
    </row>
    <row r="104" spans="1:35" ht="18.75" customHeight="1">
      <c r="A104" s="379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9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92" t="str">
        <f>IF(项目基本情况!E8="已注销","——","3.房地产抵押价值")</f>
        <v>3.房地产抵押价值</v>
      </c>
      <c r="F107" s="3793"/>
      <c r="G107" s="1827" t="s">
        <v>1432</v>
      </c>
      <c r="H107" s="2595" t="e">
        <f ca="1">IF(E107="——","——",H101-H103)</f>
        <v>#REF!</v>
      </c>
      <c r="I107" s="129"/>
    </row>
    <row r="108" spans="1:35" ht="18.75" customHeight="1">
      <c r="A108" s="129"/>
      <c r="B108" s="129"/>
      <c r="C108" s="129"/>
      <c r="D108" s="129"/>
      <c r="E108" s="3792"/>
      <c r="F108" s="3793"/>
      <c r="G108" s="1827" t="s">
        <v>1434</v>
      </c>
      <c r="H108" s="2555">
        <f ca="1">IF(H107=H101,H102,ROUND(H107*10000/'数据-汇总表'!E3,0))</f>
        <v>0</v>
      </c>
      <c r="I108" s="129"/>
    </row>
    <row r="109" spans="1:35" ht="18.75" customHeight="1">
      <c r="A109" s="129"/>
      <c r="B109" s="129"/>
      <c r="C109" s="129"/>
      <c r="D109" s="129"/>
      <c r="E109" s="3792" t="str">
        <f>IF(项目基本情况!E8="已注销及未注销","4.抵押担保权已注销时的房地产抵押价值",IF(项目基本情况!E8="已注销","3.抵押担保权已注销时的房地产抵押价值","——"))</f>
        <v>——</v>
      </c>
      <c r="F109" s="3793"/>
      <c r="G109" s="1827" t="s">
        <v>1432</v>
      </c>
      <c r="H109" s="2598" t="str">
        <f>IF(E109="——","——",H101-H105-H106)</f>
        <v>——</v>
      </c>
      <c r="I109" s="129"/>
    </row>
    <row r="110" spans="1:35" ht="18.75" customHeight="1">
      <c r="A110" s="129"/>
      <c r="B110" s="129"/>
      <c r="C110" s="129"/>
      <c r="D110" s="129"/>
      <c r="E110" s="3792"/>
      <c r="F110" s="3793"/>
      <c r="G110" s="1827" t="s">
        <v>1434</v>
      </c>
      <c r="H110" s="2555" t="str">
        <f>IF(H109="——","——",ROUND(H109*10000/'数据-汇总表'!E3,0))</f>
        <v>——</v>
      </c>
      <c r="I110" s="129"/>
    </row>
    <row r="111" spans="1:35" ht="18.75" customHeight="1">
      <c r="A111" s="129"/>
      <c r="B111" s="129"/>
      <c r="C111" s="129"/>
      <c r="D111" s="129"/>
      <c r="E111" s="3824" t="str">
        <f>IF(项目基本情况!E9="抵押净值",IF(OR(项目基本情况!E8="已注销",项目基本情况!E8="房地产抵押价值"),"4.抵押净值","5.抵押净值"),"——")</f>
        <v>——</v>
      </c>
      <c r="F111" s="3794"/>
      <c r="G111" s="1827" t="s">
        <v>1432</v>
      </c>
      <c r="H111" s="2595" t="str">
        <f>IF(E111="——","——",N59)</f>
        <v>——</v>
      </c>
      <c r="I111" s="129"/>
    </row>
    <row r="112" spans="1:35" ht="18.75" customHeight="1" thickBot="1">
      <c r="A112" s="129"/>
      <c r="B112" s="129"/>
      <c r="C112" s="129"/>
      <c r="D112" s="129"/>
      <c r="E112" s="3825"/>
      <c r="F112" s="3826"/>
      <c r="G112" s="1830" t="s">
        <v>1434</v>
      </c>
      <c r="H112" s="2599" t="str">
        <f>IF(E111="——","——",N61)</f>
        <v>——</v>
      </c>
      <c r="I112" s="129"/>
    </row>
    <row r="113" spans="1:27" ht="18.75" customHeight="1">
      <c r="A113" s="129"/>
      <c r="B113" s="129"/>
      <c r="C113" s="129"/>
      <c r="D113" s="129"/>
      <c r="E113" s="3797" t="s">
        <v>1440</v>
      </c>
      <c r="F113" s="3797"/>
      <c r="G113" s="3797"/>
      <c r="H113" s="3797"/>
      <c r="I113" s="129"/>
    </row>
    <row r="114" spans="1:27" ht="3.75" customHeight="1">
      <c r="A114" s="1747"/>
      <c r="B114" s="1747"/>
      <c r="C114" s="1747"/>
      <c r="D114" s="1747"/>
      <c r="E114" s="1809"/>
      <c r="F114" s="1809"/>
      <c r="G114" s="1809"/>
      <c r="H114" s="1809"/>
      <c r="I114" s="1747"/>
    </row>
    <row r="115" spans="1:27" ht="18.75" customHeight="1">
      <c r="A115" s="3807" t="s">
        <v>1442</v>
      </c>
      <c r="B115" s="3808"/>
      <c r="C115" s="3808"/>
      <c r="D115" s="3808"/>
      <c r="E115" s="3808"/>
      <c r="F115" s="3808"/>
      <c r="G115" s="3808"/>
      <c r="H115" s="3808"/>
      <c r="I115" s="3809"/>
    </row>
    <row r="116" spans="1:27" ht="27" customHeight="1">
      <c r="A116" s="3763" t="s">
        <v>1443</v>
      </c>
      <c r="B116" s="3798" t="s">
        <v>1444</v>
      </c>
      <c r="C116" s="3798" t="s">
        <v>1445</v>
      </c>
      <c r="D116" s="3811" t="s">
        <v>1446</v>
      </c>
      <c r="E116" s="3812"/>
      <c r="F116" s="3806" t="s">
        <v>1447</v>
      </c>
      <c r="G116" s="3806"/>
      <c r="H116" s="3763" t="s">
        <v>1448</v>
      </c>
      <c r="I116" s="3763"/>
    </row>
    <row r="117" spans="1:27" ht="18.75" customHeight="1">
      <c r="A117" s="3763"/>
      <c r="B117" s="3799"/>
      <c r="C117" s="379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103.29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63" t="s">
        <v>1452</v>
      </c>
      <c r="B119" s="3763"/>
      <c r="C119" s="3763"/>
      <c r="D119" s="3803" t="e">
        <f ca="1">NUMBERSTRING(INT(D118*10000),2)&amp;"元整"</f>
        <v>#REF!</v>
      </c>
      <c r="E119" s="3805"/>
      <c r="F119" s="3803" t="e">
        <f ca="1">NUMBERSTRING(INT(F118*10000),2)&amp;"元整"</f>
        <v>#REF!</v>
      </c>
      <c r="G119" s="3805"/>
      <c r="H119" s="3803" t="e">
        <f ca="1">NUMBERSTRING(INT(H118*10000),2)&amp;"元整"</f>
        <v>#REF!</v>
      </c>
      <c r="I119" s="3805"/>
    </row>
    <row r="120" spans="1:27" ht="18.75" customHeight="1">
      <c r="A120" s="3827" t="str">
        <f>IF(项目基本情况!B9="房地产市场价值","",MID(E103,3,LEN(E103)-2))</f>
        <v/>
      </c>
      <c r="B120" s="3828"/>
      <c r="C120" s="3829"/>
      <c r="D120" s="3827">
        <f>H103</f>
        <v>0</v>
      </c>
      <c r="E120" s="3828"/>
      <c r="F120" s="3828"/>
      <c r="G120" s="3828"/>
      <c r="H120" s="3828"/>
      <c r="I120" s="38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03" t="s">
        <v>1452</v>
      </c>
      <c r="B121" s="3804"/>
      <c r="C121" s="3805"/>
      <c r="D121" s="3803" t="str">
        <f>IF(D120=0,"零元整",NUMBERSTRING(INT(D120*10000),2)&amp;"元整")</f>
        <v>零元整</v>
      </c>
      <c r="E121" s="3804"/>
      <c r="F121" s="3804"/>
      <c r="G121" s="3804"/>
      <c r="H121" s="3804"/>
      <c r="I121" s="3805"/>
      <c r="AA121" s="725"/>
    </row>
    <row r="122" spans="1:27" ht="18.75" customHeight="1">
      <c r="A122" s="3794" t="str">
        <f>IF(项目基本情况!B9="房地产市场价值","",MID(E107,3,LEN(E107)-2))</f>
        <v/>
      </c>
      <c r="B122" s="3794"/>
      <c r="C122" s="3794"/>
      <c r="D122" s="3827" t="e">
        <f ca="1">H107</f>
        <v>#REF!</v>
      </c>
      <c r="E122" s="3828"/>
      <c r="F122" s="3828"/>
      <c r="G122" s="3828"/>
      <c r="H122" s="3828"/>
      <c r="I122" s="3829"/>
      <c r="AA122" s="725"/>
    </row>
    <row r="123" spans="1:27" ht="18.75" customHeight="1">
      <c r="A123" s="3763" t="s">
        <v>1452</v>
      </c>
      <c r="B123" s="3763"/>
      <c r="C123" s="3763"/>
      <c r="D123" s="3803" t="e">
        <f ca="1">NUMBERSTRING(INT(D122*10000),2)&amp;"元整"</f>
        <v>#REF!</v>
      </c>
      <c r="E123" s="3804"/>
      <c r="F123" s="3804"/>
      <c r="G123" s="3804"/>
      <c r="H123" s="3804"/>
      <c r="I123" s="3805"/>
      <c r="AA123" s="725"/>
    </row>
    <row r="124" spans="1:27" ht="18.75" customHeight="1">
      <c r="A124" s="3794" t="str">
        <f>IF(项目基本情况!B9="房地产市场价值","",MID(E109,3,LEN(E109)-2))</f>
        <v/>
      </c>
      <c r="B124" s="3794"/>
      <c r="C124" s="3794"/>
      <c r="D124" s="3827" t="str">
        <f>H109</f>
        <v>——</v>
      </c>
      <c r="E124" s="3828"/>
      <c r="F124" s="3828"/>
      <c r="G124" s="3828"/>
      <c r="H124" s="3828"/>
      <c r="I124" s="3829"/>
      <c r="AA124" s="725"/>
    </row>
    <row r="125" spans="1:27" ht="18.75" customHeight="1">
      <c r="A125" s="3763" t="s">
        <v>1452</v>
      </c>
      <c r="B125" s="3763"/>
      <c r="C125" s="3763"/>
      <c r="D125" s="3803" t="e">
        <f>NUMBERSTRING(INT(D124*10000),2)&amp;"元整"</f>
        <v>#VALUE!</v>
      </c>
      <c r="E125" s="3804"/>
      <c r="F125" s="3804"/>
      <c r="G125" s="3804"/>
      <c r="H125" s="3804"/>
      <c r="I125" s="3805"/>
      <c r="AA125" s="725"/>
    </row>
    <row r="126" spans="1:27" ht="18.75" customHeight="1">
      <c r="A126" s="3794" t="str">
        <f>IF(项目基本情况!B9="房地产市场价值","",MID(E111,3,LEN(E111)-2))</f>
        <v/>
      </c>
      <c r="B126" s="3794"/>
      <c r="C126" s="3794"/>
      <c r="D126" s="3827" t="str">
        <f>H111</f>
        <v>——</v>
      </c>
      <c r="E126" s="3828"/>
      <c r="F126" s="3828"/>
      <c r="G126" s="3828"/>
      <c r="H126" s="3828"/>
      <c r="I126" s="3829"/>
      <c r="AA126" s="725"/>
    </row>
    <row r="127" spans="1:27" ht="18.75" customHeight="1">
      <c r="A127" s="3763" t="s">
        <v>1452</v>
      </c>
      <c r="B127" s="3763"/>
      <c r="C127" s="3763"/>
      <c r="D127" s="3803" t="e">
        <f>NUMBERSTRING(INT(D126*10000),2)&amp;"元整"</f>
        <v>#VALUE!</v>
      </c>
      <c r="E127" s="3804"/>
      <c r="F127" s="3804"/>
      <c r="G127" s="3804"/>
      <c r="H127" s="3804"/>
      <c r="I127" s="3805"/>
      <c r="AA127" s="725"/>
    </row>
    <row r="128" spans="1:27" ht="21.75" customHeight="1">
      <c r="A128" s="3810" t="s">
        <v>1453</v>
      </c>
      <c r="B128" s="3810"/>
      <c r="C128" s="3810"/>
      <c r="D128" s="3810"/>
      <c r="E128" s="3810"/>
      <c r="F128" s="3810"/>
      <c r="G128" s="3810"/>
      <c r="H128" s="3810"/>
      <c r="I128" s="38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6390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103.29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103.29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1.8E-3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1.8E-3</v>
      </c>
      <c r="D26" s="238"/>
      <c r="E26" s="241"/>
      <c r="F26" s="239"/>
      <c r="G26" s="243"/>
    </row>
    <row r="27" spans="1:7" s="214" customFormat="1" ht="26.4">
      <c r="A27" s="255" t="s">
        <v>1512</v>
      </c>
      <c r="B27" s="244" t="s">
        <v>1513</v>
      </c>
      <c r="C27" s="245">
        <f ca="1">C28</f>
        <v>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0.1</v>
      </c>
      <c r="G36" s="260" t="s">
        <v>1530</v>
      </c>
    </row>
    <row r="37" spans="1:7" s="258" customFormat="1" ht="13.5" customHeight="1">
      <c r="A37" s="780" t="s">
        <v>353</v>
      </c>
      <c r="B37" s="215" t="s">
        <v>1531</v>
      </c>
      <c r="C37" s="249">
        <f ca="1">ROUND(E37*D37*F34/10000,0)</f>
        <v>2</v>
      </c>
      <c r="D37" s="217">
        <f ca="1">D19</f>
        <v>103.29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1.8E-3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843" t="s">
        <v>1544</v>
      </c>
    </row>
    <row r="43" spans="1:7" ht="13.5" customHeight="1">
      <c r="A43" s="780" t="s">
        <v>347</v>
      </c>
      <c r="B43" s="215" t="s">
        <v>1545</v>
      </c>
      <c r="C43" s="238">
        <f ca="1">ROUND(IF('数据-取费表'!B22&lt;=1,C39*F22*'数据-取费表'!B21/2,C39*(POWER((1+F22),'数据-取费表'!B21/2)-1)),0)</f>
        <v>0</v>
      </c>
      <c r="D43" s="238"/>
      <c r="E43" s="238"/>
      <c r="F43" s="239"/>
      <c r="G43" s="3844"/>
    </row>
    <row r="44" spans="1:7" ht="13.5" customHeight="1">
      <c r="A44" s="780" t="s">
        <v>348</v>
      </c>
      <c r="B44" s="215" t="s">
        <v>1546</v>
      </c>
      <c r="C44" s="238">
        <f ca="1">ROUND(IF('数据-取费表'!B22&lt;=1,C40*F22*'数据-取费表'!B21/2,C40*(POWER((1+F22),'数据-取费表'!B21/2)-1)),4)</f>
        <v>1.8E-3</v>
      </c>
      <c r="D44" s="238"/>
      <c r="E44" s="238"/>
      <c r="F44" s="239"/>
      <c r="G44" s="3845"/>
    </row>
    <row r="45" spans="1:7" s="214" customFormat="1" ht="13.5" customHeight="1">
      <c r="A45" s="255" t="s">
        <v>1547</v>
      </c>
      <c r="B45" s="244" t="s">
        <v>1513</v>
      </c>
      <c r="C45" s="245">
        <f ca="1">C46</f>
        <v>10</v>
      </c>
      <c r="D45" s="235">
        <f ca="1">C47</f>
        <v>6.0000000000000001E-3</v>
      </c>
      <c r="E45" s="236" t="s">
        <v>1539</v>
      </c>
      <c r="F45" s="246">
        <f ca="1">F27</f>
        <v>0.2</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67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64</v>
      </c>
      <c r="D51" s="232"/>
      <c r="E51" s="232"/>
      <c r="F51" s="264"/>
      <c r="G51" s="234" t="s">
        <v>1560</v>
      </c>
    </row>
    <row r="52" spans="1:7" s="208" customFormat="1" ht="16.8" thickBot="1">
      <c r="A52" s="265" t="s">
        <v>1561</v>
      </c>
      <c r="B52" s="266"/>
      <c r="C52" s="267">
        <f ca="1">C31+C51</f>
        <v>66</v>
      </c>
      <c r="D52" s="266"/>
      <c r="E52" s="266"/>
      <c r="F52" s="266"/>
      <c r="G52" s="268"/>
    </row>
    <row r="55" spans="1:7" ht="15">
      <c r="B55" s="270" t="s">
        <v>1562</v>
      </c>
      <c r="C55" s="271"/>
    </row>
    <row r="56" spans="1:7">
      <c r="B56" s="273" t="s">
        <v>802</v>
      </c>
      <c r="C56" s="275">
        <f ca="1">1-C57</f>
        <v>3.0000000000000027E-2</v>
      </c>
    </row>
    <row r="57" spans="1:7">
      <c r="B57" s="273" t="s">
        <v>803</v>
      </c>
      <c r="C57" s="274">
        <f ca="1">ROUND(C51/C52,3)</f>
        <v>0.97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60" t="str">
        <f>项目基本情况!B1</f>
        <v>北京市房地产市场价值预评估</v>
      </c>
      <c r="C37" s="3660"/>
      <c r="D37" s="3660"/>
      <c r="E37" s="3660"/>
      <c r="F37" s="3660"/>
      <c r="G37" s="3660"/>
      <c r="H37" s="3660"/>
      <c r="I37" s="36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F38" sqref="F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325.02359999999999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31467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1740726</v>
      </c>
      <c r="D5" s="211" t="s">
        <v>1469</v>
      </c>
      <c r="E5" s="212" t="s">
        <v>1470</v>
      </c>
      <c r="F5" s="212" t="s">
        <v>1471</v>
      </c>
      <c r="G5" s="213"/>
    </row>
    <row r="6" spans="1:8" s="214" customFormat="1" ht="13.5" customHeight="1">
      <c r="A6" s="778" t="s">
        <v>1472</v>
      </c>
      <c r="B6" s="215" t="s">
        <v>1473</v>
      </c>
      <c r="C6" s="216">
        <f>'[2]2002基准地价'!$E$18</f>
        <v>1689205</v>
      </c>
      <c r="D6" s="217"/>
      <c r="E6" s="218"/>
      <c r="F6" s="218"/>
      <c r="G6" s="219"/>
    </row>
    <row r="7" spans="1:8" s="214" customFormat="1" ht="13.5" customHeight="1">
      <c r="A7" s="778" t="s">
        <v>1474</v>
      </c>
      <c r="B7" s="215" t="s">
        <v>1475</v>
      </c>
      <c r="C7" s="220">
        <f>ROUND(C6*F7,0)</f>
        <v>51521</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16526</v>
      </c>
      <c r="D9" s="845">
        <f ca="1">IF(B1="",'数据-汇总表'!E5,IF(INDIRECT("'数据-取费表'!c"&amp;$G$1)="住宅",INDIRECT("'数据-取费表'!k"&amp;$G$1),0))</f>
        <v>103.29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103.29</v>
      </c>
      <c r="E19" s="211">
        <f>'数据-取费表'!B31</f>
        <v>200</v>
      </c>
      <c r="F19" s="231"/>
      <c r="G19" s="1856" t="s">
        <v>3426</v>
      </c>
    </row>
    <row r="20" spans="1:7" s="214" customFormat="1" ht="13.5" customHeight="1">
      <c r="A20" s="255" t="s">
        <v>1574</v>
      </c>
      <c r="B20" s="210" t="s">
        <v>1575</v>
      </c>
      <c r="C20" s="232">
        <f>ROUND((C5+C19)*F20,0)</f>
        <v>52222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223905</v>
      </c>
      <c r="D22" s="235">
        <f ca="1">C26</f>
        <v>1.8E-3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220693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3212</v>
      </c>
      <c r="D25" s="238"/>
      <c r="E25" s="241"/>
      <c r="F25" s="239"/>
      <c r="G25" s="242" t="s">
        <v>1588</v>
      </c>
    </row>
    <row r="26" spans="1:7" s="214" customFormat="1">
      <c r="A26" s="780" t="s">
        <v>350</v>
      </c>
      <c r="B26" s="215" t="s">
        <v>1511</v>
      </c>
      <c r="C26" s="238">
        <f ca="1">ROUND(IF('数据-取费表'!B22&lt;=1,F21*F22*'数据-取费表'!B22/2,F21*(POWER((1+F22),'数据-取费表'!B22/2)-1)),4)</f>
        <v>1.8E-3</v>
      </c>
      <c r="D26" s="238"/>
      <c r="E26" s="241"/>
      <c r="F26" s="239"/>
      <c r="G26" s="243"/>
    </row>
    <row r="27" spans="1:7" s="214" customFormat="1" ht="26.4">
      <c r="A27" s="255" t="s">
        <v>1512</v>
      </c>
      <c r="B27" s="244" t="s">
        <v>1513</v>
      </c>
      <c r="C27" s="245">
        <f ca="1">C28</f>
        <v>358590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358590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2621323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461707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361515</v>
      </c>
      <c r="D34" s="217"/>
      <c r="E34" s="220"/>
      <c r="F34" s="257"/>
      <c r="G34" s="219"/>
    </row>
    <row r="35" spans="1:7" ht="13.5" customHeight="1">
      <c r="A35" s="780" t="s">
        <v>351</v>
      </c>
      <c r="B35" s="215" t="s">
        <v>1527</v>
      </c>
      <c r="C35" s="220">
        <f ca="1">ROUND(C34*F35,0)</f>
        <v>36152</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36152</v>
      </c>
      <c r="D36" s="220"/>
      <c r="E36" s="220"/>
      <c r="F36" s="259">
        <f>'数据-取费表'!B34</f>
        <v>0.1</v>
      </c>
      <c r="G36" s="260" t="s">
        <v>1530</v>
      </c>
    </row>
    <row r="37" spans="1:7" s="258" customFormat="1" ht="13.5" customHeight="1">
      <c r="A37" s="780" t="s">
        <v>353</v>
      </c>
      <c r="B37" s="215" t="s">
        <v>1531</v>
      </c>
      <c r="C37" s="249">
        <f ca="1">ROUND(E37*D37,0)</f>
        <v>20658</v>
      </c>
      <c r="D37" s="217">
        <f ca="1">D19</f>
        <v>103.29</v>
      </c>
      <c r="E37" s="249">
        <f>'数据-取费表'!B35</f>
        <v>200</v>
      </c>
      <c r="F37" s="259"/>
      <c r="G37" s="261"/>
    </row>
    <row r="38" spans="1:7" ht="13.5" customHeight="1">
      <c r="A38" s="780" t="s">
        <v>354</v>
      </c>
      <c r="B38" s="215" t="s">
        <v>1533</v>
      </c>
      <c r="C38" s="220">
        <f ca="1">ROUND(C34*F38,0)</f>
        <v>7230</v>
      </c>
      <c r="D38" s="220"/>
      <c r="E38" s="220"/>
      <c r="F38" s="259">
        <f>'数据-取费表'!B36</f>
        <v>0.02</v>
      </c>
      <c r="G38" s="219" t="s">
        <v>1528</v>
      </c>
    </row>
    <row r="39" spans="1:7" s="214" customFormat="1" ht="13.5" customHeight="1">
      <c r="A39" s="255" t="s">
        <v>1534</v>
      </c>
      <c r="B39" s="210" t="s">
        <v>1535</v>
      </c>
      <c r="C39" s="232">
        <f ca="1">ROUND(C33*F20,0)</f>
        <v>13851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29247</v>
      </c>
      <c r="D41" s="235">
        <f ca="1">C44</f>
        <v>1.8E-3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28395</v>
      </c>
      <c r="D42" s="238"/>
      <c r="E42" s="238"/>
      <c r="F42" s="239"/>
      <c r="G42" s="3843" t="s">
        <v>1591</v>
      </c>
    </row>
    <row r="43" spans="1:7" ht="13.5" customHeight="1">
      <c r="A43" s="780" t="s">
        <v>347</v>
      </c>
      <c r="B43" s="215" t="s">
        <v>1545</v>
      </c>
      <c r="C43" s="238">
        <f ca="1">ROUND(IF('数据-取费表'!B22&lt;=1,C39*F22*'数据-取费表'!B20/2,C39*(POWER((1+F22),'数据-取费表'!B20/2)-1)),0)</f>
        <v>852</v>
      </c>
      <c r="D43" s="238"/>
      <c r="E43" s="238"/>
      <c r="F43" s="239"/>
      <c r="G43" s="3844"/>
    </row>
    <row r="44" spans="1:7" ht="13.5" customHeight="1">
      <c r="A44" s="780" t="s">
        <v>348</v>
      </c>
      <c r="B44" s="215" t="s">
        <v>1546</v>
      </c>
      <c r="C44" s="238">
        <f ca="1">ROUND(IF('数据-取费表'!B22&lt;=1,C40*F22*'数据-取费表'!B20/2,C40*(POWER((1+F22),'数据-取费表'!B20/2)-1)),4)</f>
        <v>1.8E-3</v>
      </c>
      <c r="D44" s="238"/>
      <c r="E44" s="238"/>
      <c r="F44" s="239"/>
      <c r="G44" s="3845"/>
    </row>
    <row r="45" spans="1:7" s="214" customFormat="1" ht="13.5" customHeight="1">
      <c r="A45" s="255" t="s">
        <v>1547</v>
      </c>
      <c r="B45" s="244" t="s">
        <v>1513</v>
      </c>
      <c r="C45" s="245">
        <f ca="1">C46</f>
        <v>95112</v>
      </c>
      <c r="D45" s="235">
        <f ca="1">C47</f>
        <v>6.0000000000000001E-3</v>
      </c>
      <c r="E45" s="236" t="s">
        <v>1539</v>
      </c>
      <c r="F45" s="246">
        <f ca="1">F27</f>
        <v>0.2</v>
      </c>
      <c r="G45" s="247" t="s">
        <v>1548</v>
      </c>
    </row>
    <row r="46" spans="1:7" s="214" customFormat="1" ht="13.5" customHeight="1">
      <c r="A46" s="780" t="s">
        <v>346</v>
      </c>
      <c r="B46" s="248" t="s">
        <v>1549</v>
      </c>
      <c r="C46" s="249">
        <f ca="1">ROUND((C33+C39)*F27,0)</f>
        <v>95112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662014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628913</v>
      </c>
      <c r="D51" s="232"/>
      <c r="E51" s="232"/>
      <c r="F51" s="264"/>
      <c r="G51" s="234" t="s">
        <v>1560</v>
      </c>
    </row>
    <row r="52" spans="1:7" s="208" customFormat="1" ht="16.8" thickBot="1">
      <c r="A52" s="265" t="s">
        <v>1561</v>
      </c>
      <c r="B52" s="266"/>
      <c r="C52" s="267">
        <f ca="1">C31+C51</f>
        <v>3250236</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-194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103.29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103.29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103.29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103.29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8" t="s">
        <v>694</v>
      </c>
      <c r="C6" s="1074">
        <f ca="1">ROUND(F6*F8*F7*(1-F9)/10000,0)</f>
        <v>0</v>
      </c>
      <c r="D6" s="155" t="s">
        <v>2108</v>
      </c>
      <c r="E6" s="302" t="s">
        <v>696</v>
      </c>
      <c r="F6" s="303">
        <f ca="1">INDIRECT("'数据-取费表'!u"&amp;$G$1)</f>
        <v>0</v>
      </c>
      <c r="G6" s="1384"/>
      <c r="H6" s="1069" t="s">
        <v>398</v>
      </c>
      <c r="I6" s="3848" t="s">
        <v>694</v>
      </c>
      <c r="J6" s="301">
        <f ca="1">ROUND(M6*M8*M7*(1-M9)/10000,0)</f>
        <v>0</v>
      </c>
      <c r="K6" s="155" t="s">
        <v>2107</v>
      </c>
      <c r="L6" s="302" t="s">
        <v>696</v>
      </c>
      <c r="M6" s="303">
        <f ca="1">INDIRECT("'数据-取费表'!z"&amp;$G$1)</f>
        <v>0</v>
      </c>
    </row>
    <row r="7" spans="1:37" ht="18" customHeight="1">
      <c r="A7" s="1073"/>
      <c r="B7" s="3849"/>
      <c r="C7" s="1075"/>
      <c r="D7" s="307"/>
      <c r="E7" s="1076" t="s">
        <v>697</v>
      </c>
      <c r="F7" s="303">
        <f ca="1">IF(INDIRECT("'数据-取费表'!ah"&amp;$G$1)="",INDIRECT("'数据-取费表'!k"&amp;$G$1),INDIRECT("'数据-取费表'!ah"&amp;$G$1))</f>
        <v>0</v>
      </c>
      <c r="G7" s="1384"/>
      <c r="H7" s="304"/>
      <c r="I7" s="3849"/>
      <c r="J7" s="306"/>
      <c r="K7" s="307"/>
      <c r="L7" s="302" t="s">
        <v>697</v>
      </c>
      <c r="M7" s="303">
        <f ca="1">F7</f>
        <v>0</v>
      </c>
    </row>
    <row r="8" spans="1:37" ht="18" customHeight="1">
      <c r="A8" s="304"/>
      <c r="B8" s="3849"/>
      <c r="C8" s="306"/>
      <c r="D8" s="307"/>
      <c r="E8" s="302" t="s">
        <v>698</v>
      </c>
      <c r="F8" s="303">
        <f ca="1">INDIRECT("'数据-取费表'!ai"&amp;$G$1)</f>
        <v>0</v>
      </c>
      <c r="G8" s="1384"/>
      <c r="H8" s="304"/>
      <c r="I8" s="3849"/>
      <c r="J8" s="306"/>
      <c r="K8" s="307"/>
      <c r="L8" s="302" t="s">
        <v>698</v>
      </c>
      <c r="M8" s="303">
        <f ca="1">INDIRECT("'数据-取费表'!ai"&amp;$G$1)</f>
        <v>0</v>
      </c>
    </row>
    <row r="9" spans="1:37" ht="18" customHeight="1">
      <c r="A9" s="304"/>
      <c r="B9" s="3850"/>
      <c r="C9" s="306"/>
      <c r="D9" s="307"/>
      <c r="E9" s="302" t="s">
        <v>699</v>
      </c>
      <c r="F9" s="312">
        <f ca="1">INDIRECT("'数据-取费表'!w"&amp;$G$1)</f>
        <v>0</v>
      </c>
      <c r="G9" s="1384"/>
      <c r="H9" s="304"/>
      <c r="I9" s="38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846" t="s">
        <v>837</v>
      </c>
      <c r="L53" s="384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48" t="s">
        <v>694</v>
      </c>
      <c r="C6" s="1074">
        <f ca="1">ROUND(F6*F8*F7*(1-F9),0)</f>
        <v>0</v>
      </c>
      <c r="D6" s="155" t="s">
        <v>2105</v>
      </c>
      <c r="E6" s="302" t="s">
        <v>696</v>
      </c>
      <c r="F6" s="303">
        <f ca="1">INDIRECT("'数据-取费表'!u"&amp;$G$1)</f>
        <v>0</v>
      </c>
      <c r="G6" s="1384"/>
      <c r="H6" s="1069" t="s">
        <v>398</v>
      </c>
      <c r="I6" s="3848" t="s">
        <v>694</v>
      </c>
      <c r="J6" s="301">
        <f ca="1">ROUND(M6*M8*M7*(1-M9),0)</f>
        <v>0</v>
      </c>
      <c r="K6" s="1376" t="s">
        <v>2106</v>
      </c>
      <c r="L6" s="302" t="s">
        <v>696</v>
      </c>
      <c r="M6" s="303">
        <f ca="1">INDIRECT("'数据-取费表'!z"&amp;$G$1)</f>
        <v>0</v>
      </c>
    </row>
    <row r="7" spans="1:37" ht="18" customHeight="1">
      <c r="A7" s="1073"/>
      <c r="B7" s="3849"/>
      <c r="C7" s="1075"/>
      <c r="D7" s="307"/>
      <c r="E7" s="1076" t="s">
        <v>697</v>
      </c>
      <c r="F7" s="303">
        <f ca="1">IF(INDIRECT("'数据-取费表'!ah"&amp;$G$1)="",INDIRECT("'数据-取费表'!k"&amp;$G$1),INDIRECT("'数据-取费表'!ah"&amp;$G$1))</f>
        <v>0</v>
      </c>
      <c r="G7" s="1384"/>
      <c r="H7" s="304"/>
      <c r="I7" s="3849"/>
      <c r="J7" s="306"/>
      <c r="K7" s="307"/>
      <c r="L7" s="302" t="s">
        <v>697</v>
      </c>
      <c r="M7" s="303">
        <f ca="1">F7</f>
        <v>0</v>
      </c>
    </row>
    <row r="8" spans="1:37" ht="18" customHeight="1">
      <c r="A8" s="304"/>
      <c r="B8" s="3849"/>
      <c r="C8" s="306"/>
      <c r="D8" s="307"/>
      <c r="E8" s="302" t="s">
        <v>698</v>
      </c>
      <c r="F8" s="303">
        <f ca="1">INDIRECT("'数据-取费表'!ai"&amp;$G$1)</f>
        <v>0</v>
      </c>
      <c r="G8" s="1384"/>
      <c r="H8" s="304"/>
      <c r="I8" s="3849"/>
      <c r="J8" s="306"/>
      <c r="K8" s="307"/>
      <c r="L8" s="302" t="s">
        <v>698</v>
      </c>
      <c r="M8" s="303">
        <f ca="1">INDIRECT("'数据-取费表'!ai"&amp;$G$1)</f>
        <v>0</v>
      </c>
    </row>
    <row r="9" spans="1:37" ht="18" customHeight="1">
      <c r="A9" s="304"/>
      <c r="B9" s="3850"/>
      <c r="C9" s="306"/>
      <c r="D9" s="307"/>
      <c r="E9" s="302" t="s">
        <v>699</v>
      </c>
      <c r="F9" s="312">
        <f ca="1">INDIRECT("'数据-取费表'!w"&amp;$G$1)</f>
        <v>0</v>
      </c>
      <c r="G9" s="1384"/>
      <c r="H9" s="304"/>
      <c r="I9" s="38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1.8E-3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846" t="s">
        <v>837</v>
      </c>
      <c r="L53" s="384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857" t="s">
        <v>2317</v>
      </c>
      <c r="K2" s="385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859" t="s">
        <v>2327</v>
      </c>
      <c r="K3" s="386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859" t="s">
        <v>2329</v>
      </c>
      <c r="K4" s="386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865" t="s">
        <v>2333</v>
      </c>
      <c r="B6" s="3866"/>
      <c r="C6" s="3867"/>
      <c r="D6" s="2870"/>
      <c r="E6" s="2871"/>
      <c r="F6" s="2872"/>
      <c r="G6" s="2873"/>
      <c r="H6" s="2848"/>
      <c r="I6" s="2849"/>
      <c r="J6" s="3851">
        <v>1</v>
      </c>
      <c r="K6" s="385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851"/>
      <c r="K7" s="385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868" t="s">
        <v>2347</v>
      </c>
      <c r="C8" s="3869"/>
      <c r="D8" s="2889" t="s">
        <v>2348</v>
      </c>
      <c r="E8" s="2890" t="s">
        <v>2349</v>
      </c>
      <c r="F8" s="2891" t="s">
        <v>2350</v>
      </c>
      <c r="G8" s="2892"/>
      <c r="H8" s="2848"/>
      <c r="I8" s="2849"/>
      <c r="J8" s="3851"/>
      <c r="K8" s="385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868" t="s">
        <v>2353</v>
      </c>
      <c r="C9" s="3869"/>
      <c r="D9" s="2889">
        <f>ROUND(D6*E9,0)</f>
        <v>0</v>
      </c>
      <c r="E9" s="2893"/>
      <c r="F9" s="2894" t="s">
        <v>2354</v>
      </c>
      <c r="G9" s="2873"/>
      <c r="H9" s="2848"/>
      <c r="I9" s="2849"/>
      <c r="J9" s="3851"/>
      <c r="K9" s="3853"/>
      <c r="L9" s="2883" t="s">
        <v>2355</v>
      </c>
      <c r="M9" s="2884"/>
      <c r="N9" s="2860"/>
      <c r="O9" s="2885"/>
      <c r="P9" s="2885"/>
      <c r="Q9" s="2886">
        <v>365</v>
      </c>
      <c r="R9" s="2887">
        <f t="shared" si="0"/>
        <v>0</v>
      </c>
      <c r="S9" s="2841"/>
      <c r="T9" s="2841"/>
      <c r="U9" s="2841"/>
      <c r="V9" s="2849"/>
    </row>
    <row r="10" spans="1:22" s="2853" customFormat="1" ht="13.2" customHeight="1">
      <c r="A10" s="2888">
        <v>2</v>
      </c>
      <c r="B10" s="3868" t="s">
        <v>2356</v>
      </c>
      <c r="C10" s="3869"/>
      <c r="D10" s="2889">
        <f>ROUND(D6*E10,0)</f>
        <v>0</v>
      </c>
      <c r="E10" s="2893"/>
      <c r="F10" s="2894" t="s">
        <v>2357</v>
      </c>
      <c r="G10" s="2873"/>
      <c r="H10" s="2848"/>
      <c r="I10" s="2849"/>
      <c r="J10" s="3851"/>
      <c r="K10" s="3853"/>
      <c r="L10" s="2883" t="s">
        <v>2358</v>
      </c>
      <c r="M10" s="2884"/>
      <c r="N10" s="2860"/>
      <c r="O10" s="2885"/>
      <c r="P10" s="2885"/>
      <c r="Q10" s="2886">
        <v>365</v>
      </c>
      <c r="R10" s="2887">
        <f t="shared" si="0"/>
        <v>0</v>
      </c>
      <c r="S10" s="2841"/>
      <c r="T10" s="2841"/>
      <c r="U10" s="2841"/>
      <c r="V10" s="2849"/>
    </row>
    <row r="11" spans="1:22" s="2853" customFormat="1" ht="13.2" customHeight="1">
      <c r="A11" s="2888">
        <v>3</v>
      </c>
      <c r="B11" s="3868" t="s">
        <v>2359</v>
      </c>
      <c r="C11" s="3869"/>
      <c r="D11" s="2889">
        <f>D12+D14+D15+D16</f>
        <v>0</v>
      </c>
      <c r="E11" s="2895" t="e">
        <f>D11/D6</f>
        <v>#DIV/0!</v>
      </c>
      <c r="F11" s="2891"/>
      <c r="G11" s="2892"/>
      <c r="H11" s="2848"/>
      <c r="I11" s="2849"/>
      <c r="J11" s="3851"/>
      <c r="K11" s="385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861" t="s">
        <v>2362</v>
      </c>
      <c r="C12" s="3862"/>
      <c r="D12" s="2897">
        <f>ROUND(D13*1.2%*(1-30%),0)</f>
        <v>0</v>
      </c>
      <c r="E12" s="2898">
        <v>1.2E-2</v>
      </c>
      <c r="F12" s="2891" t="s">
        <v>2363</v>
      </c>
      <c r="G12" s="2892"/>
      <c r="H12" s="2848"/>
      <c r="I12" s="2849"/>
      <c r="J12" s="3851"/>
      <c r="K12" s="385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851"/>
      <c r="K13" s="385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861" t="s">
        <v>2368</v>
      </c>
      <c r="C14" s="3862"/>
      <c r="D14" s="2897">
        <f>ROUND(E14*B5/10000,0)</f>
        <v>0</v>
      </c>
      <c r="E14" s="2886"/>
      <c r="F14" s="2891" t="s">
        <v>2369</v>
      </c>
      <c r="G14" s="2892"/>
      <c r="H14" s="2848"/>
      <c r="I14" s="2849"/>
      <c r="J14" s="3851"/>
      <c r="K14" s="385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861" t="s">
        <v>2372</v>
      </c>
      <c r="C15" s="3862"/>
      <c r="D15" s="2897">
        <f>ROUND(D6*E15,0)</f>
        <v>0</v>
      </c>
      <c r="E15" s="2898">
        <v>5.5E-2</v>
      </c>
      <c r="F15" s="2891" t="s">
        <v>2373</v>
      </c>
      <c r="G15" s="2873"/>
      <c r="H15" s="2848"/>
      <c r="I15" s="2849"/>
      <c r="J15" s="3851">
        <v>2</v>
      </c>
      <c r="K15" s="385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861" t="s">
        <v>2381</v>
      </c>
      <c r="C16" s="3862"/>
      <c r="D16" s="2908">
        <f>D6*E16</f>
        <v>0</v>
      </c>
      <c r="E16" s="2909"/>
      <c r="F16" s="2894" t="s">
        <v>2382</v>
      </c>
      <c r="G16" s="2873"/>
      <c r="H16" s="2848"/>
      <c r="I16" s="2849"/>
      <c r="J16" s="3851"/>
      <c r="K16" s="385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863" t="s">
        <v>2384</v>
      </c>
      <c r="C17" s="3864"/>
      <c r="D17" s="2911">
        <f>ROUND(D6*E17,0)</f>
        <v>0</v>
      </c>
      <c r="E17" s="2912"/>
      <c r="F17" s="2913" t="s">
        <v>2385</v>
      </c>
      <c r="G17" s="2873"/>
      <c r="H17" s="2848"/>
      <c r="I17" s="2849"/>
      <c r="J17" s="3851"/>
      <c r="K17" s="385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851"/>
      <c r="K18" s="385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851"/>
      <c r="K19" s="385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51">
        <v>3</v>
      </c>
      <c r="K20" s="385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851"/>
      <c r="K21" s="385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851"/>
      <c r="K22" s="385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851"/>
      <c r="K23" s="385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851"/>
      <c r="K24" s="385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85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85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857" t="s">
        <v>2317</v>
      </c>
      <c r="K32" s="385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859" t="s">
        <v>2327</v>
      </c>
      <c r="K33" s="386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859" t="s">
        <v>2329</v>
      </c>
      <c r="K34" s="386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851">
        <v>1</v>
      </c>
      <c r="K36" s="385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851"/>
      <c r="K37" s="385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51"/>
      <c r="K38" s="385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851"/>
      <c r="K39" s="385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851"/>
      <c r="K40" s="385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85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85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325.02359999999999</v>
      </c>
      <c r="C2" s="1872" t="s">
        <v>1651</v>
      </c>
      <c r="D2" s="1873" t="s">
        <v>1652</v>
      </c>
      <c r="E2" s="2607">
        <f>SUM(E6:E13)</f>
        <v>103.29</v>
      </c>
      <c r="F2" s="2707"/>
      <c r="G2" s="1489"/>
      <c r="H2" s="1489"/>
      <c r="I2" s="1489"/>
      <c r="J2" s="1489"/>
      <c r="K2" s="1489"/>
      <c r="L2" s="1489"/>
      <c r="M2" s="1489"/>
      <c r="N2" s="1489"/>
      <c r="O2" s="1489"/>
      <c r="P2" s="1489"/>
      <c r="Q2" s="1489"/>
      <c r="R2" s="1489"/>
      <c r="S2" s="1489"/>
    </row>
    <row r="3" spans="1:22" ht="15.6">
      <c r="A3" s="1870" t="s">
        <v>686</v>
      </c>
      <c r="B3" s="2601">
        <f ca="1">ROUND(B2*10000/E2,0)</f>
        <v>31467</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70" t="s">
        <v>1654</v>
      </c>
      <c r="C5" s="3871"/>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成本法 (元)</v>
      </c>
      <c r="B6" s="2602">
        <f ca="1">IF(F6="是",'数据-取费表'!AO6,0)</f>
        <v>325.02359999999999</v>
      </c>
      <c r="C6" s="1872" t="s">
        <v>1651</v>
      </c>
      <c r="D6" s="2709"/>
      <c r="E6" s="2606">
        <f>IF(OR(A6=0,F6="否"),0,'数据-取费表'!K6+'数据-取费表'!S6)</f>
        <v>103.29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4" zoomScale="90" zoomScaleNormal="60" zoomScaleSheetLayoutView="90" workbookViewId="0">
      <selection activeCell="G122" sqref="G12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6.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545.48479999999995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52811</v>
      </c>
      <c r="C3" s="354" t="s">
        <v>1665</v>
      </c>
      <c r="D3" s="353">
        <f>IF(D1="",'数据-汇总表'!E3,SUMIF('数据-汇总表'!$C19:$C33,D1,'数据-汇总表'!$E19:$E33))</f>
        <v>103.29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90" t="s">
        <v>1667</v>
      </c>
      <c r="D4" s="3891"/>
      <c r="E4" s="3892" t="s">
        <v>1668</v>
      </c>
      <c r="F4" s="3893"/>
      <c r="G4" s="3890" t="s">
        <v>1669</v>
      </c>
      <c r="H4" s="3891"/>
      <c r="I4" s="3890" t="s">
        <v>1670</v>
      </c>
      <c r="J4" s="3891"/>
      <c r="K4" s="1889" t="s">
        <v>1671</v>
      </c>
      <c r="L4" s="2715"/>
      <c r="M4" s="2716"/>
      <c r="N4" s="2716"/>
      <c r="O4" s="2716"/>
      <c r="P4" s="3894" t="s">
        <v>1672</v>
      </c>
      <c r="Q4" s="3895"/>
      <c r="R4" s="3900" t="s">
        <v>1668</v>
      </c>
      <c r="S4" s="3901"/>
      <c r="T4" s="3900" t="s">
        <v>1669</v>
      </c>
      <c r="U4" s="3901"/>
      <c r="V4" s="3906" t="s">
        <v>1670</v>
      </c>
      <c r="W4" s="3906"/>
      <c r="X4" s="1355"/>
      <c r="Y4" s="3900" t="s">
        <v>1672</v>
      </c>
      <c r="Z4" s="3901"/>
      <c r="AA4" s="3887" t="s">
        <v>1668</v>
      </c>
      <c r="AB4" s="3887" t="s">
        <v>1669</v>
      </c>
      <c r="AC4" s="3887" t="s">
        <v>1670</v>
      </c>
    </row>
    <row r="5" spans="1:29" ht="39.75" customHeight="1">
      <c r="A5" s="358"/>
      <c r="B5" s="359"/>
      <c r="C5" s="3914" t="s">
        <v>3461</v>
      </c>
      <c r="D5" s="3915"/>
      <c r="E5" s="3918" t="str">
        <f>Sheet1!F26</f>
        <v>上龙西里</v>
      </c>
      <c r="F5" s="3919"/>
      <c r="G5" s="3909" t="str">
        <f>Sheet1!F34</f>
        <v>西营房胡同9号院</v>
      </c>
      <c r="H5" s="3910"/>
      <c r="I5" s="3909" t="s">
        <v>4153</v>
      </c>
      <c r="J5" s="3910"/>
      <c r="K5" s="1890"/>
      <c r="L5" s="2715"/>
      <c r="M5" s="2716"/>
      <c r="N5" s="2716"/>
      <c r="O5" s="2716"/>
      <c r="P5" s="3896"/>
      <c r="Q5" s="3897"/>
      <c r="R5" s="3902"/>
      <c r="S5" s="3903"/>
      <c r="T5" s="3902"/>
      <c r="U5" s="3903"/>
      <c r="V5" s="3906"/>
      <c r="W5" s="3906"/>
      <c r="X5" s="1355"/>
      <c r="Y5" s="3902"/>
      <c r="Z5" s="3903"/>
      <c r="AA5" s="3888"/>
      <c r="AB5" s="3888"/>
      <c r="AC5" s="3888"/>
    </row>
    <row r="6" spans="1:29" ht="15" thickBot="1">
      <c r="A6" s="360"/>
      <c r="B6" s="361"/>
      <c r="C6" s="3907"/>
      <c r="D6" s="3908"/>
      <c r="E6" s="3916" t="str">
        <f>Sheet1!H26</f>
        <v>33号楼</v>
      </c>
      <c r="F6" s="3917"/>
      <c r="G6" s="3907" t="str">
        <f>Sheet1!H34</f>
        <v>2号楼</v>
      </c>
      <c r="H6" s="3908"/>
      <c r="I6" s="3907"/>
      <c r="J6" s="3908"/>
      <c r="K6" s="1890" t="s">
        <v>1678</v>
      </c>
      <c r="L6" s="2715"/>
      <c r="M6" s="2716"/>
      <c r="N6" s="2716"/>
      <c r="O6" s="2716"/>
      <c r="P6" s="3898"/>
      <c r="Q6" s="3899"/>
      <c r="R6" s="3902"/>
      <c r="S6" s="3903"/>
      <c r="T6" s="3904"/>
      <c r="U6" s="3905"/>
      <c r="V6" s="3906"/>
      <c r="W6" s="3906"/>
      <c r="X6" s="1355"/>
      <c r="Y6" s="3904"/>
      <c r="Z6" s="3905"/>
      <c r="AA6" s="3889"/>
      <c r="AB6" s="3889"/>
      <c r="AC6" s="3889"/>
    </row>
    <row r="7" spans="1:29" s="108" customFormat="1" ht="15" thickBot="1">
      <c r="A7" s="362" t="s">
        <v>1679</v>
      </c>
      <c r="B7" s="363"/>
      <c r="C7" s="364">
        <f>'数据-取费表'!B2</f>
        <v>41424</v>
      </c>
      <c r="D7" s="365">
        <v>100</v>
      </c>
      <c r="E7" s="366">
        <f>Sheet1!BG26</f>
        <v>41361</v>
      </c>
      <c r="F7" s="367">
        <f>SUMIF(58:58,YEAR(E7)&amp;"-"&amp;MONTH(E7),59:59)</f>
        <v>99</v>
      </c>
      <c r="G7" s="366">
        <f>Sheet1!BG34</f>
        <v>41299</v>
      </c>
      <c r="H7" s="365">
        <f>SUMIF(58:58,YEAR(G7)&amp;"-"&amp;MONTH(G7),59:59)</f>
        <v>99</v>
      </c>
      <c r="I7" s="366">
        <f>Sheet1!A110</f>
        <v>41357</v>
      </c>
      <c r="J7" s="365">
        <f>SUMIF(58:58,YEAR(I7)&amp;"-"&amp;MONTH(I7),59:59)</f>
        <v>99</v>
      </c>
      <c r="K7" s="1891"/>
      <c r="L7" s="2717"/>
      <c r="M7" s="2718"/>
      <c r="N7" s="2718"/>
      <c r="O7" s="2718"/>
      <c r="P7" s="3911" t="s">
        <v>1680</v>
      </c>
      <c r="Q7" s="3913"/>
      <c r="R7" s="701" t="s">
        <v>20</v>
      </c>
      <c r="S7" s="702">
        <f t="shared" ref="S7:S15" si="0">F7</f>
        <v>99</v>
      </c>
      <c r="T7" s="701" t="s">
        <v>20</v>
      </c>
      <c r="U7" s="702">
        <f t="shared" ref="U7:U15" si="1">H7</f>
        <v>99</v>
      </c>
      <c r="V7" s="701" t="s">
        <v>20</v>
      </c>
      <c r="W7" s="702">
        <f t="shared" ref="W7:W15" si="2">J7</f>
        <v>99</v>
      </c>
      <c r="X7" s="703"/>
      <c r="Y7" s="3911" t="s">
        <v>1680</v>
      </c>
      <c r="Z7" s="3912"/>
      <c r="AA7" s="704">
        <f>D7/F7</f>
        <v>1.0101010101010102</v>
      </c>
      <c r="AB7" s="704">
        <f>D7/H7</f>
        <v>1.0101010101010102</v>
      </c>
      <c r="AC7" s="704">
        <f>D7/J7</f>
        <v>1.0101010101010102</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911" t="s">
        <v>1683</v>
      </c>
      <c r="Q8" s="3912"/>
      <c r="R8" s="701" t="s">
        <v>20</v>
      </c>
      <c r="S8" s="702">
        <f t="shared" si="0"/>
        <v>100</v>
      </c>
      <c r="T8" s="701" t="s">
        <v>20</v>
      </c>
      <c r="U8" s="702">
        <f t="shared" si="1"/>
        <v>100</v>
      </c>
      <c r="V8" s="701" t="s">
        <v>20</v>
      </c>
      <c r="W8" s="702">
        <f t="shared" si="2"/>
        <v>100</v>
      </c>
      <c r="X8" s="703"/>
      <c r="Y8" s="3911" t="s">
        <v>1683</v>
      </c>
      <c r="Z8" s="3912"/>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886" t="s">
        <v>1686</v>
      </c>
      <c r="Q9" s="1343" t="str">
        <f t="shared" ref="Q9:Q15" si="6">B9</f>
        <v>用途</v>
      </c>
      <c r="R9" s="701" t="s">
        <v>14</v>
      </c>
      <c r="S9" s="702">
        <f t="shared" si="0"/>
        <v>100</v>
      </c>
      <c r="T9" s="701" t="s">
        <v>14</v>
      </c>
      <c r="U9" s="702">
        <f t="shared" si="1"/>
        <v>100</v>
      </c>
      <c r="V9" s="701" t="s">
        <v>14</v>
      </c>
      <c r="W9" s="702">
        <f t="shared" si="2"/>
        <v>100</v>
      </c>
      <c r="X9" s="703"/>
      <c r="Y9" s="37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86"/>
      <c r="Q10" s="1343" t="str">
        <f t="shared" si="6"/>
        <v>土地使用年限（年）</v>
      </c>
      <c r="R10" s="701" t="s">
        <v>14</v>
      </c>
      <c r="S10" s="702">
        <f t="shared" si="0"/>
        <v>100</v>
      </c>
      <c r="T10" s="701" t="s">
        <v>14</v>
      </c>
      <c r="U10" s="702">
        <f t="shared" si="1"/>
        <v>100</v>
      </c>
      <c r="V10" s="701" t="s">
        <v>14</v>
      </c>
      <c r="W10" s="702">
        <f t="shared" si="2"/>
        <v>100</v>
      </c>
      <c r="X10" s="703"/>
      <c r="Y10" s="375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86"/>
      <c r="Q11" s="1343" t="str">
        <f t="shared" si="6"/>
        <v>容积率</v>
      </c>
      <c r="R11" s="701" t="s">
        <v>18</v>
      </c>
      <c r="S11" s="702">
        <f t="shared" si="0"/>
        <v>100</v>
      </c>
      <c r="T11" s="701" t="s">
        <v>18</v>
      </c>
      <c r="U11" s="702">
        <f t="shared" si="1"/>
        <v>100</v>
      </c>
      <c r="V11" s="701" t="s">
        <v>18</v>
      </c>
      <c r="W11" s="702">
        <f t="shared" si="2"/>
        <v>100</v>
      </c>
      <c r="X11" s="703"/>
      <c r="Y11" s="3750"/>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886"/>
      <c r="Q12" s="1343">
        <f t="shared" si="6"/>
        <v>111</v>
      </c>
      <c r="R12" s="701" t="s">
        <v>18</v>
      </c>
      <c r="S12" s="702">
        <f t="shared" si="0"/>
        <v>100</v>
      </c>
      <c r="T12" s="701" t="s">
        <v>18</v>
      </c>
      <c r="U12" s="702">
        <f t="shared" si="1"/>
        <v>100</v>
      </c>
      <c r="V12" s="701" t="s">
        <v>18</v>
      </c>
      <c r="W12" s="702">
        <f t="shared" si="2"/>
        <v>100</v>
      </c>
      <c r="X12" s="703"/>
      <c r="Y12" s="37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86"/>
      <c r="Q13" s="1343">
        <f t="shared" si="6"/>
        <v>111</v>
      </c>
      <c r="R13" s="701" t="s">
        <v>18</v>
      </c>
      <c r="S13" s="702">
        <f t="shared" si="0"/>
        <v>100</v>
      </c>
      <c r="T13" s="701" t="s">
        <v>18</v>
      </c>
      <c r="U13" s="702">
        <f t="shared" si="1"/>
        <v>100</v>
      </c>
      <c r="V13" s="701" t="s">
        <v>18</v>
      </c>
      <c r="W13" s="702">
        <f t="shared" si="2"/>
        <v>100</v>
      </c>
      <c r="X13" s="703"/>
      <c r="Y13" s="375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86"/>
      <c r="Q14" s="1343">
        <f t="shared" si="6"/>
        <v>111</v>
      </c>
      <c r="R14" s="701" t="s">
        <v>18</v>
      </c>
      <c r="S14" s="702">
        <f t="shared" si="0"/>
        <v>100</v>
      </c>
      <c r="T14" s="701" t="s">
        <v>18</v>
      </c>
      <c r="U14" s="702">
        <f t="shared" si="1"/>
        <v>100</v>
      </c>
      <c r="V14" s="701" t="s">
        <v>18</v>
      </c>
      <c r="W14" s="702">
        <f t="shared" si="2"/>
        <v>100</v>
      </c>
      <c r="X14" s="703"/>
      <c r="Y14" s="3750"/>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84" t="s">
        <v>1691</v>
      </c>
      <c r="Q15" s="1352" t="str">
        <f t="shared" si="6"/>
        <v>居住社区成熟度</v>
      </c>
      <c r="R15" s="705" t="s">
        <v>18</v>
      </c>
      <c r="S15" s="706">
        <f t="shared" si="0"/>
        <v>100</v>
      </c>
      <c r="T15" s="705" t="s">
        <v>18</v>
      </c>
      <c r="U15" s="706">
        <f t="shared" si="1"/>
        <v>100</v>
      </c>
      <c r="V15" s="705" t="s">
        <v>18</v>
      </c>
      <c r="W15" s="706">
        <f t="shared" si="2"/>
        <v>100</v>
      </c>
      <c r="X15" s="1355"/>
      <c r="Y15" s="387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85"/>
      <c r="Q16" s="1352"/>
      <c r="R16" s="705"/>
      <c r="S16" s="706"/>
      <c r="T16" s="705"/>
      <c r="U16" s="706"/>
      <c r="V16" s="705"/>
      <c r="W16" s="706"/>
      <c r="X16" s="1355"/>
      <c r="Y16" s="387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85"/>
      <c r="Q17" s="1352" t="str">
        <f>B17</f>
        <v>交通便捷度</v>
      </c>
      <c r="R17" s="705" t="s">
        <v>18</v>
      </c>
      <c r="S17" s="706">
        <f>F17</f>
        <v>100</v>
      </c>
      <c r="T17" s="705" t="s">
        <v>18</v>
      </c>
      <c r="U17" s="706">
        <f>H17</f>
        <v>100</v>
      </c>
      <c r="V17" s="705" t="s">
        <v>18</v>
      </c>
      <c r="W17" s="706">
        <f>J17</f>
        <v>100</v>
      </c>
      <c r="X17" s="1355"/>
      <c r="Y17" s="3878"/>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885"/>
      <c r="Q18" s="1352"/>
      <c r="R18" s="705"/>
      <c r="S18" s="706"/>
      <c r="T18" s="705"/>
      <c r="U18" s="706"/>
      <c r="V18" s="705"/>
      <c r="W18" s="706"/>
      <c r="X18" s="1355"/>
      <c r="Y18" s="387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85"/>
      <c r="Q19" s="1352" t="str">
        <f>B19</f>
        <v>公共配套设施</v>
      </c>
      <c r="R19" s="705" t="s">
        <v>18</v>
      </c>
      <c r="S19" s="706">
        <f>F19</f>
        <v>100</v>
      </c>
      <c r="T19" s="705" t="s">
        <v>18</v>
      </c>
      <c r="U19" s="706">
        <f>H19</f>
        <v>100</v>
      </c>
      <c r="V19" s="705" t="s">
        <v>18</v>
      </c>
      <c r="W19" s="706">
        <f>J19</f>
        <v>100</v>
      </c>
      <c r="X19" s="1355"/>
      <c r="Y19" s="387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85"/>
      <c r="Q20" s="1352"/>
      <c r="R20" s="705"/>
      <c r="S20" s="706"/>
      <c r="T20" s="705"/>
      <c r="U20" s="706"/>
      <c r="V20" s="705"/>
      <c r="W20" s="706"/>
      <c r="X20" s="1355"/>
      <c r="Y20" s="387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85"/>
      <c r="Q21" s="1352" t="str">
        <f>B21</f>
        <v>基础设施水平</v>
      </c>
      <c r="R21" s="705" t="s">
        <v>14</v>
      </c>
      <c r="S21" s="706">
        <f>F21</f>
        <v>100</v>
      </c>
      <c r="T21" s="705" t="s">
        <v>14</v>
      </c>
      <c r="U21" s="706">
        <f>H21</f>
        <v>100</v>
      </c>
      <c r="V21" s="705" t="s">
        <v>14</v>
      </c>
      <c r="W21" s="706">
        <f>J21</f>
        <v>100</v>
      </c>
      <c r="X21" s="1355"/>
      <c r="Y21" s="38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85"/>
      <c r="Q22" s="1352"/>
      <c r="R22" s="705"/>
      <c r="S22" s="706"/>
      <c r="T22" s="705"/>
      <c r="U22" s="706"/>
      <c r="V22" s="705"/>
      <c r="W22" s="706"/>
      <c r="X22" s="1355"/>
      <c r="Y22" s="387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85"/>
      <c r="Q23" s="1352" t="str">
        <f>B23</f>
        <v>自然及人文环境</v>
      </c>
      <c r="R23" s="705" t="s">
        <v>18</v>
      </c>
      <c r="S23" s="706">
        <f>F23</f>
        <v>100</v>
      </c>
      <c r="T23" s="705" t="s">
        <v>18</v>
      </c>
      <c r="U23" s="706">
        <f>H23</f>
        <v>100</v>
      </c>
      <c r="V23" s="705" t="s">
        <v>18</v>
      </c>
      <c r="W23" s="706">
        <f>J23</f>
        <v>100</v>
      </c>
      <c r="X23" s="1355"/>
      <c r="Y23" s="387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885"/>
      <c r="Q24" s="1352"/>
      <c r="R24" s="705"/>
      <c r="S24" s="706"/>
      <c r="T24" s="705"/>
      <c r="U24" s="706"/>
      <c r="V24" s="705"/>
      <c r="W24" s="706"/>
      <c r="X24" s="1355"/>
      <c r="Y24" s="387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78"/>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3463</v>
      </c>
      <c r="D26" s="413">
        <v>100</v>
      </c>
      <c r="E26" s="416" t="s">
        <v>3939</v>
      </c>
      <c r="F26" s="413">
        <f>SUMIF(88:88,E26,89:89)-SUMIF(88:88,C26,89:89)+100</f>
        <v>102</v>
      </c>
      <c r="G26" s="414" t="s">
        <v>3459</v>
      </c>
      <c r="H26" s="413">
        <f>SUMIF(88:88,G26,89:89)-SUMIF(88:88,C26,89:89)+100</f>
        <v>99.5</v>
      </c>
      <c r="I26" s="414" t="s">
        <v>4109</v>
      </c>
      <c r="J26" s="413">
        <f>SUMIF(88:88,I26,89:89)-SUMIF(88:88,C26,89:89)+100</f>
        <v>101</v>
      </c>
      <c r="K26" s="3471">
        <v>0.5</v>
      </c>
      <c r="L26" s="3460"/>
      <c r="M26" s="3461"/>
      <c r="N26" s="3461"/>
      <c r="O26" s="3461"/>
      <c r="P26" s="3885"/>
      <c r="Q26" s="3462" t="str">
        <f t="shared" si="11"/>
        <v>朝向</v>
      </c>
      <c r="R26" s="3463" t="s">
        <v>18</v>
      </c>
      <c r="S26" s="3464">
        <f t="shared" si="12"/>
        <v>102</v>
      </c>
      <c r="T26" s="3463" t="s">
        <v>18</v>
      </c>
      <c r="U26" s="3464">
        <f t="shared" si="13"/>
        <v>99.5</v>
      </c>
      <c r="V26" s="3463" t="s">
        <v>18</v>
      </c>
      <c r="W26" s="3464">
        <f t="shared" si="14"/>
        <v>101</v>
      </c>
      <c r="X26" s="3465"/>
      <c r="Y26" s="3878"/>
      <c r="Z26" s="3466" t="str">
        <f>Q26</f>
        <v>朝向</v>
      </c>
      <c r="AA26" s="3467">
        <f t="shared" si="15"/>
        <v>0.98039215686274506</v>
      </c>
      <c r="AB26" s="3467">
        <f t="shared" si="16"/>
        <v>1.0050251256281406</v>
      </c>
      <c r="AC26" s="3467">
        <f t="shared" si="17"/>
        <v>0.99009900990099009</v>
      </c>
    </row>
    <row r="27" spans="1:29" s="108" customFormat="1" ht="15">
      <c r="A27" s="382"/>
      <c r="B27" s="3450" t="s">
        <v>3397</v>
      </c>
      <c r="C27" s="416" t="s">
        <v>3465</v>
      </c>
      <c r="D27" s="413">
        <v>100</v>
      </c>
      <c r="E27" s="416" t="s">
        <v>3938</v>
      </c>
      <c r="F27" s="413">
        <f>SUMIF(90:90,E27,91:91)-SUMIF(90:90,C27,91:91)+100</f>
        <v>100</v>
      </c>
      <c r="G27" s="414" t="s">
        <v>3937</v>
      </c>
      <c r="H27" s="413">
        <f>SUMIF(90:90,G27,91:91)-SUMIF(90:90,C27,91:91)+100</f>
        <v>103</v>
      </c>
      <c r="I27" s="414" t="s">
        <v>4154</v>
      </c>
      <c r="J27" s="413">
        <f>SUMIF(90:90,I27,91:91)-SUMIF(90:90,C27,91:91)+100</f>
        <v>103</v>
      </c>
      <c r="K27" s="1894"/>
      <c r="L27" s="2717"/>
      <c r="M27" s="2718"/>
      <c r="N27" s="2718"/>
      <c r="O27" s="2718"/>
      <c r="P27" s="3885"/>
      <c r="Q27" s="1343" t="str">
        <f t="shared" si="11"/>
        <v>楼层</v>
      </c>
      <c r="R27" s="701" t="s">
        <v>18</v>
      </c>
      <c r="S27" s="702">
        <f t="shared" si="12"/>
        <v>100</v>
      </c>
      <c r="T27" s="701" t="s">
        <v>18</v>
      </c>
      <c r="U27" s="702">
        <f t="shared" si="13"/>
        <v>103</v>
      </c>
      <c r="V27" s="701" t="s">
        <v>18</v>
      </c>
      <c r="W27" s="702">
        <f t="shared" si="14"/>
        <v>103</v>
      </c>
      <c r="X27" s="703"/>
      <c r="Y27" s="3878"/>
      <c r="Z27" s="52" t="str">
        <f>Q27</f>
        <v>楼层</v>
      </c>
      <c r="AA27" s="1353">
        <f t="shared" si="15"/>
        <v>1</v>
      </c>
      <c r="AB27" s="1353">
        <f t="shared" si="16"/>
        <v>0.970873786407767</v>
      </c>
      <c r="AC27" s="1353">
        <f t="shared" si="17"/>
        <v>0.970873786407767</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85"/>
      <c r="Q28" s="1352">
        <f t="shared" si="11"/>
        <v>111</v>
      </c>
      <c r="R28" s="705" t="s">
        <v>18</v>
      </c>
      <c r="S28" s="706">
        <f t="shared" si="12"/>
        <v>100</v>
      </c>
      <c r="T28" s="705" t="s">
        <v>18</v>
      </c>
      <c r="U28" s="706">
        <f t="shared" si="13"/>
        <v>100</v>
      </c>
      <c r="V28" s="705" t="s">
        <v>18</v>
      </c>
      <c r="W28" s="706">
        <f t="shared" si="14"/>
        <v>100</v>
      </c>
      <c r="X28" s="1355"/>
      <c r="Y28" s="38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85"/>
      <c r="Q29" s="1352">
        <f t="shared" si="11"/>
        <v>111</v>
      </c>
      <c r="R29" s="705" t="s">
        <v>18</v>
      </c>
      <c r="S29" s="706">
        <f t="shared" si="12"/>
        <v>100</v>
      </c>
      <c r="T29" s="705" t="s">
        <v>18</v>
      </c>
      <c r="U29" s="706">
        <f t="shared" si="13"/>
        <v>100</v>
      </c>
      <c r="V29" s="705" t="s">
        <v>18</v>
      </c>
      <c r="W29" s="706">
        <f t="shared" si="14"/>
        <v>100</v>
      </c>
      <c r="X29" s="1355"/>
      <c r="Y29" s="38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85"/>
      <c r="Q30" s="1352">
        <f t="shared" si="11"/>
        <v>111</v>
      </c>
      <c r="R30" s="705" t="s">
        <v>18</v>
      </c>
      <c r="S30" s="706">
        <f t="shared" si="12"/>
        <v>100</v>
      </c>
      <c r="T30" s="705" t="s">
        <v>18</v>
      </c>
      <c r="U30" s="706">
        <f t="shared" si="13"/>
        <v>100</v>
      </c>
      <c r="V30" s="705" t="s">
        <v>18</v>
      </c>
      <c r="W30" s="706">
        <f t="shared" si="14"/>
        <v>100</v>
      </c>
      <c r="X30" s="1355"/>
      <c r="Y30" s="387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85"/>
      <c r="Q31" s="1352">
        <f t="shared" si="11"/>
        <v>111</v>
      </c>
      <c r="R31" s="705" t="s">
        <v>18</v>
      </c>
      <c r="S31" s="706">
        <f t="shared" si="12"/>
        <v>100</v>
      </c>
      <c r="T31" s="705" t="s">
        <v>18</v>
      </c>
      <c r="U31" s="706">
        <f t="shared" si="13"/>
        <v>100</v>
      </c>
      <c r="V31" s="705" t="s">
        <v>18</v>
      </c>
      <c r="W31" s="706">
        <f t="shared" si="14"/>
        <v>100</v>
      </c>
      <c r="X31" s="1355"/>
      <c r="Y31" s="3878"/>
      <c r="Z31" s="1356">
        <f t="shared" si="18"/>
        <v>111</v>
      </c>
      <c r="AA31" s="1353">
        <f t="shared" si="15"/>
        <v>1</v>
      </c>
      <c r="AB31" s="1353">
        <f t="shared" si="16"/>
        <v>1</v>
      </c>
      <c r="AC31" s="1353">
        <f t="shared" si="17"/>
        <v>1</v>
      </c>
    </row>
    <row r="32" spans="1:29" ht="15">
      <c r="A32" s="391" t="s">
        <v>1693</v>
      </c>
      <c r="B32" s="63" t="s">
        <v>1694</v>
      </c>
      <c r="C32" s="1910" t="s">
        <v>3453</v>
      </c>
      <c r="D32" s="418">
        <v>100</v>
      </c>
      <c r="E32" s="1911" t="s">
        <v>3936</v>
      </c>
      <c r="F32" s="412">
        <f>SUMIF(100:100,E32,101:101)-SUMIF(100:100,C32,101:101)+100</f>
        <v>96</v>
      </c>
      <c r="G32" s="1910" t="s">
        <v>3936</v>
      </c>
      <c r="H32" s="418">
        <f>SUMIF(100:100,G32,101:101)-SUMIF(100:100,C32,101:101)+100</f>
        <v>96</v>
      </c>
      <c r="I32" s="1911" t="s">
        <v>3936</v>
      </c>
      <c r="J32" s="386">
        <f>SUMIF(100:100,I32,101:101)-SUMIF(100:100,C32,101:101)+100</f>
        <v>96</v>
      </c>
      <c r="K32" s="377">
        <v>4</v>
      </c>
      <c r="L32" s="2722"/>
      <c r="M32" s="2716"/>
      <c r="N32" s="2716"/>
      <c r="O32" s="2716"/>
      <c r="P32" s="3879" t="s">
        <v>1695</v>
      </c>
      <c r="Q32" s="1352" t="str">
        <f t="shared" si="11"/>
        <v>建筑类型</v>
      </c>
      <c r="R32" s="705" t="s">
        <v>18</v>
      </c>
      <c r="S32" s="706">
        <f t="shared" si="12"/>
        <v>96</v>
      </c>
      <c r="T32" s="705" t="s">
        <v>18</v>
      </c>
      <c r="U32" s="706">
        <f t="shared" si="13"/>
        <v>96</v>
      </c>
      <c r="V32" s="705" t="s">
        <v>18</v>
      </c>
      <c r="W32" s="706">
        <f t="shared" si="14"/>
        <v>96</v>
      </c>
      <c r="X32" s="1355"/>
      <c r="Y32" s="3882" t="s">
        <v>1695</v>
      </c>
      <c r="Z32" s="1356" t="str">
        <f t="shared" si="18"/>
        <v>建筑类型</v>
      </c>
      <c r="AA32" s="1353">
        <f t="shared" si="15"/>
        <v>1.0416666666666667</v>
      </c>
      <c r="AB32" s="1353">
        <f t="shared" si="16"/>
        <v>1.0416666666666667</v>
      </c>
      <c r="AC32" s="1353">
        <f t="shared" si="17"/>
        <v>1.0416666666666667</v>
      </c>
    </row>
    <row r="33" spans="1:29" s="422" customFormat="1" ht="15">
      <c r="A33" s="419"/>
      <c r="B33" s="375" t="s">
        <v>1696</v>
      </c>
      <c r="C33" s="420">
        <f>'数据-汇总表'!F19</f>
        <v>103.29</v>
      </c>
      <c r="D33" s="127">
        <v>100</v>
      </c>
      <c r="E33" s="381">
        <f>Sheet1!L26</f>
        <v>80.47</v>
      </c>
      <c r="F33" s="376">
        <f>LOOKUP(E33,103:103,104:104)-LOOKUP(C33,103:103,104:104)+100</f>
        <v>102</v>
      </c>
      <c r="G33" s="380">
        <f>Sheet1!L34</f>
        <v>98.56</v>
      </c>
      <c r="H33" s="127">
        <f>LOOKUP(G33,103:103,104:104)-LOOKUP(C33,103:103,104:104)+100</f>
        <v>100</v>
      </c>
      <c r="I33" s="381">
        <f>Sheet1!C110</f>
        <v>74</v>
      </c>
      <c r="J33" s="386">
        <f>LOOKUP(I33,103:103,104:104)-LOOKUP(C33,103:103,104:104)+100</f>
        <v>102</v>
      </c>
      <c r="K33" s="1894"/>
      <c r="L33" s="2721"/>
      <c r="M33" s="2723"/>
      <c r="N33" s="2723"/>
      <c r="O33" s="2723"/>
      <c r="P33" s="3880"/>
      <c r="Q33" s="707" t="str">
        <f t="shared" si="11"/>
        <v>项目建筑规模</v>
      </c>
      <c r="R33" s="708" t="s">
        <v>18</v>
      </c>
      <c r="S33" s="709">
        <f t="shared" si="12"/>
        <v>102</v>
      </c>
      <c r="T33" s="708" t="s">
        <v>18</v>
      </c>
      <c r="U33" s="709">
        <f t="shared" si="13"/>
        <v>100</v>
      </c>
      <c r="V33" s="708" t="s">
        <v>18</v>
      </c>
      <c r="W33" s="709">
        <f t="shared" si="14"/>
        <v>102</v>
      </c>
      <c r="X33" s="710"/>
      <c r="Y33" s="3882"/>
      <c r="Z33" s="711" t="str">
        <f t="shared" si="18"/>
        <v>项目建筑规模</v>
      </c>
      <c r="AA33" s="1353">
        <f t="shared" si="15"/>
        <v>0.98039215686274506</v>
      </c>
      <c r="AB33" s="1353">
        <f t="shared" si="16"/>
        <v>1</v>
      </c>
      <c r="AC33" s="1353">
        <f t="shared" si="17"/>
        <v>0.98039215686274506</v>
      </c>
    </row>
    <row r="34" spans="1:29" ht="15">
      <c r="A34" s="423"/>
      <c r="B34" s="375" t="s">
        <v>1697</v>
      </c>
      <c r="C34" s="1912" t="s">
        <v>3454</v>
      </c>
      <c r="D34" s="386">
        <v>100</v>
      </c>
      <c r="E34" s="1913" t="s">
        <v>3454</v>
      </c>
      <c r="F34" s="412">
        <f>SUMIF(105:105,E34,106:106)-SUMIF(105:105,C34,106:106)+100</f>
        <v>100</v>
      </c>
      <c r="G34" s="1912" t="s">
        <v>3454</v>
      </c>
      <c r="H34" s="386">
        <f>SUMIF(105:105,G34,106:106)-SUMIF(105:105,C34,106:106)+100</f>
        <v>100</v>
      </c>
      <c r="I34" s="1913" t="s">
        <v>3454</v>
      </c>
      <c r="J34" s="386">
        <f>SUMIF(105:105,I34,106:106)-SUMIF(105:105,C34,106:106)+100</f>
        <v>100</v>
      </c>
      <c r="K34" s="377">
        <v>2</v>
      </c>
      <c r="L34" s="2722"/>
      <c r="M34" s="2716"/>
      <c r="N34" s="2716"/>
      <c r="O34" s="2716"/>
      <c r="P34" s="3880"/>
      <c r="Q34" s="1352" t="str">
        <f t="shared" si="11"/>
        <v>建筑结构</v>
      </c>
      <c r="R34" s="705" t="s">
        <v>18</v>
      </c>
      <c r="S34" s="706">
        <f t="shared" si="12"/>
        <v>100</v>
      </c>
      <c r="T34" s="705" t="s">
        <v>18</v>
      </c>
      <c r="U34" s="706">
        <f t="shared" si="13"/>
        <v>100</v>
      </c>
      <c r="V34" s="705" t="s">
        <v>18</v>
      </c>
      <c r="W34" s="706">
        <f t="shared" si="14"/>
        <v>100</v>
      </c>
      <c r="X34" s="1355"/>
      <c r="Y34" s="388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80"/>
      <c r="Q35" s="1352" t="str">
        <f t="shared" si="11"/>
        <v>建筑品质</v>
      </c>
      <c r="R35" s="705" t="s">
        <v>18</v>
      </c>
      <c r="S35" s="706">
        <f t="shared" si="12"/>
        <v>100</v>
      </c>
      <c r="T35" s="705" t="s">
        <v>18</v>
      </c>
      <c r="U35" s="706">
        <f t="shared" si="13"/>
        <v>100</v>
      </c>
      <c r="V35" s="705" t="s">
        <v>18</v>
      </c>
      <c r="W35" s="706">
        <f t="shared" si="14"/>
        <v>100</v>
      </c>
      <c r="X35" s="1355"/>
      <c r="Y35" s="3882"/>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880"/>
      <c r="Q36" s="1352" t="str">
        <f t="shared" si="11"/>
        <v>公共部分装修</v>
      </c>
      <c r="R36" s="705" t="s">
        <v>18</v>
      </c>
      <c r="S36" s="706">
        <f t="shared" si="12"/>
        <v>100</v>
      </c>
      <c r="T36" s="705" t="s">
        <v>18</v>
      </c>
      <c r="U36" s="706">
        <f t="shared" si="13"/>
        <v>100</v>
      </c>
      <c r="V36" s="705" t="s">
        <v>18</v>
      </c>
      <c r="W36" s="706">
        <f t="shared" si="14"/>
        <v>100</v>
      </c>
      <c r="X36" s="1355"/>
      <c r="Y36" s="3882"/>
      <c r="Z36" s="1356" t="str">
        <f t="shared" si="18"/>
        <v>公共部分装修</v>
      </c>
      <c r="AA36" s="1353">
        <f t="shared" si="15"/>
        <v>1</v>
      </c>
      <c r="AB36" s="1353">
        <f t="shared" si="16"/>
        <v>1</v>
      </c>
      <c r="AC36" s="1353">
        <f t="shared" si="17"/>
        <v>1</v>
      </c>
    </row>
    <row r="37" spans="1:29" s="108" customFormat="1" ht="15">
      <c r="A37" s="424"/>
      <c r="B37" s="375" t="s">
        <v>1700</v>
      </c>
      <c r="C37" s="3632">
        <f>'数据-取费表'!N6</f>
        <v>0.95</v>
      </c>
      <c r="D37" s="386">
        <v>100</v>
      </c>
      <c r="E37" s="3633">
        <v>0.75</v>
      </c>
      <c r="F37" s="412">
        <f>LOOKUP(E37,112:112,113:113)-LOOKUP(C37,112:112,113:113)+100</f>
        <v>96</v>
      </c>
      <c r="G37" s="3632">
        <v>0.85</v>
      </c>
      <c r="H37" s="386">
        <f>LOOKUP(G37,112:112,113:113)-LOOKUP(C37,112:112,113:113)+100</f>
        <v>98</v>
      </c>
      <c r="I37" s="3633">
        <v>0.85</v>
      </c>
      <c r="J37" s="127">
        <f>LOOKUP(I37,112:112,113:113)-LOOKUP(C37,112:112,113:113)+100</f>
        <v>98</v>
      </c>
      <c r="K37" s="377">
        <v>2</v>
      </c>
      <c r="L37" s="2717"/>
      <c r="M37" s="2718"/>
      <c r="N37" s="2718"/>
      <c r="O37" s="2718"/>
      <c r="P37" s="3880"/>
      <c r="Q37" s="1343" t="str">
        <f t="shared" si="11"/>
        <v>成新度</v>
      </c>
      <c r="R37" s="701" t="s">
        <v>18</v>
      </c>
      <c r="S37" s="702">
        <f t="shared" si="12"/>
        <v>96</v>
      </c>
      <c r="T37" s="701" t="s">
        <v>18</v>
      </c>
      <c r="U37" s="702">
        <f t="shared" si="13"/>
        <v>98</v>
      </c>
      <c r="V37" s="701" t="s">
        <v>18</v>
      </c>
      <c r="W37" s="702">
        <f t="shared" si="14"/>
        <v>98</v>
      </c>
      <c r="X37" s="703"/>
      <c r="Y37" s="3882"/>
      <c r="Z37" s="52" t="str">
        <f t="shared" si="18"/>
        <v>成新度</v>
      </c>
      <c r="AA37" s="704">
        <f t="shared" si="15"/>
        <v>1.0416666666666667</v>
      </c>
      <c r="AB37" s="704">
        <f t="shared" si="16"/>
        <v>1.0204081632653061</v>
      </c>
      <c r="AC37" s="704">
        <f t="shared" si="17"/>
        <v>1.0204081632653061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880" t="s">
        <v>1695</v>
      </c>
      <c r="Q38" s="1352" t="str">
        <f t="shared" si="11"/>
        <v>物业管理</v>
      </c>
      <c r="R38" s="705" t="s">
        <v>18</v>
      </c>
      <c r="S38" s="706">
        <f t="shared" si="12"/>
        <v>100</v>
      </c>
      <c r="T38" s="705" t="s">
        <v>18</v>
      </c>
      <c r="U38" s="706">
        <f t="shared" si="13"/>
        <v>100</v>
      </c>
      <c r="V38" s="705" t="s">
        <v>18</v>
      </c>
      <c r="W38" s="706">
        <f t="shared" si="14"/>
        <v>100</v>
      </c>
      <c r="X38" s="1355"/>
      <c r="Y38" s="3882"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880"/>
      <c r="Q39" s="1352" t="str">
        <f t="shared" si="11"/>
        <v>市政基础设施</v>
      </c>
      <c r="R39" s="705" t="s">
        <v>18</v>
      </c>
      <c r="S39" s="706">
        <f t="shared" si="12"/>
        <v>100</v>
      </c>
      <c r="T39" s="705" t="s">
        <v>18</v>
      </c>
      <c r="U39" s="706">
        <f t="shared" si="13"/>
        <v>100</v>
      </c>
      <c r="V39" s="705" t="s">
        <v>18</v>
      </c>
      <c r="W39" s="706">
        <f t="shared" si="14"/>
        <v>100</v>
      </c>
      <c r="X39" s="1355"/>
      <c r="Y39" s="3882"/>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880"/>
      <c r="Q40" s="1352" t="str">
        <f t="shared" si="11"/>
        <v>房型</v>
      </c>
      <c r="R40" s="705" t="s">
        <v>18</v>
      </c>
      <c r="S40" s="706">
        <f t="shared" si="12"/>
        <v>100</v>
      </c>
      <c r="T40" s="705" t="s">
        <v>18</v>
      </c>
      <c r="U40" s="706">
        <f t="shared" si="13"/>
        <v>100</v>
      </c>
      <c r="V40" s="705" t="s">
        <v>18</v>
      </c>
      <c r="W40" s="706">
        <f t="shared" si="14"/>
        <v>100</v>
      </c>
      <c r="X40" s="1355"/>
      <c r="Y40" s="388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80"/>
      <c r="Q41" s="707" t="str">
        <f t="shared" si="11"/>
        <v>单套/主力户型建筑面积</v>
      </c>
      <c r="R41" s="708" t="s">
        <v>18</v>
      </c>
      <c r="S41" s="709">
        <f t="shared" si="12"/>
        <v>100</v>
      </c>
      <c r="T41" s="708" t="s">
        <v>18</v>
      </c>
      <c r="U41" s="709">
        <f t="shared" si="13"/>
        <v>100</v>
      </c>
      <c r="V41" s="708" t="s">
        <v>18</v>
      </c>
      <c r="W41" s="709">
        <f t="shared" si="14"/>
        <v>100</v>
      </c>
      <c r="X41" s="710"/>
      <c r="Y41" s="3882"/>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103</v>
      </c>
      <c r="G42" s="1906" t="s">
        <v>3401</v>
      </c>
      <c r="H42" s="386">
        <f>SUMIF(122:122,G42,123:123)-SUMIF(122:122,C42,123:123)+100</f>
        <v>103</v>
      </c>
      <c r="I42" s="1907" t="s">
        <v>3401</v>
      </c>
      <c r="J42" s="386">
        <f>SUMIF(122:122,I42,123:123)-SUMIF(122:122,C42,123:123)+100</f>
        <v>103</v>
      </c>
      <c r="K42" s="377">
        <v>1.5</v>
      </c>
      <c r="L42" s="2722"/>
      <c r="M42" s="2716"/>
      <c r="N42" s="2716"/>
      <c r="O42" s="2716"/>
      <c r="P42" s="3880"/>
      <c r="Q42" s="1352" t="str">
        <f t="shared" si="11"/>
        <v>内部装修</v>
      </c>
      <c r="R42" s="705" t="s">
        <v>18</v>
      </c>
      <c r="S42" s="706">
        <f t="shared" si="12"/>
        <v>103</v>
      </c>
      <c r="T42" s="705" t="s">
        <v>18</v>
      </c>
      <c r="U42" s="706">
        <f t="shared" si="13"/>
        <v>103</v>
      </c>
      <c r="V42" s="705" t="s">
        <v>18</v>
      </c>
      <c r="W42" s="706">
        <f t="shared" si="14"/>
        <v>103</v>
      </c>
      <c r="X42" s="1355"/>
      <c r="Y42" s="3882"/>
      <c r="Z42" s="1356" t="str">
        <f t="shared" si="18"/>
        <v>内部装修</v>
      </c>
      <c r="AA42" s="1353">
        <f t="shared" si="15"/>
        <v>0.970873786407767</v>
      </c>
      <c r="AB42" s="1353">
        <f t="shared" si="16"/>
        <v>0.970873786407767</v>
      </c>
      <c r="AC42" s="1353">
        <f t="shared" si="17"/>
        <v>0.970873786407767</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880"/>
      <c r="Q43" s="1352" t="str">
        <f t="shared" si="11"/>
        <v>内部装修维护情况</v>
      </c>
      <c r="R43" s="705" t="s">
        <v>18</v>
      </c>
      <c r="S43" s="706">
        <f t="shared" si="12"/>
        <v>100</v>
      </c>
      <c r="T43" s="705" t="s">
        <v>18</v>
      </c>
      <c r="U43" s="706">
        <f t="shared" si="13"/>
        <v>100</v>
      </c>
      <c r="V43" s="705" t="s">
        <v>18</v>
      </c>
      <c r="W43" s="706">
        <f t="shared" si="14"/>
        <v>100</v>
      </c>
      <c r="X43" s="1355"/>
      <c r="Y43" s="3882"/>
      <c r="Z43" s="1356" t="str">
        <f t="shared" si="18"/>
        <v>内部装修维护情况</v>
      </c>
      <c r="AA43" s="1353">
        <f t="shared" si="15"/>
        <v>1</v>
      </c>
      <c r="AB43" s="1353">
        <f t="shared" si="16"/>
        <v>1</v>
      </c>
      <c r="AC43" s="1353">
        <f t="shared" si="17"/>
        <v>1</v>
      </c>
    </row>
    <row r="44" spans="1:29" s="108" customFormat="1" ht="15">
      <c r="A44" s="424"/>
      <c r="B44" s="3450" t="s">
        <v>3455</v>
      </c>
      <c r="C44" s="3459" t="s">
        <v>3456</v>
      </c>
      <c r="D44" s="127">
        <v>100</v>
      </c>
      <c r="E44" s="3459" t="str">
        <f>C44</f>
        <v>有</v>
      </c>
      <c r="F44" s="376">
        <f>SUMIF(126:126,E44,127:127)-SUMIF(126:126,C44,127:127)+100</f>
        <v>100</v>
      </c>
      <c r="G44" s="3459" t="str">
        <f>C44</f>
        <v>有</v>
      </c>
      <c r="H44" s="127">
        <f>SUMIF(126:126,G44,127:127)-SUMIF(126:126,C44,127:127)+100</f>
        <v>100</v>
      </c>
      <c r="I44" s="3459" t="str">
        <f>E44</f>
        <v>有</v>
      </c>
      <c r="J44" s="127">
        <f>SUMIF(126:126,I44,127:127)-SUMIF(126:126,C44,127:127)+100</f>
        <v>100</v>
      </c>
      <c r="K44" s="1894"/>
      <c r="L44" s="2717"/>
      <c r="M44" s="2718"/>
      <c r="N44" s="2718"/>
      <c r="O44" s="2718"/>
      <c r="P44" s="3880"/>
      <c r="Q44" s="1343" t="str">
        <f t="shared" si="11"/>
        <v>电梯</v>
      </c>
      <c r="R44" s="701" t="s">
        <v>18</v>
      </c>
      <c r="S44" s="702">
        <f t="shared" si="12"/>
        <v>100</v>
      </c>
      <c r="T44" s="701" t="s">
        <v>18</v>
      </c>
      <c r="U44" s="702">
        <f t="shared" si="13"/>
        <v>100</v>
      </c>
      <c r="V44" s="701" t="s">
        <v>18</v>
      </c>
      <c r="W44" s="702">
        <f t="shared" si="14"/>
        <v>100</v>
      </c>
      <c r="X44" s="703"/>
      <c r="Y44" s="3882"/>
      <c r="Z44" s="52" t="str">
        <f t="shared" si="18"/>
        <v>电梯</v>
      </c>
      <c r="AA44" s="704">
        <f t="shared" si="15"/>
        <v>1</v>
      </c>
      <c r="AB44" s="704">
        <f t="shared" si="16"/>
        <v>1</v>
      </c>
      <c r="AC44" s="704">
        <f t="shared" si="17"/>
        <v>1</v>
      </c>
    </row>
    <row r="45" spans="1:29" ht="15">
      <c r="A45" s="423"/>
      <c r="B45" s="1133">
        <v>111</v>
      </c>
      <c r="C45" s="385">
        <v>2012</v>
      </c>
      <c r="D45" s="386">
        <v>100</v>
      </c>
      <c r="E45" s="385">
        <v>1993</v>
      </c>
      <c r="F45" s="412">
        <f>SUMIF(128:128,E45,129:129)-SUMIF(128:128,C45,129:129)+100</f>
        <v>100</v>
      </c>
      <c r="G45" s="385">
        <v>2005</v>
      </c>
      <c r="H45" s="386">
        <f>SUMIF(128:128,G45,129:129)-SUMIF(128:128,C45,129:129)+100</f>
        <v>100</v>
      </c>
      <c r="I45" s="385">
        <v>2012</v>
      </c>
      <c r="J45" s="386">
        <f>SUMIF(128:128,I45,129:129)-SUMIF(128:128,C45,129:129)+100</f>
        <v>100</v>
      </c>
      <c r="K45" s="1894"/>
      <c r="L45" s="2722"/>
      <c r="M45" s="2716"/>
      <c r="N45" s="2716"/>
      <c r="O45" s="2716"/>
      <c r="P45" s="3880"/>
      <c r="Q45" s="1352">
        <f t="shared" si="11"/>
        <v>111</v>
      </c>
      <c r="R45" s="705" t="s">
        <v>18</v>
      </c>
      <c r="S45" s="706">
        <f t="shared" si="12"/>
        <v>100</v>
      </c>
      <c r="T45" s="705" t="s">
        <v>18</v>
      </c>
      <c r="U45" s="706">
        <f t="shared" si="13"/>
        <v>100</v>
      </c>
      <c r="V45" s="705" t="s">
        <v>18</v>
      </c>
      <c r="W45" s="706">
        <f t="shared" si="14"/>
        <v>100</v>
      </c>
      <c r="X45" s="1355"/>
      <c r="Y45" s="388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81"/>
      <c r="Q46" s="1352">
        <f t="shared" si="11"/>
        <v>111</v>
      </c>
      <c r="R46" s="705" t="s">
        <v>17</v>
      </c>
      <c r="S46" s="706">
        <f t="shared" si="12"/>
        <v>100</v>
      </c>
      <c r="T46" s="705" t="s">
        <v>17</v>
      </c>
      <c r="U46" s="706">
        <f t="shared" si="13"/>
        <v>100</v>
      </c>
      <c r="V46" s="705" t="s">
        <v>17</v>
      </c>
      <c r="W46" s="706">
        <f t="shared" si="14"/>
        <v>100</v>
      </c>
      <c r="X46" s="1355"/>
      <c r="Y46" s="3883"/>
      <c r="Z46" s="1356">
        <f t="shared" si="18"/>
        <v>111</v>
      </c>
      <c r="AA46" s="1353">
        <f t="shared" si="15"/>
        <v>1</v>
      </c>
      <c r="AB46" s="1353">
        <f t="shared" si="16"/>
        <v>1</v>
      </c>
      <c r="AC46" s="1353">
        <f t="shared" si="17"/>
        <v>1</v>
      </c>
    </row>
    <row r="47" spans="1:29" ht="14.4">
      <c r="A47" s="430" t="s">
        <v>1707</v>
      </c>
      <c r="B47" s="431"/>
      <c r="C47" s="1154" t="s">
        <v>16</v>
      </c>
      <c r="D47" s="1155"/>
      <c r="E47" s="1156">
        <f>Sheet1!AH26</f>
        <v>52193</v>
      </c>
      <c r="F47" s="1157"/>
      <c r="G47" s="1158">
        <f>Sheet1!AH34</f>
        <v>48701</v>
      </c>
      <c r="H47" s="1159"/>
      <c r="I47" s="3458">
        <f>Sheet1!I110</f>
        <v>56513</v>
      </c>
      <c r="J47" s="1159"/>
      <c r="K47" s="1914"/>
      <c r="L47" s="2724"/>
      <c r="M47" s="2725"/>
      <c r="N47" s="2716"/>
      <c r="O47" s="2725"/>
      <c r="P47" s="3875" t="str">
        <f>A47</f>
        <v>成交单价（元/平方米）</v>
      </c>
      <c r="Q47" s="3875"/>
      <c r="R47" s="3876">
        <f>E47</f>
        <v>52193</v>
      </c>
      <c r="S47" s="3876"/>
      <c r="T47" s="3876">
        <f>G47</f>
        <v>48701</v>
      </c>
      <c r="U47" s="3876"/>
      <c r="V47" s="3876">
        <f>I47</f>
        <v>56513</v>
      </c>
      <c r="W47" s="3876"/>
      <c r="X47" s="690"/>
      <c r="Y47" s="712"/>
      <c r="Z47" s="690"/>
      <c r="AA47" s="690"/>
      <c r="AB47" s="690"/>
      <c r="AC47" s="690"/>
    </row>
    <row r="48" spans="1:29" ht="15" thickBot="1">
      <c r="A48" s="437" t="s">
        <v>1708</v>
      </c>
      <c r="B48" s="438"/>
      <c r="C48" s="1160">
        <f>R49</f>
        <v>52811</v>
      </c>
      <c r="D48" s="2317" t="s">
        <v>2137</v>
      </c>
      <c r="E48" s="1161">
        <f>R48</f>
        <v>53382</v>
      </c>
      <c r="F48" s="2318"/>
      <c r="G48" s="1160">
        <f>T48</f>
        <v>49535</v>
      </c>
      <c r="H48" s="2318"/>
      <c r="I48" s="1161">
        <f>V48</f>
        <v>55516</v>
      </c>
      <c r="J48" s="2318"/>
      <c r="K48" s="2319">
        <f>F48+H48+J48</f>
        <v>0</v>
      </c>
      <c r="L48" s="2724"/>
      <c r="M48" s="2725"/>
      <c r="N48" s="2725"/>
      <c r="O48" s="2725"/>
      <c r="P48" s="3875" t="str">
        <f>A48</f>
        <v>比较价值（元/平方米）</v>
      </c>
      <c r="Q48" s="3875"/>
      <c r="R48" s="3876">
        <f>IF(F1="售价",ROUND(PRODUCT(R47,AA7:AA46),0),ROUND(PRODUCT(R47,AA7:AA46),1))</f>
        <v>53382</v>
      </c>
      <c r="S48" s="3876"/>
      <c r="T48" s="3876">
        <f>IF(F1="售价",ROUND(PRODUCT(T47,AB7:AB46),0),ROUND(PRODUCT(T47,AB7:AB46),1))</f>
        <v>49535</v>
      </c>
      <c r="U48" s="3876"/>
      <c r="V48" s="3876">
        <f>IF(F1="售价",ROUND(PRODUCT(V47,AC7:AC46),0),ROUND(PRODUCT(V47,AC7:AC46),1))</f>
        <v>55516</v>
      </c>
      <c r="W48" s="3876"/>
      <c r="X48" s="690"/>
      <c r="Y48" s="690"/>
      <c r="Z48" s="690"/>
      <c r="AA48" s="690"/>
      <c r="AB48" s="690"/>
      <c r="AC48" s="690"/>
    </row>
    <row r="49" spans="1:29" ht="15" thickBot="1">
      <c r="A49" s="441" t="s">
        <v>1709</v>
      </c>
      <c r="B49" s="442"/>
      <c r="C49" s="1162">
        <f>R49</f>
        <v>52811</v>
      </c>
      <c r="D49" s="1163"/>
      <c r="E49" s="1163"/>
      <c r="F49" s="1163"/>
      <c r="G49" s="1163"/>
      <c r="H49" s="1163"/>
      <c r="I49" s="1163"/>
      <c r="J49" s="1163"/>
      <c r="K49" s="1915"/>
      <c r="L49" s="2724"/>
      <c r="M49" s="2725"/>
      <c r="N49" s="2725"/>
      <c r="O49" s="2725"/>
      <c r="P49" s="3872" t="str">
        <f>A49</f>
        <v>估价对象XX用房的比较价值（楼面单价，元/平方米）</v>
      </c>
      <c r="Q49" s="3873"/>
      <c r="R49" s="3874">
        <f>IF(F1="售价",ROUND(IF(D48="简单平均",AVERAGE(R48:V48),R48*F48+T48*H48+V48*J48),0),ROUND(IF(D48="简单平均",AVERAGE(R48:V48),R48*F48+T48*H48+V48*J48),1))</f>
        <v>52811</v>
      </c>
      <c r="S49" s="3874"/>
      <c r="T49" s="3874"/>
      <c r="U49" s="3874"/>
      <c r="V49" s="3874"/>
      <c r="W49" s="387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2.2780832678711782E-2</v>
      </c>
      <c r="F52" s="449" t="str">
        <f>IF(OR(E52&gt;=0.3,E52&lt;=-0.3),"超过30%","")</f>
        <v/>
      </c>
      <c r="G52" s="448">
        <f>IF(G47&lt;G48,G48/G47-1,G47/G48-1)</f>
        <v>1.7124905032750881E-2</v>
      </c>
      <c r="H52" s="449" t="str">
        <f>IF(OR(G52&gt;=0.3,G52&lt;=-0.3),"超过30%","")</f>
        <v/>
      </c>
      <c r="I52" s="448">
        <f>IF(I47&lt;I48,I48/I47-1,I47/I48-1)</f>
        <v>1.7958786656099068E-2</v>
      </c>
      <c r="J52" s="449" t="str">
        <f>IF(OR(I52&gt;=0.3,I52&lt;=-0.3),"超过30%","")</f>
        <v/>
      </c>
      <c r="K52" s="2730"/>
      <c r="L52" s="2726"/>
      <c r="M52" s="2725"/>
      <c r="N52" s="2725"/>
      <c r="O52" s="2725"/>
    </row>
    <row r="53" spans="1:29" ht="13.5" customHeight="1">
      <c r="A53" s="2725"/>
      <c r="B53" s="2725"/>
      <c r="C53" s="446" t="s">
        <v>1711</v>
      </c>
      <c r="D53" s="450"/>
      <c r="E53" s="448">
        <f>IF(E48&lt;G48,G48/E48-1,E48/G48-1)</f>
        <v>7.7662259008781653E-2</v>
      </c>
      <c r="F53" s="449" t="str">
        <f>IF(OR(E53&gt;=0.2,E53&lt;=-0.2),"超过20%","")</f>
        <v/>
      </c>
      <c r="G53" s="448">
        <f>IF(G48&lt;I48,I48/G48-1,G48/I48-1)</f>
        <v>0.12074290905420404</v>
      </c>
      <c r="H53" s="449" t="str">
        <f>IF(OR(G53&gt;=0.2,G53&lt;=-0.2),"超过20%","")</f>
        <v/>
      </c>
      <c r="I53" s="448">
        <f>IF(I48&lt;E48,E48/I48-1,I48/E48-1)</f>
        <v>3.9976021880034462E-2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7.1702839777417315E-2</v>
      </c>
      <c r="F54" s="449" t="str">
        <f>IF(OR(E54&gt;=0.3,E54&lt;=-0.3),"超过30%","")</f>
        <v/>
      </c>
      <c r="G54" s="448">
        <f>IF(G47&lt;I47,I47/G47-1,G47/I47-1)</f>
        <v>0.16040738383195419</v>
      </c>
      <c r="H54" s="449" t="str">
        <f>IF(OR(G54&gt;=0.3,G54&lt;=-0.3),"超过30%","")</f>
        <v/>
      </c>
      <c r="I54" s="448">
        <f>IF(I47&lt;E47,E47/I47-1,I47/E47-1)</f>
        <v>8.2769720077404907E-2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2013-5</v>
      </c>
      <c r="D58" s="1185">
        <f>EDATE(C58,-1)</f>
        <v>41365</v>
      </c>
      <c r="E58" s="1185">
        <f>EDATE(D58,-1)</f>
        <v>41334</v>
      </c>
      <c r="F58" s="1185">
        <f t="shared" ref="F58:O58" si="19">EDATE(E58,-1)</f>
        <v>41306</v>
      </c>
      <c r="G58" s="1185">
        <f t="shared" si="19"/>
        <v>41275</v>
      </c>
      <c r="H58" s="1185">
        <f t="shared" si="19"/>
        <v>41244</v>
      </c>
      <c r="I58" s="1185">
        <f t="shared" si="19"/>
        <v>41214</v>
      </c>
      <c r="J58" s="1185">
        <f t="shared" si="19"/>
        <v>41183</v>
      </c>
      <c r="K58" s="1185">
        <f t="shared" si="19"/>
        <v>41153</v>
      </c>
      <c r="L58" s="1185">
        <f t="shared" si="19"/>
        <v>41122</v>
      </c>
      <c r="M58" s="1185">
        <f t="shared" si="19"/>
        <v>41091</v>
      </c>
      <c r="N58" s="1185">
        <f t="shared" si="19"/>
        <v>41061</v>
      </c>
      <c r="O58" s="1185">
        <f t="shared" si="19"/>
        <v>41030</v>
      </c>
      <c r="P58" s="1181"/>
    </row>
    <row r="59" spans="1:29" s="108" customFormat="1">
      <c r="A59" s="458"/>
      <c r="B59" s="1919"/>
      <c r="C59" s="1183">
        <v>100</v>
      </c>
      <c r="D59" s="460">
        <v>100</v>
      </c>
      <c r="E59" s="461">
        <v>99</v>
      </c>
      <c r="F59" s="461">
        <f>E59</f>
        <v>99</v>
      </c>
      <c r="G59" s="461">
        <f>E59</f>
        <v>99</v>
      </c>
      <c r="H59" s="461">
        <f>F59</f>
        <v>99</v>
      </c>
      <c r="I59" s="461">
        <v>100</v>
      </c>
      <c r="J59" s="461">
        <f>I59</f>
        <v>100</v>
      </c>
      <c r="K59" s="461">
        <f>J59</f>
        <v>100</v>
      </c>
      <c r="L59" s="461">
        <v>100</v>
      </c>
      <c r="M59" s="462">
        <f>L59</f>
        <v>100</v>
      </c>
      <c r="N59" s="461">
        <f>L59</f>
        <v>100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3940</v>
      </c>
      <c r="D88" s="3451" t="s">
        <v>3428</v>
      </c>
      <c r="E88" s="3451" t="s">
        <v>3429</v>
      </c>
      <c r="F88" s="3451" t="s">
        <v>3462</v>
      </c>
      <c r="G88" s="3454" t="s">
        <v>3464</v>
      </c>
      <c r="H88" s="3451" t="s">
        <v>3460</v>
      </c>
      <c r="I88" s="3451" t="s">
        <v>3941</v>
      </c>
      <c r="J88" s="3451" t="s">
        <v>3943</v>
      </c>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8.2" thickTop="1">
      <c r="A90" s="502"/>
      <c r="B90" s="487" t="str">
        <f>B27</f>
        <v>楼层</v>
      </c>
      <c r="C90" s="503" t="str">
        <f>C27</f>
        <v>3/11（低层）</v>
      </c>
      <c r="D90" s="3456" t="str">
        <f>E27</f>
        <v>2/18（低层）</v>
      </c>
      <c r="E90" s="3456" t="str">
        <f>G27</f>
        <v>15/18（高层）</v>
      </c>
      <c r="F90" s="3456" t="str">
        <f>I27</f>
        <v>高层/18</v>
      </c>
      <c r="G90" s="503"/>
      <c r="H90" s="504"/>
      <c r="I90" s="504"/>
      <c r="J90" s="504"/>
      <c r="K90" s="504"/>
      <c r="L90" s="505"/>
      <c r="M90" s="506"/>
      <c r="N90" s="935"/>
      <c r="O90" s="935"/>
      <c r="P90" s="1923"/>
      <c r="Q90" s="508"/>
    </row>
    <row r="91" spans="1:17" s="422" customFormat="1" ht="14.4" thickBot="1">
      <c r="A91" s="502"/>
      <c r="B91" s="492"/>
      <c r="C91" s="509">
        <v>100</v>
      </c>
      <c r="D91" s="509">
        <v>100</v>
      </c>
      <c r="E91" s="509">
        <v>103</v>
      </c>
      <c r="F91" s="509">
        <f>E91</f>
        <v>103</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3427</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98.5</v>
      </c>
      <c r="E123" s="493">
        <f t="shared" si="32"/>
        <v>97</v>
      </c>
      <c r="F123" s="493">
        <f t="shared" si="32"/>
        <v>95.5</v>
      </c>
      <c r="G123" s="493">
        <f t="shared" si="32"/>
        <v>94</v>
      </c>
      <c r="H123" s="493">
        <f t="shared" si="32"/>
        <v>92.5</v>
      </c>
      <c r="I123" s="493">
        <f t="shared" si="32"/>
        <v>91</v>
      </c>
      <c r="J123" s="493">
        <f t="shared" si="32"/>
        <v>89.5</v>
      </c>
      <c r="K123" s="493">
        <f t="shared" si="32"/>
        <v>88</v>
      </c>
      <c r="L123" s="493">
        <f t="shared" si="32"/>
        <v>86.5</v>
      </c>
      <c r="M123" s="493">
        <f t="shared" si="32"/>
        <v>85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3457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19"/>
  <sheetViews>
    <sheetView topLeftCell="A43" workbookViewId="0">
      <selection activeCell="F34" sqref="F34"/>
    </sheetView>
  </sheetViews>
  <sheetFormatPr defaultRowHeight="14.4"/>
  <cols>
    <col min="1" max="1" width="12.21875" customWidth="1"/>
    <col min="7" max="7" width="12.77734375" customWidth="1"/>
    <col min="23" max="33" width="8.88671875" customWidth="1"/>
    <col min="59" max="59" width="13.6640625" customWidth="1"/>
  </cols>
  <sheetData>
    <row r="1" spans="1:21">
      <c r="A1" s="3481" t="s">
        <v>3430</v>
      </c>
      <c r="B1" s="3481" t="s">
        <v>3431</v>
      </c>
      <c r="C1" s="3481" t="s">
        <v>3432</v>
      </c>
      <c r="D1" s="3481" t="s">
        <v>3433</v>
      </c>
      <c r="E1" s="3481" t="s">
        <v>3434</v>
      </c>
      <c r="F1" s="3481" t="s">
        <v>3435</v>
      </c>
      <c r="G1" s="3481" t="s">
        <v>3436</v>
      </c>
      <c r="H1" s="3481" t="s">
        <v>3437</v>
      </c>
      <c r="I1" s="3481" t="s">
        <v>3438</v>
      </c>
      <c r="J1" s="3481" t="s">
        <v>3439</v>
      </c>
      <c r="K1" s="3481" t="s">
        <v>3440</v>
      </c>
      <c r="L1" s="3481" t="s">
        <v>3441</v>
      </c>
      <c r="M1" s="3481" t="s">
        <v>3442</v>
      </c>
      <c r="N1" s="3481" t="s">
        <v>3443</v>
      </c>
      <c r="O1" s="3481" t="s">
        <v>3444</v>
      </c>
      <c r="P1" s="3481" t="s">
        <v>3445</v>
      </c>
      <c r="Q1" s="3481" t="s">
        <v>3446</v>
      </c>
      <c r="R1" s="3481" t="s">
        <v>3447</v>
      </c>
      <c r="S1" s="3481" t="s">
        <v>3448</v>
      </c>
      <c r="T1" s="3481" t="s">
        <v>3449</v>
      </c>
      <c r="U1" s="3481" t="s">
        <v>3450</v>
      </c>
    </row>
    <row r="2" spans="1:21" ht="23.4" thickBot="1">
      <c r="A2" s="3473">
        <v>91</v>
      </c>
      <c r="B2" s="3474" t="s">
        <v>3451</v>
      </c>
      <c r="C2" s="3473" t="s">
        <v>3466</v>
      </c>
      <c r="D2" s="3473" t="s">
        <v>3467</v>
      </c>
      <c r="E2" s="3473" t="s">
        <v>3468</v>
      </c>
      <c r="F2" s="3473" t="s">
        <v>3469</v>
      </c>
      <c r="G2" s="3473" t="s">
        <v>43</v>
      </c>
      <c r="H2" s="3473" t="s">
        <v>3470</v>
      </c>
      <c r="I2" s="3473" t="s">
        <v>3471</v>
      </c>
      <c r="J2" s="3473">
        <v>107.73</v>
      </c>
      <c r="K2" s="3473" t="s">
        <v>3387</v>
      </c>
      <c r="L2" s="3473">
        <v>18</v>
      </c>
      <c r="M2" s="3473"/>
      <c r="N2" s="3473" t="s">
        <v>43</v>
      </c>
      <c r="O2" s="3473">
        <v>1995</v>
      </c>
      <c r="P2" s="3473" t="s">
        <v>43</v>
      </c>
      <c r="Q2" s="3473" t="s">
        <v>43</v>
      </c>
      <c r="R2" s="3473">
        <v>0</v>
      </c>
      <c r="S2" s="3473">
        <v>41158</v>
      </c>
      <c r="T2" s="3473">
        <v>4433951</v>
      </c>
      <c r="U2" s="3477">
        <v>41450</v>
      </c>
    </row>
    <row r="3" spans="1:21" ht="23.4" thickBot="1">
      <c r="A3" s="3475">
        <v>92</v>
      </c>
      <c r="B3" s="3476" t="s">
        <v>3451</v>
      </c>
      <c r="C3" s="3475" t="s">
        <v>3472</v>
      </c>
      <c r="D3" s="3475" t="s">
        <v>3473</v>
      </c>
      <c r="E3" s="3475" t="s">
        <v>3468</v>
      </c>
      <c r="F3" s="3475" t="s">
        <v>3474</v>
      </c>
      <c r="G3" s="3475" t="s">
        <v>43</v>
      </c>
      <c r="H3" s="3475" t="s">
        <v>3475</v>
      </c>
      <c r="I3" s="3475" t="s">
        <v>3452</v>
      </c>
      <c r="J3" s="3475">
        <v>120.97</v>
      </c>
      <c r="K3" s="3475" t="s">
        <v>3387</v>
      </c>
      <c r="L3" s="3475">
        <v>18</v>
      </c>
      <c r="M3" s="3475"/>
      <c r="N3" s="3475" t="s">
        <v>43</v>
      </c>
      <c r="O3" s="3475">
        <v>1995</v>
      </c>
      <c r="P3" s="3475" t="s">
        <v>43</v>
      </c>
      <c r="Q3" s="3475" t="s">
        <v>43</v>
      </c>
      <c r="R3" s="3475">
        <v>0</v>
      </c>
      <c r="S3" s="3475">
        <v>40835</v>
      </c>
      <c r="T3" s="3475">
        <v>4939810</v>
      </c>
      <c r="U3" s="3478">
        <v>41352</v>
      </c>
    </row>
    <row r="4" spans="1:21" ht="34.799999999999997" thickBot="1">
      <c r="A4" s="3473">
        <v>93</v>
      </c>
      <c r="B4" s="3474" t="s">
        <v>3451</v>
      </c>
      <c r="C4" s="3473" t="s">
        <v>3476</v>
      </c>
      <c r="D4" s="3473" t="s">
        <v>3477</v>
      </c>
      <c r="E4" s="3473" t="s">
        <v>3468</v>
      </c>
      <c r="F4" s="3473" t="s">
        <v>3478</v>
      </c>
      <c r="G4" s="3473" t="s">
        <v>3479</v>
      </c>
      <c r="H4" s="3473" t="s">
        <v>3480</v>
      </c>
      <c r="I4" s="3473" t="s">
        <v>3452</v>
      </c>
      <c r="J4" s="3473">
        <v>129.47999999999999</v>
      </c>
      <c r="K4" s="3473" t="s">
        <v>3387</v>
      </c>
      <c r="L4" s="3473" t="s">
        <v>3481</v>
      </c>
      <c r="M4" s="3473">
        <v>2</v>
      </c>
      <c r="N4" s="3473" t="s">
        <v>43</v>
      </c>
      <c r="O4" s="3473">
        <v>1997</v>
      </c>
      <c r="P4" s="3473"/>
      <c r="Q4" s="3473" t="s">
        <v>43</v>
      </c>
      <c r="R4" s="3473">
        <v>0</v>
      </c>
      <c r="S4" s="3473">
        <v>29830</v>
      </c>
      <c r="T4" s="3473">
        <v>3862388</v>
      </c>
      <c r="U4" s="3477">
        <v>41157</v>
      </c>
    </row>
    <row r="5" spans="1:21" ht="34.799999999999997" thickBot="1">
      <c r="A5" s="3475">
        <v>94</v>
      </c>
      <c r="B5" s="3476" t="s">
        <v>3451</v>
      </c>
      <c r="C5" s="3475" t="s">
        <v>3482</v>
      </c>
      <c r="D5" s="3475" t="s">
        <v>3483</v>
      </c>
      <c r="E5" s="3475" t="s">
        <v>3468</v>
      </c>
      <c r="F5" s="3475" t="s">
        <v>3484</v>
      </c>
      <c r="G5" s="3475" t="s">
        <v>3479</v>
      </c>
      <c r="H5" s="3475" t="s">
        <v>3480</v>
      </c>
      <c r="I5" s="3475" t="s">
        <v>3452</v>
      </c>
      <c r="J5" s="3475">
        <v>133.68</v>
      </c>
      <c r="K5" s="3475" t="s">
        <v>3387</v>
      </c>
      <c r="L5" s="3475" t="s">
        <v>3481</v>
      </c>
      <c r="M5" s="3475">
        <v>2</v>
      </c>
      <c r="N5" s="3475" t="s">
        <v>43</v>
      </c>
      <c r="O5" s="3475">
        <v>1997</v>
      </c>
      <c r="P5" s="3475"/>
      <c r="Q5" s="3475" t="s">
        <v>43</v>
      </c>
      <c r="R5" s="3475">
        <v>0</v>
      </c>
      <c r="S5" s="3475">
        <v>30096</v>
      </c>
      <c r="T5" s="3475">
        <v>4023233</v>
      </c>
      <c r="U5" s="3478">
        <v>41108</v>
      </c>
    </row>
    <row r="6" spans="1:21" ht="34.799999999999997" thickBot="1">
      <c r="A6" s="3473">
        <v>95</v>
      </c>
      <c r="B6" s="3474" t="s">
        <v>3451</v>
      </c>
      <c r="C6" s="3473" t="s">
        <v>3485</v>
      </c>
      <c r="D6" s="3473" t="s">
        <v>3486</v>
      </c>
      <c r="E6" s="3473" t="s">
        <v>3468</v>
      </c>
      <c r="F6" s="3473" t="s">
        <v>3487</v>
      </c>
      <c r="G6" s="3473" t="s">
        <v>43</v>
      </c>
      <c r="H6" s="3473" t="s">
        <v>3488</v>
      </c>
      <c r="I6" s="3473" t="s">
        <v>3471</v>
      </c>
      <c r="J6" s="3473">
        <v>45.96</v>
      </c>
      <c r="K6" s="3473" t="s">
        <v>3387</v>
      </c>
      <c r="L6" s="3473">
        <v>18</v>
      </c>
      <c r="M6" s="3473">
        <v>17</v>
      </c>
      <c r="N6" s="3473" t="s">
        <v>43</v>
      </c>
      <c r="O6" s="3473">
        <v>1992</v>
      </c>
      <c r="P6" s="3473"/>
      <c r="Q6" s="3473" t="s">
        <v>43</v>
      </c>
      <c r="R6" s="3473">
        <v>0</v>
      </c>
      <c r="S6" s="3473">
        <v>33987</v>
      </c>
      <c r="T6" s="3473">
        <v>1562043</v>
      </c>
      <c r="U6" s="3477">
        <v>41160</v>
      </c>
    </row>
    <row r="7" spans="1:21" ht="23.4" thickBot="1">
      <c r="A7" s="3475">
        <v>96</v>
      </c>
      <c r="B7" s="3476" t="s">
        <v>3451</v>
      </c>
      <c r="C7" s="3475" t="s">
        <v>3489</v>
      </c>
      <c r="D7" s="3475" t="s">
        <v>3490</v>
      </c>
      <c r="E7" s="3475" t="s">
        <v>3468</v>
      </c>
      <c r="F7" s="3475" t="s">
        <v>3491</v>
      </c>
      <c r="G7" s="3475" t="s">
        <v>43</v>
      </c>
      <c r="H7" s="3475" t="s">
        <v>3492</v>
      </c>
      <c r="I7" s="3475" t="s">
        <v>3471</v>
      </c>
      <c r="J7" s="3475">
        <v>55.47</v>
      </c>
      <c r="K7" s="3475" t="s">
        <v>3387</v>
      </c>
      <c r="L7" s="3475">
        <v>18</v>
      </c>
      <c r="M7" s="3475">
        <v>14</v>
      </c>
      <c r="N7" s="3475" t="s">
        <v>43</v>
      </c>
      <c r="O7" s="3475">
        <v>1996</v>
      </c>
      <c r="P7" s="3475"/>
      <c r="Q7" s="3475" t="s">
        <v>43</v>
      </c>
      <c r="R7" s="3475">
        <v>32360</v>
      </c>
      <c r="S7" s="3475">
        <v>28093</v>
      </c>
      <c r="T7" s="3475">
        <v>1558319</v>
      </c>
      <c r="U7" s="3478">
        <v>40960</v>
      </c>
    </row>
    <row r="8" spans="1:21" ht="34.799999999999997" thickBot="1">
      <c r="A8" s="3473">
        <v>97</v>
      </c>
      <c r="B8" s="3474" t="s">
        <v>3451</v>
      </c>
      <c r="C8" s="3479" t="s">
        <v>3493</v>
      </c>
      <c r="D8" s="3479" t="s">
        <v>3494</v>
      </c>
      <c r="E8" s="3479" t="s">
        <v>3468</v>
      </c>
      <c r="F8" s="3479" t="s">
        <v>3495</v>
      </c>
      <c r="G8" s="3479" t="s">
        <v>43</v>
      </c>
      <c r="H8" s="3479" t="s">
        <v>3496</v>
      </c>
      <c r="I8" s="3479" t="s">
        <v>3452</v>
      </c>
      <c r="J8" s="3479">
        <v>119.53</v>
      </c>
      <c r="K8" s="3479" t="s">
        <v>3387</v>
      </c>
      <c r="L8" s="3479" t="s">
        <v>3481</v>
      </c>
      <c r="M8" s="3479">
        <v>5</v>
      </c>
      <c r="N8" s="3479" t="s">
        <v>43</v>
      </c>
      <c r="O8" s="3479">
        <v>1997</v>
      </c>
      <c r="P8" s="3479"/>
      <c r="Q8" s="3479" t="s">
        <v>43</v>
      </c>
      <c r="R8" s="3479">
        <v>0</v>
      </c>
      <c r="S8" s="3479">
        <v>28791</v>
      </c>
      <c r="T8" s="3479">
        <v>3441388</v>
      </c>
      <c r="U8" s="3480">
        <v>40831</v>
      </c>
    </row>
    <row r="9" spans="1:21" ht="23.4" thickBot="1">
      <c r="A9" s="3475">
        <v>98</v>
      </c>
      <c r="B9" s="3476" t="s">
        <v>3451</v>
      </c>
      <c r="C9" s="3475" t="s">
        <v>3497</v>
      </c>
      <c r="D9" s="3475" t="s">
        <v>3498</v>
      </c>
      <c r="E9" s="3475" t="s">
        <v>3468</v>
      </c>
      <c r="F9" s="3475" t="s">
        <v>3499</v>
      </c>
      <c r="G9" s="3475" t="s">
        <v>43</v>
      </c>
      <c r="H9" s="3475" t="s">
        <v>3475</v>
      </c>
      <c r="I9" s="3475" t="s">
        <v>3471</v>
      </c>
      <c r="J9" s="3475">
        <v>64.48</v>
      </c>
      <c r="K9" s="3475" t="s">
        <v>3387</v>
      </c>
      <c r="L9" s="3475">
        <v>18</v>
      </c>
      <c r="M9" s="3475">
        <v>18</v>
      </c>
      <c r="N9" s="3475" t="s">
        <v>43</v>
      </c>
      <c r="O9" s="3475">
        <v>1996</v>
      </c>
      <c r="P9" s="3475"/>
      <c r="Q9" s="3475" t="s">
        <v>43</v>
      </c>
      <c r="R9" s="3475">
        <v>0</v>
      </c>
      <c r="S9" s="3475">
        <v>28026</v>
      </c>
      <c r="T9" s="3475">
        <v>1807116</v>
      </c>
      <c r="U9" s="3478">
        <v>40756</v>
      </c>
    </row>
    <row r="10" spans="1:21" ht="23.4" thickBot="1">
      <c r="A10" s="3473">
        <v>99</v>
      </c>
      <c r="B10" s="3474" t="s">
        <v>3451</v>
      </c>
      <c r="C10" s="3473" t="s">
        <v>3500</v>
      </c>
      <c r="D10" s="3473" t="s">
        <v>3501</v>
      </c>
      <c r="E10" s="3473" t="s">
        <v>3468</v>
      </c>
      <c r="F10" s="3473" t="s">
        <v>3502</v>
      </c>
      <c r="G10" s="3473" t="s">
        <v>43</v>
      </c>
      <c r="H10" s="3473" t="s">
        <v>3503</v>
      </c>
      <c r="I10" s="3473" t="s">
        <v>3504</v>
      </c>
      <c r="J10" s="3473">
        <v>185.6</v>
      </c>
      <c r="K10" s="3473" t="s">
        <v>3387</v>
      </c>
      <c r="L10" s="3473">
        <v>18</v>
      </c>
      <c r="M10" s="3473">
        <v>3</v>
      </c>
      <c r="N10" s="3473" t="s">
        <v>43</v>
      </c>
      <c r="O10" s="3473">
        <v>1995</v>
      </c>
      <c r="P10" s="3473"/>
      <c r="Q10" s="3473" t="s">
        <v>43</v>
      </c>
      <c r="R10" s="3473">
        <v>20313</v>
      </c>
      <c r="S10" s="3473">
        <v>18052</v>
      </c>
      <c r="T10" s="3473">
        <v>3350451</v>
      </c>
      <c r="U10" s="3477">
        <v>40162</v>
      </c>
    </row>
    <row r="11" spans="1:21" ht="23.4" thickBot="1">
      <c r="A11" s="3475">
        <v>100</v>
      </c>
      <c r="B11" s="3476" t="s">
        <v>3451</v>
      </c>
      <c r="C11" s="3475" t="s">
        <v>3505</v>
      </c>
      <c r="D11" s="3475" t="s">
        <v>3506</v>
      </c>
      <c r="E11" s="3475" t="s">
        <v>3468</v>
      </c>
      <c r="F11" s="3475" t="s">
        <v>3507</v>
      </c>
      <c r="G11" s="3475" t="s">
        <v>43</v>
      </c>
      <c r="H11" s="3475" t="s">
        <v>3475</v>
      </c>
      <c r="I11" s="3475" t="s">
        <v>3452</v>
      </c>
      <c r="J11" s="3475">
        <v>124.87</v>
      </c>
      <c r="K11" s="3475" t="s">
        <v>3387</v>
      </c>
      <c r="L11" s="3475">
        <v>14</v>
      </c>
      <c r="M11" s="3475">
        <v>6</v>
      </c>
      <c r="N11" s="3475" t="s">
        <v>43</v>
      </c>
      <c r="O11" s="3475">
        <v>1997</v>
      </c>
      <c r="P11" s="3475"/>
      <c r="Q11" s="3475" t="s">
        <v>43</v>
      </c>
      <c r="R11" s="3475">
        <v>19925</v>
      </c>
      <c r="S11" s="3475">
        <v>17266</v>
      </c>
      <c r="T11" s="3475">
        <v>2156005</v>
      </c>
      <c r="U11" s="3478">
        <v>40108</v>
      </c>
    </row>
    <row r="12" spans="1:21" ht="46.2" thickBot="1">
      <c r="A12" s="3473">
        <v>101</v>
      </c>
      <c r="B12" s="3474" t="s">
        <v>3451</v>
      </c>
      <c r="C12" s="3473" t="s">
        <v>3508</v>
      </c>
      <c r="D12" s="3473" t="s">
        <v>3509</v>
      </c>
      <c r="E12" s="3473" t="s">
        <v>3468</v>
      </c>
      <c r="F12" s="3473" t="s">
        <v>3510</v>
      </c>
      <c r="G12" s="3473" t="s">
        <v>43</v>
      </c>
      <c r="H12" s="3473" t="s">
        <v>3511</v>
      </c>
      <c r="I12" s="3473" t="s">
        <v>3512</v>
      </c>
      <c r="J12" s="3473">
        <v>50.1</v>
      </c>
      <c r="K12" s="3473" t="s">
        <v>3387</v>
      </c>
      <c r="L12" s="3473">
        <v>18</v>
      </c>
      <c r="M12" s="3473">
        <v>12</v>
      </c>
      <c r="N12" s="3473" t="s">
        <v>43</v>
      </c>
      <c r="O12" s="3473">
        <v>1990</v>
      </c>
      <c r="P12" s="3473"/>
      <c r="Q12" s="3473" t="s">
        <v>43</v>
      </c>
      <c r="R12" s="3473">
        <v>15070</v>
      </c>
      <c r="S12" s="3473">
        <v>13551</v>
      </c>
      <c r="T12" s="3473">
        <v>678905</v>
      </c>
      <c r="U12" s="3477">
        <v>39435</v>
      </c>
    </row>
    <row r="13" spans="1:21" ht="23.4" thickBot="1">
      <c r="A13" s="3475">
        <v>102</v>
      </c>
      <c r="B13" s="3476" t="s">
        <v>3451</v>
      </c>
      <c r="C13" s="3475" t="s">
        <v>3513</v>
      </c>
      <c r="D13" s="3475" t="s">
        <v>3514</v>
      </c>
      <c r="E13" s="3475" t="s">
        <v>3468</v>
      </c>
      <c r="F13" s="3475" t="s">
        <v>3515</v>
      </c>
      <c r="G13" s="3475" t="s">
        <v>43</v>
      </c>
      <c r="H13" s="3475" t="s">
        <v>3516</v>
      </c>
      <c r="I13" s="3475" t="s">
        <v>3452</v>
      </c>
      <c r="J13" s="3475">
        <v>225.92</v>
      </c>
      <c r="K13" s="3475" t="s">
        <v>3387</v>
      </c>
      <c r="L13" s="3475" t="s">
        <v>3517</v>
      </c>
      <c r="M13" s="3475">
        <v>10</v>
      </c>
      <c r="N13" s="3475" t="s">
        <v>43</v>
      </c>
      <c r="O13" s="3475">
        <v>1997</v>
      </c>
      <c r="P13" s="3475"/>
      <c r="Q13" s="3475" t="s">
        <v>43</v>
      </c>
      <c r="R13" s="3475">
        <v>0</v>
      </c>
      <c r="S13" s="3475">
        <v>12019</v>
      </c>
      <c r="T13" s="3475">
        <v>2715332</v>
      </c>
      <c r="U13" s="3478">
        <v>39330</v>
      </c>
    </row>
    <row r="14" spans="1:21" ht="34.799999999999997" thickBot="1">
      <c r="A14" s="3482">
        <v>74</v>
      </c>
      <c r="B14" s="3483" t="s">
        <v>3451</v>
      </c>
      <c r="C14" s="3482" t="s">
        <v>3518</v>
      </c>
      <c r="D14" s="3482" t="s">
        <v>3519</v>
      </c>
      <c r="E14" s="3482" t="s">
        <v>3468</v>
      </c>
      <c r="F14" s="3482" t="s">
        <v>3757</v>
      </c>
      <c r="G14" s="3482" t="s">
        <v>43</v>
      </c>
      <c r="H14" s="3482" t="s">
        <v>3520</v>
      </c>
      <c r="I14" s="3482" t="s">
        <v>3521</v>
      </c>
      <c r="J14" s="3482">
        <v>56.01</v>
      </c>
      <c r="K14" s="3482" t="s">
        <v>3387</v>
      </c>
      <c r="L14" s="3482" t="s">
        <v>3522</v>
      </c>
      <c r="M14" s="3482"/>
      <c r="N14" s="3482" t="s">
        <v>43</v>
      </c>
      <c r="O14" s="3482">
        <v>2006</v>
      </c>
      <c r="P14" s="3482" t="s">
        <v>43</v>
      </c>
      <c r="Q14" s="3482" t="s">
        <v>43</v>
      </c>
      <c r="R14" s="3482">
        <v>0</v>
      </c>
      <c r="S14" s="3482">
        <v>41126</v>
      </c>
      <c r="T14" s="3482">
        <v>2303467</v>
      </c>
      <c r="U14" s="3484">
        <v>41339</v>
      </c>
    </row>
    <row r="15" spans="1:21" ht="34.799999999999997" thickBot="1">
      <c r="A15" s="3473">
        <v>75</v>
      </c>
      <c r="B15" s="3474" t="s">
        <v>3451</v>
      </c>
      <c r="C15" s="3473" t="s">
        <v>3523</v>
      </c>
      <c r="D15" s="3473" t="s">
        <v>3524</v>
      </c>
      <c r="E15" s="3473" t="s">
        <v>3468</v>
      </c>
      <c r="F15" s="3473" t="s">
        <v>3525</v>
      </c>
      <c r="G15" s="3473" t="s">
        <v>43</v>
      </c>
      <c r="H15" s="3473" t="s">
        <v>3475</v>
      </c>
      <c r="I15" s="3473" t="s">
        <v>3452</v>
      </c>
      <c r="J15" s="3473">
        <v>85.07</v>
      </c>
      <c r="K15" s="3473" t="s">
        <v>3387</v>
      </c>
      <c r="L15" s="3473">
        <v>18</v>
      </c>
      <c r="M15" s="3473">
        <v>2</v>
      </c>
      <c r="N15" s="3473" t="s">
        <v>43</v>
      </c>
      <c r="O15" s="3473">
        <v>2005</v>
      </c>
      <c r="P15" s="3473"/>
      <c r="Q15" s="3473" t="s">
        <v>43</v>
      </c>
      <c r="R15" s="3473">
        <v>0</v>
      </c>
      <c r="S15" s="3473">
        <v>37526</v>
      </c>
      <c r="T15" s="3473">
        <v>3192337</v>
      </c>
      <c r="U15" s="3477">
        <v>41268</v>
      </c>
    </row>
    <row r="16" spans="1:21" ht="34.799999999999997" thickBot="1">
      <c r="A16" s="3482">
        <v>272</v>
      </c>
      <c r="B16" s="3483" t="s">
        <v>3451</v>
      </c>
      <c r="C16" s="3482" t="s">
        <v>3526</v>
      </c>
      <c r="D16" s="3482" t="s">
        <v>3527</v>
      </c>
      <c r="E16" s="3482" t="s">
        <v>3468</v>
      </c>
      <c r="F16" s="3482" t="s">
        <v>3528</v>
      </c>
      <c r="G16" s="3482" t="s">
        <v>3529</v>
      </c>
      <c r="H16" s="3482" t="s">
        <v>3530</v>
      </c>
      <c r="I16" s="3482" t="s">
        <v>3452</v>
      </c>
      <c r="J16" s="3482">
        <v>144.35</v>
      </c>
      <c r="K16" s="3482" t="s">
        <v>3387</v>
      </c>
      <c r="L16" s="3482" t="s">
        <v>3458</v>
      </c>
      <c r="M16" s="3482"/>
      <c r="N16" s="3482">
        <v>2005</v>
      </c>
      <c r="O16" s="3482" t="s">
        <v>43</v>
      </c>
      <c r="P16" s="3482" t="s">
        <v>43</v>
      </c>
      <c r="Q16" s="3482" t="s">
        <v>43</v>
      </c>
      <c r="R16" s="3482">
        <v>0</v>
      </c>
      <c r="S16" s="3482">
        <v>48068</v>
      </c>
      <c r="T16" s="3482">
        <v>6938616</v>
      </c>
      <c r="U16" s="3484">
        <v>41407</v>
      </c>
    </row>
    <row r="17" spans="1:75" ht="34.799999999999997" thickBot="1">
      <c r="A17" s="3473">
        <v>273</v>
      </c>
      <c r="B17" s="3474" t="s">
        <v>3451</v>
      </c>
      <c r="C17" s="3473" t="s">
        <v>3531</v>
      </c>
      <c r="D17" s="3473" t="s">
        <v>3532</v>
      </c>
      <c r="E17" s="3473" t="s">
        <v>3468</v>
      </c>
      <c r="F17" s="3473" t="s">
        <v>3533</v>
      </c>
      <c r="G17" s="3473" t="s">
        <v>3529</v>
      </c>
      <c r="H17" s="3473" t="s">
        <v>3530</v>
      </c>
      <c r="I17" s="3473" t="s">
        <v>3452</v>
      </c>
      <c r="J17" s="3473">
        <v>64.78</v>
      </c>
      <c r="K17" s="3473" t="s">
        <v>3387</v>
      </c>
      <c r="L17" s="3473" t="s">
        <v>3534</v>
      </c>
      <c r="M17" s="3473"/>
      <c r="N17" s="3473">
        <v>2005</v>
      </c>
      <c r="O17" s="3473" t="s">
        <v>43</v>
      </c>
      <c r="P17" s="3473" t="s">
        <v>43</v>
      </c>
      <c r="Q17" s="3473" t="s">
        <v>43</v>
      </c>
      <c r="R17" s="3473">
        <v>0</v>
      </c>
      <c r="S17" s="3473">
        <v>46410</v>
      </c>
      <c r="T17" s="3473">
        <v>3006440</v>
      </c>
      <c r="U17" s="3477">
        <v>41404</v>
      </c>
    </row>
    <row r="18" spans="1:75" ht="23.4" thickBot="1">
      <c r="A18" s="3475">
        <v>274</v>
      </c>
      <c r="B18" s="3476" t="s">
        <v>3451</v>
      </c>
      <c r="C18" s="3475" t="s">
        <v>3535</v>
      </c>
      <c r="D18" s="3475" t="s">
        <v>3536</v>
      </c>
      <c r="E18" s="3475" t="s">
        <v>3468</v>
      </c>
      <c r="F18" s="3475" t="s">
        <v>3537</v>
      </c>
      <c r="G18" s="3475" t="s">
        <v>3529</v>
      </c>
      <c r="H18" s="3475" t="s">
        <v>3538</v>
      </c>
      <c r="I18" s="3475" t="s">
        <v>3452</v>
      </c>
      <c r="J18" s="3475">
        <v>96.2</v>
      </c>
      <c r="K18" s="3475" t="s">
        <v>3387</v>
      </c>
      <c r="L18" s="3475" t="s">
        <v>3539</v>
      </c>
      <c r="M18" s="3475"/>
      <c r="N18" s="3475">
        <v>2005</v>
      </c>
      <c r="O18" s="3475" t="s">
        <v>43</v>
      </c>
      <c r="P18" s="3475" t="s">
        <v>43</v>
      </c>
      <c r="Q18" s="3475" t="s">
        <v>43</v>
      </c>
      <c r="R18" s="3475">
        <v>0</v>
      </c>
      <c r="S18" s="3475">
        <v>43907</v>
      </c>
      <c r="T18" s="3475">
        <v>4223853</v>
      </c>
      <c r="U18" s="3478">
        <v>41348</v>
      </c>
    </row>
    <row r="19" spans="1:75" ht="23.4" thickBot="1">
      <c r="A19" s="3473">
        <v>275</v>
      </c>
      <c r="B19" s="3474" t="s">
        <v>3451</v>
      </c>
      <c r="C19" s="3473" t="s">
        <v>3540</v>
      </c>
      <c r="D19" s="3473" t="s">
        <v>3541</v>
      </c>
      <c r="E19" s="3473" t="s">
        <v>3468</v>
      </c>
      <c r="F19" s="3473" t="s">
        <v>3542</v>
      </c>
      <c r="G19" s="3473" t="s">
        <v>3543</v>
      </c>
      <c r="H19" s="3473" t="s">
        <v>3520</v>
      </c>
      <c r="I19" s="3473" t="s">
        <v>3452</v>
      </c>
      <c r="J19" s="3473">
        <v>121.4</v>
      </c>
      <c r="K19" s="3473" t="s">
        <v>3387</v>
      </c>
      <c r="L19" s="3473" t="s">
        <v>3544</v>
      </c>
      <c r="M19" s="3473"/>
      <c r="N19" s="3473" t="s">
        <v>43</v>
      </c>
      <c r="O19" s="3473">
        <v>2002</v>
      </c>
      <c r="P19" s="3473" t="s">
        <v>43</v>
      </c>
      <c r="Q19" s="3473" t="s">
        <v>43</v>
      </c>
      <c r="R19" s="3473">
        <v>0</v>
      </c>
      <c r="S19" s="3473">
        <v>41004</v>
      </c>
      <c r="T19" s="3473">
        <v>4977886</v>
      </c>
      <c r="U19" s="3477">
        <v>41345</v>
      </c>
    </row>
    <row r="20" spans="1:75" ht="23.4" thickBot="1">
      <c r="A20" s="3485">
        <v>276</v>
      </c>
      <c r="B20" s="3486" t="s">
        <v>3451</v>
      </c>
      <c r="C20" s="3485" t="s">
        <v>3545</v>
      </c>
      <c r="D20" s="3485" t="s">
        <v>3546</v>
      </c>
      <c r="E20" s="3485" t="s">
        <v>3468</v>
      </c>
      <c r="F20" s="3485" t="s">
        <v>3547</v>
      </c>
      <c r="G20" s="3485" t="s">
        <v>43</v>
      </c>
      <c r="H20" s="3485" t="s">
        <v>3520</v>
      </c>
      <c r="I20" s="3485" t="s">
        <v>3471</v>
      </c>
      <c r="J20" s="3485">
        <v>41.73</v>
      </c>
      <c r="K20" s="3485" t="s">
        <v>3387</v>
      </c>
      <c r="L20" s="3485">
        <v>6</v>
      </c>
      <c r="M20" s="3485"/>
      <c r="N20" s="3485" t="s">
        <v>43</v>
      </c>
      <c r="O20" s="3485">
        <v>1988</v>
      </c>
      <c r="P20" s="3485" t="s">
        <v>43</v>
      </c>
      <c r="Q20" s="3485" t="s">
        <v>43</v>
      </c>
      <c r="R20" s="3485">
        <v>52241</v>
      </c>
      <c r="S20" s="3485">
        <v>43560</v>
      </c>
      <c r="T20" s="3485">
        <v>1817759</v>
      </c>
      <c r="U20" s="3487">
        <v>41339</v>
      </c>
    </row>
    <row r="21" spans="1:75" ht="34.799999999999997" thickBot="1">
      <c r="A21" s="3473">
        <v>277</v>
      </c>
      <c r="B21" s="3474" t="s">
        <v>3451</v>
      </c>
      <c r="C21" s="3473" t="s">
        <v>3548</v>
      </c>
      <c r="D21" s="3473" t="s">
        <v>3549</v>
      </c>
      <c r="E21" s="3473" t="s">
        <v>3468</v>
      </c>
      <c r="F21" s="3473" t="s">
        <v>3550</v>
      </c>
      <c r="G21" s="3473" t="s">
        <v>3529</v>
      </c>
      <c r="H21" s="3473" t="s">
        <v>3551</v>
      </c>
      <c r="I21" s="3473" t="s">
        <v>3452</v>
      </c>
      <c r="J21" s="3473">
        <v>99.27</v>
      </c>
      <c r="K21" s="3473" t="s">
        <v>3387</v>
      </c>
      <c r="L21" s="3473" t="s">
        <v>3534</v>
      </c>
      <c r="M21" s="3473"/>
      <c r="N21" s="3473">
        <v>2005</v>
      </c>
      <c r="O21" s="3473" t="s">
        <v>43</v>
      </c>
      <c r="P21" s="3473" t="s">
        <v>43</v>
      </c>
      <c r="Q21" s="3473" t="s">
        <v>43</v>
      </c>
      <c r="R21" s="3473">
        <v>0</v>
      </c>
      <c r="S21" s="3473">
        <v>44065</v>
      </c>
      <c r="T21" s="3473">
        <v>4374333</v>
      </c>
      <c r="U21" s="3477">
        <v>41331</v>
      </c>
    </row>
    <row r="22" spans="1:75" ht="23.4" thickBot="1">
      <c r="A22" s="3475">
        <v>278</v>
      </c>
      <c r="B22" s="3476" t="s">
        <v>3451</v>
      </c>
      <c r="C22" s="3475" t="s">
        <v>3552</v>
      </c>
      <c r="D22" s="3475" t="s">
        <v>3553</v>
      </c>
      <c r="E22" s="3475" t="s">
        <v>3468</v>
      </c>
      <c r="F22" s="3475" t="s">
        <v>3554</v>
      </c>
      <c r="G22" s="3475" t="s">
        <v>43</v>
      </c>
      <c r="H22" s="3475" t="s">
        <v>3480</v>
      </c>
      <c r="I22" s="3475" t="s">
        <v>3452</v>
      </c>
      <c r="J22" s="3475">
        <v>60.83</v>
      </c>
      <c r="K22" s="3475" t="s">
        <v>3387</v>
      </c>
      <c r="L22" s="3475">
        <v>6</v>
      </c>
      <c r="M22" s="3475"/>
      <c r="N22" s="3475" t="s">
        <v>43</v>
      </c>
      <c r="O22" s="3475">
        <v>1990</v>
      </c>
      <c r="P22" s="3475" t="s">
        <v>43</v>
      </c>
      <c r="Q22" s="3475" t="s">
        <v>43</v>
      </c>
      <c r="R22" s="3475">
        <v>0</v>
      </c>
      <c r="S22" s="3475">
        <v>40557</v>
      </c>
      <c r="T22" s="3475">
        <v>2467082</v>
      </c>
      <c r="U22" s="3478">
        <v>41292</v>
      </c>
    </row>
    <row r="24" spans="1:75" s="3510" customFormat="1" ht="14.25" customHeight="1">
      <c r="A24" s="3488"/>
      <c r="B24" s="3489"/>
      <c r="C24" s="3490"/>
      <c r="D24" s="3490"/>
      <c r="E24" s="3490"/>
      <c r="F24" s="3490"/>
      <c r="G24" s="3490"/>
      <c r="H24" s="3490"/>
      <c r="I24" s="3490"/>
      <c r="J24" s="3490"/>
      <c r="K24" s="3491"/>
      <c r="L24" s="3492"/>
      <c r="M24" s="3491"/>
      <c r="N24" s="3493"/>
      <c r="O24" s="3492"/>
      <c r="P24" s="3493"/>
      <c r="Q24" s="3492"/>
      <c r="R24" s="3492"/>
      <c r="S24" s="3492"/>
      <c r="T24" s="3494"/>
      <c r="U24" s="3492"/>
      <c r="V24" s="3492" t="s">
        <v>3555</v>
      </c>
      <c r="W24" s="3492"/>
      <c r="X24" s="3494"/>
      <c r="Y24" s="3492"/>
      <c r="Z24" s="3492" t="s">
        <v>3556</v>
      </c>
      <c r="AA24" s="3492"/>
      <c r="AB24" s="3492"/>
      <c r="AC24" s="3493"/>
      <c r="AD24" s="3495"/>
      <c r="AE24" s="3493"/>
      <c r="AF24" s="3489"/>
      <c r="AG24" s="3489"/>
      <c r="AH24" s="3496"/>
      <c r="AI24" s="3489"/>
      <c r="AJ24" s="3497"/>
      <c r="AK24" s="3489"/>
      <c r="AL24" s="3498"/>
      <c r="AM24" s="3499"/>
      <c r="AN24" s="3500" t="s">
        <v>3557</v>
      </c>
      <c r="AO24" s="3500" t="s">
        <v>3558</v>
      </c>
      <c r="AP24" s="3500"/>
      <c r="AQ24" s="3500"/>
      <c r="AR24" s="3501"/>
      <c r="AS24" s="3501" t="s">
        <v>3559</v>
      </c>
      <c r="AT24" s="3501"/>
      <c r="AU24" s="3501"/>
      <c r="AV24" s="3500"/>
      <c r="AW24" s="3502"/>
      <c r="AX24" s="3502"/>
      <c r="AY24" s="3503"/>
      <c r="AZ24" s="3502"/>
      <c r="BA24" s="3502"/>
      <c r="BB24" s="3503"/>
      <c r="BC24" s="3502"/>
      <c r="BD24" s="3504"/>
      <c r="BE24" s="3502"/>
      <c r="BF24" s="3505"/>
      <c r="BG24" s="3506"/>
      <c r="BH24" s="3502"/>
      <c r="BI24" s="3502"/>
      <c r="BJ24" s="3507" t="s">
        <v>3560</v>
      </c>
      <c r="BK24" s="3508" t="s">
        <v>3561</v>
      </c>
      <c r="BL24" s="3491"/>
      <c r="BM24" s="3509"/>
      <c r="BN24" s="3509"/>
      <c r="BO24" s="3509"/>
      <c r="BP24" s="3509"/>
      <c r="BQ24" s="3501"/>
      <c r="BR24" s="3501"/>
      <c r="BU24" s="3511"/>
      <c r="BV24" s="3511"/>
      <c r="BW24" s="3511"/>
    </row>
    <row r="25" spans="1:75" s="3523" customFormat="1" ht="15.6">
      <c r="A25" s="3512" t="s">
        <v>2644</v>
      </c>
      <c r="B25" s="3500" t="s">
        <v>3562</v>
      </c>
      <c r="C25" s="3512" t="s">
        <v>3563</v>
      </c>
      <c r="D25" s="3512" t="s">
        <v>3564</v>
      </c>
      <c r="E25" s="3512" t="s">
        <v>3565</v>
      </c>
      <c r="F25" s="3512" t="s">
        <v>3566</v>
      </c>
      <c r="G25" s="3512" t="s">
        <v>3567</v>
      </c>
      <c r="H25" s="3512" t="s">
        <v>3568</v>
      </c>
      <c r="I25" s="3512" t="s">
        <v>3569</v>
      </c>
      <c r="J25" s="3512" t="s">
        <v>3570</v>
      </c>
      <c r="K25" s="3500" t="s">
        <v>3571</v>
      </c>
      <c r="L25" s="3513" t="s">
        <v>3572</v>
      </c>
      <c r="M25" s="3514" t="s">
        <v>3573</v>
      </c>
      <c r="N25" s="3500" t="s">
        <v>3574</v>
      </c>
      <c r="O25" s="3500" t="s">
        <v>3575</v>
      </c>
      <c r="P25" s="3500" t="s">
        <v>3576</v>
      </c>
      <c r="Q25" s="3513" t="s">
        <v>3577</v>
      </c>
      <c r="R25" s="3513" t="s">
        <v>3578</v>
      </c>
      <c r="S25" s="3513" t="s">
        <v>3579</v>
      </c>
      <c r="T25" s="3515" t="s">
        <v>3580</v>
      </c>
      <c r="U25" s="3513" t="s">
        <v>3581</v>
      </c>
      <c r="V25" s="3513" t="s">
        <v>3582</v>
      </c>
      <c r="W25" s="3513" t="s">
        <v>3583</v>
      </c>
      <c r="X25" s="3515" t="s">
        <v>3584</v>
      </c>
      <c r="Y25" s="3513" t="s">
        <v>3585</v>
      </c>
      <c r="Z25" s="3513" t="s">
        <v>3586</v>
      </c>
      <c r="AA25" s="3513" t="s">
        <v>3587</v>
      </c>
      <c r="AB25" s="3513" t="s">
        <v>3588</v>
      </c>
      <c r="AC25" s="3500" t="s">
        <v>3589</v>
      </c>
      <c r="AD25" s="3498" t="s">
        <v>3590</v>
      </c>
      <c r="AE25" s="3500" t="s">
        <v>3591</v>
      </c>
      <c r="AF25" s="3500" t="s">
        <v>3592</v>
      </c>
      <c r="AG25" s="3500" t="s">
        <v>3593</v>
      </c>
      <c r="AH25" s="3500" t="s">
        <v>3594</v>
      </c>
      <c r="AI25" s="3500" t="s">
        <v>3595</v>
      </c>
      <c r="AJ25" s="3516" t="s">
        <v>3596</v>
      </c>
      <c r="AK25" s="3500" t="s">
        <v>3597</v>
      </c>
      <c r="AL25" s="3498" t="s">
        <v>3598</v>
      </c>
      <c r="AM25" s="3499" t="s">
        <v>3599</v>
      </c>
      <c r="AN25" s="3500" t="s">
        <v>3600</v>
      </c>
      <c r="AO25" s="3500" t="s">
        <v>3601</v>
      </c>
      <c r="AP25" s="3500" t="s">
        <v>3602</v>
      </c>
      <c r="AQ25" s="3500" t="s">
        <v>3603</v>
      </c>
      <c r="AR25" s="3501" t="s">
        <v>3604</v>
      </c>
      <c r="AS25" s="3501" t="s">
        <v>3586</v>
      </c>
      <c r="AT25" s="3501" t="s">
        <v>3587</v>
      </c>
      <c r="AU25" s="3501" t="s">
        <v>3605</v>
      </c>
      <c r="AV25" s="3498" t="s">
        <v>3606</v>
      </c>
      <c r="AW25" s="3517" t="s">
        <v>3607</v>
      </c>
      <c r="AX25" s="3518" t="s">
        <v>3608</v>
      </c>
      <c r="AY25" s="3519" t="s">
        <v>3609</v>
      </c>
      <c r="AZ25" s="3517" t="s">
        <v>3610</v>
      </c>
      <c r="BA25" s="3517" t="s">
        <v>3611</v>
      </c>
      <c r="BB25" s="3519" t="s">
        <v>3612</v>
      </c>
      <c r="BC25" s="3517" t="s">
        <v>3613</v>
      </c>
      <c r="BD25" s="3520" t="s">
        <v>3614</v>
      </c>
      <c r="BE25" s="3517" t="s">
        <v>3615</v>
      </c>
      <c r="BF25" s="3521" t="s">
        <v>3616</v>
      </c>
      <c r="BG25" s="3522" t="s">
        <v>3617</v>
      </c>
      <c r="BH25" s="3522" t="s">
        <v>3618</v>
      </c>
      <c r="BI25" s="3522" t="s">
        <v>3619</v>
      </c>
      <c r="BJ25" s="3507" t="s">
        <v>3620</v>
      </c>
      <c r="BK25" s="3508" t="s">
        <v>3621</v>
      </c>
      <c r="BL25" s="3501" t="s">
        <v>3622</v>
      </c>
      <c r="BM25" s="3509" t="s">
        <v>3623</v>
      </c>
      <c r="BN25" s="3509" t="s">
        <v>3624</v>
      </c>
      <c r="BO25" s="3509" t="s">
        <v>3625</v>
      </c>
      <c r="BP25" s="3509"/>
      <c r="BQ25" s="3501" t="s">
        <v>3626</v>
      </c>
      <c r="BR25" s="3501" t="s">
        <v>3627</v>
      </c>
      <c r="BU25" s="3524"/>
      <c r="BV25" s="3524"/>
      <c r="BW25" s="3524"/>
    </row>
    <row r="26" spans="1:75" s="3607" customFormat="1" ht="12" customHeight="1">
      <c r="A26" s="3579" t="s">
        <v>3833</v>
      </c>
      <c r="B26" s="3579" t="s">
        <v>3628</v>
      </c>
      <c r="C26" s="3580" t="s">
        <v>3629</v>
      </c>
      <c r="D26" s="3580" t="s">
        <v>3630</v>
      </c>
      <c r="E26" s="3579" t="s">
        <v>3631</v>
      </c>
      <c r="F26" s="3581" t="s">
        <v>3632</v>
      </c>
      <c r="G26" s="3579"/>
      <c r="H26" s="3579" t="s">
        <v>3633</v>
      </c>
      <c r="I26" s="3581"/>
      <c r="J26" s="3582" t="s">
        <v>3634</v>
      </c>
      <c r="K26" s="3579" t="s">
        <v>3635</v>
      </c>
      <c r="L26" s="3583">
        <v>80.47</v>
      </c>
      <c r="M26" s="3580" t="s">
        <v>3636</v>
      </c>
      <c r="N26" s="3579" t="s">
        <v>3637</v>
      </c>
      <c r="O26" s="3579"/>
      <c r="P26" s="3579" t="s">
        <v>3638</v>
      </c>
      <c r="Q26" s="3584">
        <v>2000000</v>
      </c>
      <c r="R26" s="3583">
        <v>24854</v>
      </c>
      <c r="S26" s="3585">
        <v>377.99</v>
      </c>
      <c r="T26" s="3586">
        <v>3779900</v>
      </c>
      <c r="U26" s="3583">
        <v>46973</v>
      </c>
      <c r="V26" s="3587">
        <v>0.2</v>
      </c>
      <c r="W26" s="3588">
        <v>302.39</v>
      </c>
      <c r="X26" s="3586">
        <v>3023900</v>
      </c>
      <c r="Y26" s="3583">
        <v>2013</v>
      </c>
      <c r="Z26" s="3589">
        <v>4</v>
      </c>
      <c r="AA26" s="3589">
        <v>7</v>
      </c>
      <c r="AB26" s="3583">
        <v>1500</v>
      </c>
      <c r="AC26" s="3579" t="s">
        <v>3639</v>
      </c>
      <c r="AD26" s="3590"/>
      <c r="AE26" s="3579" t="s">
        <v>3640</v>
      </c>
      <c r="AF26" s="3579" t="s">
        <v>3641</v>
      </c>
      <c r="AG26" s="3591" t="s">
        <v>3642</v>
      </c>
      <c r="AH26" s="3592">
        <v>52193</v>
      </c>
      <c r="AI26" s="3591" t="s">
        <v>3643</v>
      </c>
      <c r="AJ26" s="3593"/>
      <c r="AK26" s="3594" t="s">
        <v>3644</v>
      </c>
      <c r="AL26" s="3583">
        <v>43</v>
      </c>
      <c r="AM26" s="3579"/>
      <c r="AN26" s="3579"/>
      <c r="AO26" s="3579"/>
      <c r="AP26" s="3579" t="s">
        <v>3645</v>
      </c>
      <c r="AQ26" s="3579" t="s">
        <v>3646</v>
      </c>
      <c r="AR26" s="3579"/>
      <c r="AS26" s="3579"/>
      <c r="AT26" s="3579"/>
      <c r="AU26" s="3595"/>
      <c r="AV26" s="3595" t="s">
        <v>3647</v>
      </c>
      <c r="AW26" s="3595" t="s">
        <v>3648</v>
      </c>
      <c r="AX26" s="3595" t="s">
        <v>3649</v>
      </c>
      <c r="AY26" s="3596" t="s">
        <v>3650</v>
      </c>
      <c r="AZ26" s="3579" t="s">
        <v>3635</v>
      </c>
      <c r="BA26" s="3597"/>
      <c r="BB26" s="3598"/>
      <c r="BC26" s="3595"/>
      <c r="BD26" s="3599"/>
      <c r="BE26" s="3595"/>
      <c r="BF26" s="3600"/>
      <c r="BG26" s="3601">
        <v>41361</v>
      </c>
      <c r="BH26" s="3579"/>
      <c r="BI26" s="3602" t="s">
        <v>3651</v>
      </c>
      <c r="BJ26" s="3603"/>
      <c r="BK26" s="3604"/>
      <c r="BL26" s="3595" t="s">
        <v>3652</v>
      </c>
      <c r="BM26" s="3579"/>
      <c r="BN26" s="3579"/>
      <c r="BO26" s="3579"/>
      <c r="BP26" s="3595"/>
      <c r="BQ26" s="3595" t="e">
        <v>#DIV/0!</v>
      </c>
      <c r="BR26" s="3595" t="e">
        <v>#DIV/0!</v>
      </c>
      <c r="BS26" s="3605" t="s">
        <v>3651</v>
      </c>
      <c r="BT26" s="3605" t="s">
        <v>3653</v>
      </c>
      <c r="BU26" s="3606"/>
    </row>
    <row r="27" spans="1:75" s="3548" customFormat="1" ht="12" customHeight="1">
      <c r="A27" s="3525" t="s">
        <v>3654</v>
      </c>
      <c r="B27" s="3525" t="s">
        <v>3655</v>
      </c>
      <c r="C27" s="3527" t="s">
        <v>3656</v>
      </c>
      <c r="D27" s="3527" t="s">
        <v>3657</v>
      </c>
      <c r="E27" s="3525" t="s">
        <v>3658</v>
      </c>
      <c r="F27" s="3525" t="s">
        <v>3659</v>
      </c>
      <c r="G27" s="3525"/>
      <c r="H27" s="3525" t="s">
        <v>3660</v>
      </c>
      <c r="I27" s="3525" t="s">
        <v>3661</v>
      </c>
      <c r="J27" s="3526" t="s">
        <v>3662</v>
      </c>
      <c r="K27" s="3525" t="s">
        <v>3663</v>
      </c>
      <c r="L27" s="3528">
        <v>68.63</v>
      </c>
      <c r="M27" s="3525">
        <v>4</v>
      </c>
      <c r="N27" s="3525" t="s">
        <v>3664</v>
      </c>
      <c r="O27" s="3525"/>
      <c r="P27" s="3525" t="s">
        <v>3638</v>
      </c>
      <c r="Q27" s="3529">
        <v>1400000</v>
      </c>
      <c r="R27" s="3528">
        <v>20399</v>
      </c>
      <c r="S27" s="3530">
        <v>281.25</v>
      </c>
      <c r="T27" s="3531">
        <v>2812500</v>
      </c>
      <c r="U27" s="3528">
        <v>40982</v>
      </c>
      <c r="V27" s="3532">
        <v>0.2</v>
      </c>
      <c r="W27" s="3533">
        <v>225</v>
      </c>
      <c r="X27" s="3531">
        <v>2250000</v>
      </c>
      <c r="Y27" s="3534">
        <v>2013</v>
      </c>
      <c r="Z27" s="3534">
        <v>3</v>
      </c>
      <c r="AA27" s="3528">
        <v>13</v>
      </c>
      <c r="AB27" s="3528">
        <v>1500</v>
      </c>
      <c r="AC27" s="3525" t="s">
        <v>3665</v>
      </c>
      <c r="AD27" s="3527"/>
      <c r="AE27" s="3525" t="s">
        <v>3666</v>
      </c>
      <c r="AF27" s="3525" t="s">
        <v>3667</v>
      </c>
      <c r="AG27" s="3525" t="s">
        <v>3642</v>
      </c>
      <c r="AH27" s="3525">
        <v>20399</v>
      </c>
      <c r="AI27" s="3525" t="s">
        <v>3668</v>
      </c>
      <c r="AJ27" s="3549"/>
      <c r="AK27" s="3538" t="s">
        <v>3669</v>
      </c>
      <c r="AL27" s="3525">
        <v>23</v>
      </c>
      <c r="AM27" s="3525"/>
      <c r="AN27" s="3535"/>
      <c r="AO27" s="3525"/>
      <c r="AP27" s="3525" t="s">
        <v>3670</v>
      </c>
      <c r="AQ27" s="3525" t="s">
        <v>3671</v>
      </c>
      <c r="AR27" s="3525"/>
      <c r="AS27" s="3525"/>
      <c r="AT27" s="3525"/>
      <c r="AU27" s="3525"/>
      <c r="AV27" s="3525"/>
      <c r="AW27" s="3525" t="s">
        <v>3672</v>
      </c>
      <c r="AX27" s="3525" t="s">
        <v>3649</v>
      </c>
      <c r="AY27" s="3526" t="s">
        <v>3673</v>
      </c>
      <c r="AZ27" s="3525" t="s">
        <v>3674</v>
      </c>
      <c r="BA27" s="3525"/>
      <c r="BB27" s="3526" t="s">
        <v>3647</v>
      </c>
      <c r="BC27" s="3525" t="s">
        <v>3647</v>
      </c>
      <c r="BD27" s="3550"/>
      <c r="BE27" s="3525"/>
      <c r="BF27" s="3551"/>
      <c r="BG27" s="3549">
        <v>41297</v>
      </c>
      <c r="BH27" s="3525"/>
      <c r="BI27" s="3539" t="s">
        <v>3675</v>
      </c>
      <c r="BJ27" s="3545">
        <v>41325</v>
      </c>
      <c r="BK27" s="3549"/>
      <c r="BL27" s="3539" t="s">
        <v>3652</v>
      </c>
      <c r="BM27" s="3539" t="s">
        <v>3676</v>
      </c>
      <c r="BN27" s="3539" t="s">
        <v>3677</v>
      </c>
      <c r="BO27" s="3525" t="s">
        <v>3678</v>
      </c>
      <c r="BP27" s="3525"/>
      <c r="BQ27" s="3539" t="e">
        <v>#DIV/0!</v>
      </c>
      <c r="BR27" s="3539" t="e">
        <v>#DIV/0!</v>
      </c>
      <c r="BS27" s="3546" t="s">
        <v>3679</v>
      </c>
      <c r="BT27" s="3546" t="s">
        <v>3665</v>
      </c>
      <c r="BU27" s="3547"/>
    </row>
    <row r="28" spans="1:75" s="3547" customFormat="1" ht="12" customHeight="1">
      <c r="A28" s="3525" t="s">
        <v>3680</v>
      </c>
      <c r="B28" s="3525" t="s">
        <v>3681</v>
      </c>
      <c r="C28" s="3526" t="s">
        <v>3682</v>
      </c>
      <c r="D28" s="3526" t="s">
        <v>3683</v>
      </c>
      <c r="E28" s="3525" t="s">
        <v>3684</v>
      </c>
      <c r="F28" s="3525" t="s">
        <v>3685</v>
      </c>
      <c r="G28" s="3525"/>
      <c r="H28" s="3525" t="s">
        <v>3686</v>
      </c>
      <c r="I28" s="3525" t="s">
        <v>3687</v>
      </c>
      <c r="J28" s="3526" t="s">
        <v>3688</v>
      </c>
      <c r="K28" s="3525" t="s">
        <v>3689</v>
      </c>
      <c r="L28" s="3528">
        <v>47.56</v>
      </c>
      <c r="M28" s="3526" t="s">
        <v>3690</v>
      </c>
      <c r="N28" s="3525" t="s">
        <v>3691</v>
      </c>
      <c r="O28" s="3525"/>
      <c r="P28" s="3525" t="s">
        <v>3692</v>
      </c>
      <c r="Q28" s="3529">
        <v>1500000</v>
      </c>
      <c r="R28" s="3528">
        <v>31539</v>
      </c>
      <c r="S28" s="3530">
        <v>229.51</v>
      </c>
      <c r="T28" s="3531">
        <v>2295100</v>
      </c>
      <c r="U28" s="3528">
        <v>48257</v>
      </c>
      <c r="V28" s="3532">
        <v>0.2</v>
      </c>
      <c r="W28" s="3533">
        <v>183.6</v>
      </c>
      <c r="X28" s="3531">
        <v>1836000</v>
      </c>
      <c r="Y28" s="3534">
        <v>2013</v>
      </c>
      <c r="Z28" s="3534">
        <v>3</v>
      </c>
      <c r="AA28" s="3534">
        <v>25</v>
      </c>
      <c r="AB28" s="3528">
        <v>1500</v>
      </c>
      <c r="AC28" s="3525" t="s">
        <v>3693</v>
      </c>
      <c r="AD28" s="3536"/>
      <c r="AE28" s="3539" t="s">
        <v>3694</v>
      </c>
      <c r="AF28" s="3525" t="s">
        <v>3695</v>
      </c>
      <c r="AG28" s="3525" t="s">
        <v>3696</v>
      </c>
      <c r="AH28" s="3536"/>
      <c r="AI28" s="3525" t="s">
        <v>3697</v>
      </c>
      <c r="AJ28" s="3537"/>
      <c r="AK28" s="3538" t="s">
        <v>3698</v>
      </c>
      <c r="AL28" s="3539">
        <v>40</v>
      </c>
      <c r="AM28" s="3525"/>
      <c r="AN28" s="3539"/>
      <c r="AO28" s="3539"/>
      <c r="AP28" s="3539" t="s">
        <v>3699</v>
      </c>
      <c r="AQ28" s="3525" t="s">
        <v>3646</v>
      </c>
      <c r="AR28" s="3539"/>
      <c r="AS28" s="3539"/>
      <c r="AT28" s="3539"/>
      <c r="AU28" s="3539"/>
      <c r="AV28" s="3539"/>
      <c r="AW28" s="3539" t="s">
        <v>3648</v>
      </c>
      <c r="AX28" s="3539" t="s">
        <v>3700</v>
      </c>
      <c r="AY28" s="3541" t="s">
        <v>3701</v>
      </c>
      <c r="AZ28" s="3525" t="s">
        <v>3689</v>
      </c>
      <c r="BA28" s="3539"/>
      <c r="BB28" s="3541"/>
      <c r="BC28" s="3539"/>
      <c r="BD28" s="3542"/>
      <c r="BE28" s="3539"/>
      <c r="BF28" s="3543"/>
      <c r="BG28" s="3545">
        <v>41349</v>
      </c>
      <c r="BH28" s="3552"/>
      <c r="BI28" s="3539" t="s">
        <v>3702</v>
      </c>
      <c r="BJ28" s="3545"/>
      <c r="BK28" s="3545"/>
      <c r="BL28" s="3525" t="s">
        <v>3652</v>
      </c>
      <c r="BM28" s="3539"/>
      <c r="BN28" s="3539" t="s">
        <v>3677</v>
      </c>
      <c r="BO28" s="3539"/>
      <c r="BP28" s="3539"/>
      <c r="BQ28" s="3539" t="e">
        <v>#DIV/0!</v>
      </c>
      <c r="BR28" s="3539" t="e">
        <v>#DIV/0!</v>
      </c>
      <c r="BS28" s="3546" t="s">
        <v>3703</v>
      </c>
      <c r="BT28" s="3546" t="s">
        <v>3653</v>
      </c>
    </row>
    <row r="29" spans="1:75" s="3548" customFormat="1" ht="12" customHeight="1">
      <c r="A29" s="3525" t="s">
        <v>3704</v>
      </c>
      <c r="B29" s="3525" t="s">
        <v>3705</v>
      </c>
      <c r="C29" s="3526" t="s">
        <v>3706</v>
      </c>
      <c r="D29" s="3525">
        <v>13693166241</v>
      </c>
      <c r="E29" s="3525" t="s">
        <v>3684</v>
      </c>
      <c r="F29" s="3525" t="s">
        <v>3707</v>
      </c>
      <c r="G29" s="3525"/>
      <c r="H29" s="3525" t="s">
        <v>3708</v>
      </c>
      <c r="I29" s="3525" t="s">
        <v>3709</v>
      </c>
      <c r="J29" s="3525" t="s">
        <v>3710</v>
      </c>
      <c r="K29" s="3525" t="s">
        <v>3705</v>
      </c>
      <c r="L29" s="3528">
        <v>43.79</v>
      </c>
      <c r="M29" s="3525">
        <v>7</v>
      </c>
      <c r="N29" s="3525" t="s">
        <v>3711</v>
      </c>
      <c r="O29" s="3525"/>
      <c r="P29" s="3525" t="s">
        <v>3638</v>
      </c>
      <c r="Q29" s="3529">
        <v>1150000</v>
      </c>
      <c r="R29" s="3528">
        <v>26262</v>
      </c>
      <c r="S29" s="3530">
        <v>179.22</v>
      </c>
      <c r="T29" s="3531">
        <v>1792200</v>
      </c>
      <c r="U29" s="3528">
        <v>40928</v>
      </c>
      <c r="V29" s="3532">
        <v>0.2</v>
      </c>
      <c r="W29" s="3533">
        <v>143.37</v>
      </c>
      <c r="X29" s="3531">
        <v>1433700</v>
      </c>
      <c r="Y29" s="3528">
        <v>2013</v>
      </c>
      <c r="Z29" s="3534">
        <v>3</v>
      </c>
      <c r="AA29" s="3528">
        <v>15</v>
      </c>
      <c r="AB29" s="3528">
        <v>1500</v>
      </c>
      <c r="AC29" s="3525" t="s">
        <v>3712</v>
      </c>
      <c r="AD29" s="3525"/>
      <c r="AE29" s="3525" t="s">
        <v>3666</v>
      </c>
      <c r="AF29" s="3525" t="s">
        <v>3695</v>
      </c>
      <c r="AG29" s="3525" t="s">
        <v>3642</v>
      </c>
      <c r="AH29" s="3525">
        <v>47042</v>
      </c>
      <c r="AI29" s="3525" t="s">
        <v>3668</v>
      </c>
      <c r="AJ29" s="3525"/>
      <c r="AK29" s="3553" t="s">
        <v>3713</v>
      </c>
      <c r="AL29" s="3525">
        <v>40</v>
      </c>
      <c r="AM29" s="3525"/>
      <c r="AN29" s="3525" t="s">
        <v>3714</v>
      </c>
      <c r="AO29" s="3525"/>
      <c r="AP29" s="3525" t="s">
        <v>3715</v>
      </c>
      <c r="AQ29" s="3525" t="s">
        <v>3716</v>
      </c>
      <c r="AR29" s="3525"/>
      <c r="AS29" s="3525"/>
      <c r="AT29" s="3525"/>
      <c r="AU29" s="3525"/>
      <c r="AV29" s="3525"/>
      <c r="AW29" s="3525" t="s">
        <v>3648</v>
      </c>
      <c r="AX29" s="3526" t="s">
        <v>409</v>
      </c>
      <c r="AY29" s="3525">
        <v>700722</v>
      </c>
      <c r="AZ29" s="3525" t="s">
        <v>3717</v>
      </c>
      <c r="BA29" s="3525"/>
      <c r="BB29" s="3525"/>
      <c r="BC29" s="3525"/>
      <c r="BD29" s="3525"/>
      <c r="BE29" s="3525"/>
      <c r="BF29" s="3525"/>
      <c r="BG29" s="3554">
        <v>41305</v>
      </c>
      <c r="BH29" s="3525"/>
      <c r="BI29" s="3525" t="s">
        <v>3718</v>
      </c>
      <c r="BJ29" s="3554">
        <v>41309</v>
      </c>
      <c r="BK29" s="3554"/>
      <c r="BL29" s="3525" t="s">
        <v>3719</v>
      </c>
      <c r="BM29" s="3525" t="s">
        <v>3720</v>
      </c>
      <c r="BN29" s="3525" t="s">
        <v>3721</v>
      </c>
      <c r="BO29" s="3525" t="s">
        <v>3678</v>
      </c>
      <c r="BP29" s="3525"/>
      <c r="BQ29" s="3539" t="e">
        <v>#DIV/0!</v>
      </c>
      <c r="BR29" s="3539" t="e">
        <v>#DIV/0!</v>
      </c>
      <c r="BS29" s="3546" t="s">
        <v>3722</v>
      </c>
      <c r="BT29" s="3546" t="s">
        <v>3665</v>
      </c>
      <c r="BU29" s="3547"/>
    </row>
    <row r="30" spans="1:75" s="3558" customFormat="1" ht="12" customHeight="1">
      <c r="A30" s="3544" t="s">
        <v>3723</v>
      </c>
      <c r="B30" s="3544" t="s">
        <v>3724</v>
      </c>
      <c r="C30" s="3555" t="s">
        <v>3725</v>
      </c>
      <c r="D30" s="3555" t="s">
        <v>3726</v>
      </c>
      <c r="E30" s="3544" t="s">
        <v>3727</v>
      </c>
      <c r="F30" s="3544" t="s">
        <v>3728</v>
      </c>
      <c r="G30" s="3544"/>
      <c r="H30" s="3544" t="s">
        <v>3729</v>
      </c>
      <c r="I30" s="3555" t="s">
        <v>3730</v>
      </c>
      <c r="J30" s="3555" t="s">
        <v>3731</v>
      </c>
      <c r="K30" s="3544" t="s">
        <v>3724</v>
      </c>
      <c r="L30" s="3528">
        <v>126.87</v>
      </c>
      <c r="M30" s="3526" t="s">
        <v>3732</v>
      </c>
      <c r="N30" s="3544" t="s">
        <v>3733</v>
      </c>
      <c r="O30" s="3544">
        <v>101.34</v>
      </c>
      <c r="P30" s="3544" t="s">
        <v>3734</v>
      </c>
      <c r="Q30" s="3529">
        <v>3550000</v>
      </c>
      <c r="R30" s="3528">
        <v>27981</v>
      </c>
      <c r="S30" s="3530">
        <v>509.09</v>
      </c>
      <c r="T30" s="3531">
        <v>5090900</v>
      </c>
      <c r="U30" s="3528">
        <v>40127</v>
      </c>
      <c r="V30" s="3532">
        <v>0.2</v>
      </c>
      <c r="W30" s="3533">
        <v>407.27</v>
      </c>
      <c r="X30" s="3531">
        <v>4072700</v>
      </c>
      <c r="Y30" s="3528">
        <v>2013</v>
      </c>
      <c r="Z30" s="3534">
        <v>3</v>
      </c>
      <c r="AA30" s="3534">
        <v>7</v>
      </c>
      <c r="AB30" s="3528">
        <v>1500</v>
      </c>
      <c r="AC30" s="3544" t="s">
        <v>3712</v>
      </c>
      <c r="AD30" s="3544"/>
      <c r="AE30" s="3544" t="s">
        <v>3735</v>
      </c>
      <c r="AF30" s="3544" t="s">
        <v>3652</v>
      </c>
      <c r="AG30" s="3544" t="s">
        <v>3642</v>
      </c>
      <c r="AH30" s="3544"/>
      <c r="AI30" s="3544" t="s">
        <v>3643</v>
      </c>
      <c r="AJ30" s="3544"/>
      <c r="AK30" s="3525" t="s">
        <v>3713</v>
      </c>
      <c r="AL30" s="3544">
        <v>52</v>
      </c>
      <c r="AM30" s="3544"/>
      <c r="AN30" s="3544"/>
      <c r="AO30" s="3544"/>
      <c r="AP30" s="3525" t="s">
        <v>3736</v>
      </c>
      <c r="AQ30" s="3525" t="s">
        <v>3716</v>
      </c>
      <c r="AR30" s="3544"/>
      <c r="AS30" s="3544"/>
      <c r="AT30" s="3544"/>
      <c r="AU30" s="3544"/>
      <c r="AV30" s="3544"/>
      <c r="AW30" s="3544" t="s">
        <v>3737</v>
      </c>
      <c r="AX30" s="3544" t="s">
        <v>3738</v>
      </c>
      <c r="AY30" s="3544">
        <v>691541</v>
      </c>
      <c r="AZ30" s="3544" t="s">
        <v>3739</v>
      </c>
      <c r="BA30" s="3544"/>
      <c r="BB30" s="3544"/>
      <c r="BC30" s="3544"/>
      <c r="BD30" s="3544"/>
      <c r="BE30" s="3555"/>
      <c r="BF30" s="3544"/>
      <c r="BG30" s="3556">
        <v>41292</v>
      </c>
      <c r="BH30" s="3544"/>
      <c r="BI30" s="3525" t="s">
        <v>3736</v>
      </c>
      <c r="BJ30" s="3556">
        <v>41298</v>
      </c>
      <c r="BK30" s="3557"/>
      <c r="BL30" s="3544" t="s">
        <v>3695</v>
      </c>
      <c r="BM30" s="3544"/>
      <c r="BN30" s="3544"/>
      <c r="BO30" s="3544"/>
      <c r="BP30" s="3544"/>
      <c r="BQ30" s="3539">
        <v>50236</v>
      </c>
      <c r="BR30" s="3539">
        <v>35031</v>
      </c>
      <c r="BS30" s="3546" t="s">
        <v>3740</v>
      </c>
      <c r="BT30" s="3546" t="s">
        <v>3665</v>
      </c>
      <c r="BU30" s="3547"/>
    </row>
    <row r="31" spans="1:75" s="3547" customFormat="1" ht="12" customHeight="1">
      <c r="A31" s="3525" t="s">
        <v>3741</v>
      </c>
      <c r="B31" s="3525" t="s">
        <v>3742</v>
      </c>
      <c r="C31" s="3526" t="s">
        <v>3743</v>
      </c>
      <c r="D31" s="3526">
        <v>13581738726</v>
      </c>
      <c r="E31" s="3525" t="s">
        <v>3658</v>
      </c>
      <c r="F31" s="3525" t="s">
        <v>3744</v>
      </c>
      <c r="G31" s="3525" t="s">
        <v>3745</v>
      </c>
      <c r="H31" s="3525" t="s">
        <v>3746</v>
      </c>
      <c r="I31" s="3525" t="s">
        <v>3747</v>
      </c>
      <c r="J31" s="3526" t="s">
        <v>3748</v>
      </c>
      <c r="K31" s="3525" t="s">
        <v>3749</v>
      </c>
      <c r="L31" s="3528">
        <v>58.52</v>
      </c>
      <c r="M31" s="3526">
        <v>1</v>
      </c>
      <c r="N31" s="3525" t="s">
        <v>3750</v>
      </c>
      <c r="O31" s="3525"/>
      <c r="P31" s="3525" t="s">
        <v>3751</v>
      </c>
      <c r="Q31" s="3529">
        <v>1290000</v>
      </c>
      <c r="R31" s="3528">
        <v>22044</v>
      </c>
      <c r="S31" s="3530">
        <v>215.09</v>
      </c>
      <c r="T31" s="3531">
        <v>2150900</v>
      </c>
      <c r="U31" s="3528">
        <v>36756</v>
      </c>
      <c r="V31" s="3532">
        <v>0.2</v>
      </c>
      <c r="W31" s="3533">
        <v>172.07</v>
      </c>
      <c r="X31" s="3531">
        <v>1720700</v>
      </c>
      <c r="Y31" s="3534">
        <v>2013</v>
      </c>
      <c r="Z31" s="3534">
        <v>4</v>
      </c>
      <c r="AA31" s="3534">
        <v>8</v>
      </c>
      <c r="AB31" s="3528">
        <v>1500</v>
      </c>
      <c r="AC31" s="3525" t="s">
        <v>3665</v>
      </c>
      <c r="AD31" s="3536"/>
      <c r="AE31" s="3539" t="s">
        <v>3752</v>
      </c>
      <c r="AF31" s="3525" t="s">
        <v>3695</v>
      </c>
      <c r="AG31" s="3525" t="s">
        <v>3642</v>
      </c>
      <c r="AH31" s="3536">
        <v>40840</v>
      </c>
      <c r="AI31" s="3525" t="s">
        <v>3643</v>
      </c>
      <c r="AJ31" s="3537"/>
      <c r="AK31" s="3538" t="s">
        <v>3644</v>
      </c>
      <c r="AL31" s="3534">
        <v>32</v>
      </c>
      <c r="AM31" s="3525"/>
      <c r="AN31" s="3539"/>
      <c r="AO31" s="3539"/>
      <c r="AP31" s="3539" t="s">
        <v>3702</v>
      </c>
      <c r="AQ31" s="3525" t="s">
        <v>3716</v>
      </c>
      <c r="AR31" s="3539"/>
      <c r="AS31" s="3539"/>
      <c r="AT31" s="3539"/>
      <c r="AU31" s="3539"/>
      <c r="AV31" s="3539"/>
      <c r="AW31" s="3539" t="s">
        <v>3648</v>
      </c>
      <c r="AX31" s="3539" t="s">
        <v>3649</v>
      </c>
      <c r="AY31" s="3541" t="s">
        <v>3753</v>
      </c>
      <c r="AZ31" s="3525" t="s">
        <v>3754</v>
      </c>
      <c r="BA31" s="3539"/>
      <c r="BB31" s="3541"/>
      <c r="BC31" s="3539"/>
      <c r="BD31" s="3542"/>
      <c r="BE31" s="3539"/>
      <c r="BF31" s="3543"/>
      <c r="BG31" s="3545">
        <v>41348</v>
      </c>
      <c r="BH31" s="3552"/>
      <c r="BI31" s="3539" t="s">
        <v>3699</v>
      </c>
      <c r="BJ31" s="3545">
        <v>41348</v>
      </c>
      <c r="BK31" s="3545"/>
      <c r="BL31" s="3525" t="s">
        <v>3652</v>
      </c>
      <c r="BM31" s="3539" t="s">
        <v>3395</v>
      </c>
      <c r="BN31" s="3539" t="s">
        <v>3755</v>
      </c>
      <c r="BO31" s="3539" t="s">
        <v>3756</v>
      </c>
      <c r="BP31" s="3539"/>
      <c r="BQ31" s="3539" t="e">
        <v>#DIV/0!</v>
      </c>
      <c r="BR31" s="3539" t="e">
        <v>#DIV/0!</v>
      </c>
      <c r="BS31" s="3546" t="s">
        <v>3703</v>
      </c>
      <c r="BT31" s="3546" t="s">
        <v>3665</v>
      </c>
    </row>
    <row r="32" spans="1:75" s="3572" customFormat="1" ht="12" customHeight="1">
      <c r="A32" s="3559" t="s">
        <v>3758</v>
      </c>
      <c r="B32" s="3559" t="s">
        <v>3759</v>
      </c>
      <c r="C32" s="3560" t="s">
        <v>3760</v>
      </c>
      <c r="D32" s="3560">
        <v>13521167749</v>
      </c>
      <c r="E32" s="3559" t="s">
        <v>3684</v>
      </c>
      <c r="F32" s="3559" t="s">
        <v>3761</v>
      </c>
      <c r="G32" s="3559"/>
      <c r="H32" s="3559" t="s">
        <v>3729</v>
      </c>
      <c r="I32" s="3560" t="s">
        <v>3762</v>
      </c>
      <c r="J32" s="3560" t="s">
        <v>3763</v>
      </c>
      <c r="K32" s="3559" t="s">
        <v>3759</v>
      </c>
      <c r="L32" s="3561">
        <v>36.31</v>
      </c>
      <c r="M32" s="3562">
        <v>9</v>
      </c>
      <c r="N32" s="3559" t="s">
        <v>3764</v>
      </c>
      <c r="O32" s="3559"/>
      <c r="P32" s="3559" t="s">
        <v>3638</v>
      </c>
      <c r="Q32" s="3563">
        <v>880000</v>
      </c>
      <c r="R32" s="3561">
        <v>24236</v>
      </c>
      <c r="S32" s="3564">
        <v>113.59</v>
      </c>
      <c r="T32" s="3565">
        <v>1135900</v>
      </c>
      <c r="U32" s="3561">
        <v>31285</v>
      </c>
      <c r="V32" s="3566">
        <v>0.2</v>
      </c>
      <c r="W32" s="3567">
        <v>90.87</v>
      </c>
      <c r="X32" s="3565">
        <v>908700</v>
      </c>
      <c r="Y32" s="3561">
        <v>2013</v>
      </c>
      <c r="Z32" s="3561">
        <v>1</v>
      </c>
      <c r="AA32" s="3561">
        <v>6</v>
      </c>
      <c r="AB32" s="3561">
        <v>1500</v>
      </c>
      <c r="AC32" s="3559" t="s">
        <v>3765</v>
      </c>
      <c r="AD32" s="3559"/>
      <c r="AE32" s="3559" t="s">
        <v>3766</v>
      </c>
      <c r="AF32" s="3559" t="s">
        <v>3652</v>
      </c>
      <c r="AG32" s="3559" t="s">
        <v>3642</v>
      </c>
      <c r="AH32" s="3559">
        <v>39107</v>
      </c>
      <c r="AI32" s="3559" t="s">
        <v>3668</v>
      </c>
      <c r="AJ32" s="3568"/>
      <c r="AK32" s="3559" t="s">
        <v>3767</v>
      </c>
      <c r="AL32" s="3559">
        <v>54</v>
      </c>
      <c r="AM32" s="3559"/>
      <c r="AN32" s="3559"/>
      <c r="AO32" s="3559"/>
      <c r="AP32" s="3559" t="s">
        <v>3768</v>
      </c>
      <c r="AQ32" s="3559" t="s">
        <v>3716</v>
      </c>
      <c r="AR32" s="3559"/>
      <c r="AS32" s="3559"/>
      <c r="AT32" s="3559"/>
      <c r="AU32" s="3559"/>
      <c r="AV32" s="3559"/>
      <c r="AW32" s="3559" t="s">
        <v>3769</v>
      </c>
      <c r="AX32" s="3559" t="s">
        <v>3770</v>
      </c>
      <c r="AY32" s="3560" t="s">
        <v>3771</v>
      </c>
      <c r="AZ32" s="3559" t="s">
        <v>3772</v>
      </c>
      <c r="BA32" s="3559"/>
      <c r="BB32" s="3560"/>
      <c r="BC32" s="3559"/>
      <c r="BD32" s="3569"/>
      <c r="BE32" s="3559"/>
      <c r="BF32" s="3570"/>
      <c r="BG32" s="3568">
        <v>41253</v>
      </c>
      <c r="BH32" s="3559"/>
      <c r="BI32" s="3559" t="s">
        <v>3768</v>
      </c>
      <c r="BJ32" s="3568">
        <v>41254</v>
      </c>
      <c r="BK32" s="3568"/>
      <c r="BL32" s="3559" t="s">
        <v>3773</v>
      </c>
      <c r="BM32" s="3559" t="s">
        <v>3676</v>
      </c>
      <c r="BN32" s="3559" t="s">
        <v>3774</v>
      </c>
      <c r="BO32" s="3559" t="s">
        <v>3775</v>
      </c>
      <c r="BP32" s="3559"/>
      <c r="BQ32" s="3510" t="e">
        <v>#DIV/0!</v>
      </c>
      <c r="BR32" s="3510" t="e">
        <v>#DIV/0!</v>
      </c>
      <c r="BS32" s="3546" t="s">
        <v>3776</v>
      </c>
      <c r="BT32" s="3546" t="s">
        <v>3665</v>
      </c>
      <c r="BU32" s="3571"/>
    </row>
    <row r="33" spans="1:74" s="3578" customFormat="1" ht="12" customHeight="1">
      <c r="A33" s="3573" t="s">
        <v>3777</v>
      </c>
      <c r="B33" s="3573" t="s">
        <v>3778</v>
      </c>
      <c r="C33" s="3562" t="s">
        <v>3779</v>
      </c>
      <c r="D33" s="3559">
        <v>13810030353</v>
      </c>
      <c r="E33" s="3573" t="s">
        <v>3684</v>
      </c>
      <c r="F33" s="3573" t="s">
        <v>3780</v>
      </c>
      <c r="G33" s="3573"/>
      <c r="H33" s="3573" t="s">
        <v>3781</v>
      </c>
      <c r="I33" s="3573"/>
      <c r="J33" s="3573" t="s">
        <v>3782</v>
      </c>
      <c r="K33" s="3573" t="s">
        <v>3783</v>
      </c>
      <c r="L33" s="3561">
        <v>36.31</v>
      </c>
      <c r="M33" s="3573">
        <v>12</v>
      </c>
      <c r="N33" s="3573" t="s">
        <v>3784</v>
      </c>
      <c r="O33" s="3573"/>
      <c r="P33" s="3573" t="s">
        <v>3692</v>
      </c>
      <c r="Q33" s="3563">
        <v>1150000</v>
      </c>
      <c r="R33" s="3574">
        <v>31672</v>
      </c>
      <c r="S33" s="3564">
        <v>122.39</v>
      </c>
      <c r="T33" s="3565">
        <v>1223900</v>
      </c>
      <c r="U33" s="3561">
        <v>33709</v>
      </c>
      <c r="V33" s="3566">
        <v>0.2</v>
      </c>
      <c r="W33" s="3567">
        <v>97.91</v>
      </c>
      <c r="X33" s="3565">
        <v>979100</v>
      </c>
      <c r="Y33" s="3561">
        <v>2013</v>
      </c>
      <c r="Z33" s="3561">
        <v>1</v>
      </c>
      <c r="AA33" s="3561">
        <v>15</v>
      </c>
      <c r="AB33" s="3561">
        <v>1500</v>
      </c>
      <c r="AC33" s="3573" t="s">
        <v>3653</v>
      </c>
      <c r="AD33" s="3573"/>
      <c r="AE33" s="3573" t="s">
        <v>3785</v>
      </c>
      <c r="AF33" s="3573" t="s">
        <v>3667</v>
      </c>
      <c r="AG33" s="3573" t="s">
        <v>3642</v>
      </c>
      <c r="AH33" s="3573"/>
      <c r="AI33" s="3575" t="s">
        <v>3786</v>
      </c>
      <c r="AJ33" s="3576"/>
      <c r="AK33" s="3573" t="s">
        <v>3787</v>
      </c>
      <c r="AL33" s="3573">
        <v>52</v>
      </c>
      <c r="AM33" s="3573"/>
      <c r="AN33" s="3575"/>
      <c r="AO33" s="3573"/>
      <c r="AP33" s="3573" t="s">
        <v>3788</v>
      </c>
      <c r="AQ33" s="3559" t="s">
        <v>3789</v>
      </c>
      <c r="AR33" s="3573"/>
      <c r="AS33" s="3573"/>
      <c r="AT33" s="3573"/>
      <c r="AU33" s="3573"/>
      <c r="AV33" s="3573"/>
      <c r="AW33" s="3559" t="s">
        <v>3648</v>
      </c>
      <c r="AX33" s="3510" t="s">
        <v>3770</v>
      </c>
      <c r="AY33" s="3559">
        <v>683882</v>
      </c>
      <c r="AZ33" s="3573" t="s">
        <v>3790</v>
      </c>
      <c r="BA33" s="3573"/>
      <c r="BB33" s="3573"/>
      <c r="BC33" s="3573"/>
      <c r="BD33" s="3573"/>
      <c r="BE33" s="3573"/>
      <c r="BF33" s="3573"/>
      <c r="BG33" s="3577">
        <v>41281</v>
      </c>
      <c r="BH33" s="3573"/>
      <c r="BI33" s="3573" t="s">
        <v>3788</v>
      </c>
      <c r="BJ33" s="3577"/>
      <c r="BK33" s="3577"/>
      <c r="BL33" s="3573"/>
      <c r="BM33" s="3573"/>
      <c r="BN33" s="3573"/>
      <c r="BO33" s="3573"/>
      <c r="BP33" s="3573"/>
      <c r="BQ33" s="3510" t="e">
        <v>#DIV/0!</v>
      </c>
      <c r="BR33" s="3510" t="e">
        <v>#DIV/0!</v>
      </c>
      <c r="BS33" s="3546" t="s">
        <v>3722</v>
      </c>
      <c r="BT33" s="3546" t="s">
        <v>3653</v>
      </c>
      <c r="BU33" s="3571"/>
    </row>
    <row r="34" spans="1:74" s="3607" customFormat="1" ht="12" customHeight="1">
      <c r="A34" s="3579" t="s">
        <v>3791</v>
      </c>
      <c r="B34" s="3579" t="s">
        <v>3792</v>
      </c>
      <c r="C34" s="3582" t="s">
        <v>3793</v>
      </c>
      <c r="D34" s="3582" t="s">
        <v>3794</v>
      </c>
      <c r="E34" s="3579" t="s">
        <v>3795</v>
      </c>
      <c r="F34" s="3579" t="s">
        <v>3761</v>
      </c>
      <c r="G34" s="3579"/>
      <c r="H34" s="3579" t="s">
        <v>3796</v>
      </c>
      <c r="I34" s="3579" t="s">
        <v>3797</v>
      </c>
      <c r="J34" s="3580" t="s">
        <v>3798</v>
      </c>
      <c r="K34" s="3579" t="s">
        <v>3792</v>
      </c>
      <c r="L34" s="3583">
        <v>98.56</v>
      </c>
      <c r="M34" s="3579">
        <v>15</v>
      </c>
      <c r="N34" s="3579" t="s">
        <v>3691</v>
      </c>
      <c r="O34" s="3579"/>
      <c r="P34" s="3579" t="s">
        <v>3638</v>
      </c>
      <c r="Q34" s="3584">
        <v>2600000</v>
      </c>
      <c r="R34" s="3583">
        <v>26380</v>
      </c>
      <c r="S34" s="3585">
        <v>412.24</v>
      </c>
      <c r="T34" s="3586">
        <v>4122400</v>
      </c>
      <c r="U34" s="3583">
        <v>41827</v>
      </c>
      <c r="V34" s="3587">
        <v>0.2</v>
      </c>
      <c r="W34" s="3588">
        <v>329.79</v>
      </c>
      <c r="X34" s="3586">
        <v>3297900</v>
      </c>
      <c r="Y34" s="3589">
        <v>2013</v>
      </c>
      <c r="Z34" s="3589">
        <v>3</v>
      </c>
      <c r="AA34" s="3583">
        <v>5</v>
      </c>
      <c r="AB34" s="3583">
        <v>1500</v>
      </c>
      <c r="AC34" s="3579" t="s">
        <v>3765</v>
      </c>
      <c r="AD34" s="3582"/>
      <c r="AE34" s="3579" t="s">
        <v>3666</v>
      </c>
      <c r="AF34" s="3579" t="s">
        <v>3652</v>
      </c>
      <c r="AG34" s="3579" t="s">
        <v>3642</v>
      </c>
      <c r="AH34" s="3579">
        <v>48701</v>
      </c>
      <c r="AI34" s="3579" t="s">
        <v>3643</v>
      </c>
      <c r="AJ34" s="3608"/>
      <c r="AK34" s="3594" t="s">
        <v>3799</v>
      </c>
      <c r="AL34" s="3579">
        <v>52</v>
      </c>
      <c r="AM34" s="3579"/>
      <c r="AN34" s="3591"/>
      <c r="AO34" s="3579"/>
      <c r="AP34" s="3579" t="s">
        <v>3800</v>
      </c>
      <c r="AQ34" s="3595" t="s">
        <v>3716</v>
      </c>
      <c r="AR34" s="3579"/>
      <c r="AS34" s="3579"/>
      <c r="AT34" s="3579"/>
      <c r="AU34" s="3579"/>
      <c r="AV34" s="3579" t="s">
        <v>3647</v>
      </c>
      <c r="AW34" s="3579" t="s">
        <v>3769</v>
      </c>
      <c r="AX34" s="3579" t="s">
        <v>3770</v>
      </c>
      <c r="AY34" s="3580" t="s">
        <v>3801</v>
      </c>
      <c r="AZ34" s="3579" t="s">
        <v>3802</v>
      </c>
      <c r="BA34" s="3579"/>
      <c r="BB34" s="3580"/>
      <c r="BC34" s="3579"/>
      <c r="BD34" s="3609"/>
      <c r="BE34" s="3579"/>
      <c r="BF34" s="3610"/>
      <c r="BG34" s="3608">
        <v>41299</v>
      </c>
      <c r="BH34" s="3580"/>
      <c r="BI34" s="3595" t="s">
        <v>3800</v>
      </c>
      <c r="BJ34" s="3604">
        <v>41325</v>
      </c>
      <c r="BK34" s="3608"/>
      <c r="BL34" s="3595" t="s">
        <v>3652</v>
      </c>
      <c r="BM34" s="3595"/>
      <c r="BN34" s="3595"/>
      <c r="BO34" s="3579"/>
      <c r="BP34" s="3579" t="s">
        <v>3803</v>
      </c>
      <c r="BQ34" s="3595" t="e">
        <v>#DIV/0!</v>
      </c>
      <c r="BR34" s="3595" t="e">
        <v>#DIV/0!</v>
      </c>
      <c r="BS34" s="3605" t="s">
        <v>3804</v>
      </c>
      <c r="BT34" s="3605" t="s">
        <v>3665</v>
      </c>
      <c r="BU34" s="3606"/>
      <c r="BV34" s="3611"/>
    </row>
    <row r="35" spans="1:74" s="3548" customFormat="1" ht="12" customHeight="1">
      <c r="A35" s="3525" t="s">
        <v>3836</v>
      </c>
      <c r="B35" s="3526" t="s">
        <v>3805</v>
      </c>
      <c r="C35" s="3526" t="s">
        <v>3806</v>
      </c>
      <c r="D35" s="3526" t="s">
        <v>3807</v>
      </c>
      <c r="E35" s="3650" t="s">
        <v>3684</v>
      </c>
      <c r="F35" s="3650" t="s">
        <v>3761</v>
      </c>
      <c r="G35" s="3525"/>
      <c r="H35" s="3525" t="s">
        <v>3808</v>
      </c>
      <c r="I35" s="3650" t="s">
        <v>3809</v>
      </c>
      <c r="J35" s="3527" t="s">
        <v>3810</v>
      </c>
      <c r="K35" s="3526" t="s">
        <v>3811</v>
      </c>
      <c r="L35" s="3651">
        <v>85.46</v>
      </c>
      <c r="M35" s="3526" t="s">
        <v>3812</v>
      </c>
      <c r="N35" s="3525" t="s">
        <v>3691</v>
      </c>
      <c r="O35" s="3525"/>
      <c r="P35" s="3525" t="s">
        <v>3638</v>
      </c>
      <c r="Q35" s="3529">
        <v>1920000</v>
      </c>
      <c r="R35" s="3528">
        <v>22467</v>
      </c>
      <c r="S35" s="3530">
        <v>348.48</v>
      </c>
      <c r="T35" s="3531">
        <v>3484800</v>
      </c>
      <c r="U35" s="3528">
        <v>40778</v>
      </c>
      <c r="V35" s="3532">
        <v>0.2</v>
      </c>
      <c r="W35" s="3533">
        <v>278.77999999999997</v>
      </c>
      <c r="X35" s="3531">
        <v>2787799.9999999995</v>
      </c>
      <c r="Y35" s="3528">
        <v>2013</v>
      </c>
      <c r="Z35" s="3534">
        <v>4</v>
      </c>
      <c r="AA35" s="3534">
        <v>24</v>
      </c>
      <c r="AB35" s="3528">
        <v>1500</v>
      </c>
      <c r="AC35" s="3525" t="s">
        <v>3665</v>
      </c>
      <c r="AD35" s="3652"/>
      <c r="AE35" s="3525" t="s">
        <v>3813</v>
      </c>
      <c r="AF35" s="3525" t="s">
        <v>3773</v>
      </c>
      <c r="AG35" s="3535" t="s">
        <v>3642</v>
      </c>
      <c r="AH35" s="3536">
        <v>47975</v>
      </c>
      <c r="AI35" s="3535" t="s">
        <v>3643</v>
      </c>
      <c r="AJ35" s="3537"/>
      <c r="AK35" s="3538" t="s">
        <v>3644</v>
      </c>
      <c r="AL35" s="3528">
        <v>52</v>
      </c>
      <c r="AM35" s="3554">
        <v>41349</v>
      </c>
      <c r="AN35" s="3535"/>
      <c r="AO35" s="3525"/>
      <c r="AP35" s="3525" t="s">
        <v>3814</v>
      </c>
      <c r="AQ35" s="3525" t="s">
        <v>3716</v>
      </c>
      <c r="AR35" s="3525"/>
      <c r="AS35" s="3525"/>
      <c r="AT35" s="3525"/>
      <c r="AU35" s="3539"/>
      <c r="AV35" s="3539" t="s">
        <v>3647</v>
      </c>
      <c r="AW35" s="3539" t="s">
        <v>3769</v>
      </c>
      <c r="AX35" s="3539" t="s">
        <v>3649</v>
      </c>
      <c r="AY35" s="3541" t="s">
        <v>3815</v>
      </c>
      <c r="AZ35" s="3525" t="s">
        <v>3816</v>
      </c>
      <c r="BA35" s="3540"/>
      <c r="BB35" s="3541"/>
      <c r="BC35" s="3539"/>
      <c r="BD35" s="3542"/>
      <c r="BE35" s="3539"/>
      <c r="BF35" s="3543"/>
      <c r="BG35" s="3653">
        <v>41348</v>
      </c>
      <c r="BH35" s="3654"/>
      <c r="BI35" s="3544" t="s">
        <v>3817</v>
      </c>
      <c r="BJ35" s="3655">
        <v>41352</v>
      </c>
      <c r="BK35" s="3525"/>
      <c r="BL35" s="3539" t="s">
        <v>3652</v>
      </c>
      <c r="BM35" s="3525"/>
      <c r="BN35" s="3525"/>
      <c r="BO35" s="3525"/>
      <c r="BP35" s="3541" t="s">
        <v>3818</v>
      </c>
      <c r="BQ35" s="3539" t="e">
        <v>#DIV/0!</v>
      </c>
      <c r="BR35" s="3539" t="e">
        <v>#DIV/0!</v>
      </c>
      <c r="BS35" s="3546" t="s">
        <v>3819</v>
      </c>
      <c r="BT35" s="3546" t="s">
        <v>3665</v>
      </c>
      <c r="BU35" s="3547"/>
    </row>
    <row r="36" spans="1:74" s="3558" customFormat="1" ht="12" customHeight="1">
      <c r="A36" s="3544" t="s">
        <v>3820</v>
      </c>
      <c r="B36" s="3544" t="s">
        <v>3821</v>
      </c>
      <c r="C36" s="3555" t="s">
        <v>3822</v>
      </c>
      <c r="D36" s="3555" t="s">
        <v>3823</v>
      </c>
      <c r="E36" s="3544" t="s">
        <v>3684</v>
      </c>
      <c r="F36" s="3544" t="s">
        <v>3761</v>
      </c>
      <c r="G36" s="3544"/>
      <c r="H36" s="3544" t="s">
        <v>3824</v>
      </c>
      <c r="I36" s="3555" t="s">
        <v>3825</v>
      </c>
      <c r="J36" s="3555" t="s">
        <v>3826</v>
      </c>
      <c r="K36" s="3544" t="s">
        <v>3827</v>
      </c>
      <c r="L36" s="3528">
        <v>36.31</v>
      </c>
      <c r="M36" s="3526" t="s">
        <v>3828</v>
      </c>
      <c r="N36" s="3544" t="s">
        <v>3764</v>
      </c>
      <c r="O36" s="3544"/>
      <c r="P36" s="3544" t="s">
        <v>3692</v>
      </c>
      <c r="Q36" s="3528">
        <v>1000000</v>
      </c>
      <c r="R36" s="3528">
        <v>27541</v>
      </c>
      <c r="S36" s="3530">
        <v>154.74</v>
      </c>
      <c r="T36" s="3531">
        <v>1547400</v>
      </c>
      <c r="U36" s="3528">
        <v>42617</v>
      </c>
      <c r="V36" s="3532">
        <v>0.2</v>
      </c>
      <c r="W36" s="3533">
        <v>123.79</v>
      </c>
      <c r="X36" s="3531">
        <v>1237900</v>
      </c>
      <c r="Y36" s="3528">
        <v>2013</v>
      </c>
      <c r="Z36" s="3528">
        <v>5</v>
      </c>
      <c r="AA36" s="3528">
        <v>30</v>
      </c>
      <c r="AB36" s="3528">
        <v>1500</v>
      </c>
      <c r="AC36" s="3544" t="s">
        <v>3829</v>
      </c>
      <c r="AD36" s="3544"/>
      <c r="AE36" s="3544"/>
      <c r="AF36" s="3544" t="s">
        <v>3652</v>
      </c>
      <c r="AG36" s="3544" t="s">
        <v>3642</v>
      </c>
      <c r="AH36" s="3544">
        <v>45112</v>
      </c>
      <c r="AI36" s="3544" t="s">
        <v>3643</v>
      </c>
      <c r="AJ36" s="3544"/>
      <c r="AK36" s="3544" t="s">
        <v>3830</v>
      </c>
      <c r="AL36" s="3544">
        <v>52</v>
      </c>
      <c r="AM36" s="3544"/>
      <c r="AN36" s="3544"/>
      <c r="AO36" s="3544"/>
      <c r="AP36" s="3544" t="s">
        <v>3675</v>
      </c>
      <c r="AQ36" s="3544" t="s">
        <v>3716</v>
      </c>
      <c r="AR36" s="3544">
        <v>2013</v>
      </c>
      <c r="AS36" s="3544">
        <v>5</v>
      </c>
      <c r="AT36" s="3544">
        <v>30</v>
      </c>
      <c r="AU36" s="3544"/>
      <c r="AV36" s="3544"/>
      <c r="AW36" s="3544" t="s">
        <v>3648</v>
      </c>
      <c r="AX36" s="3544" t="s">
        <v>3649</v>
      </c>
      <c r="AY36" s="3544">
        <v>724026</v>
      </c>
      <c r="AZ36" s="3544" t="s">
        <v>3831</v>
      </c>
      <c r="BA36" s="3544"/>
      <c r="BB36" s="3544"/>
      <c r="BC36" s="3544"/>
      <c r="BD36" s="3544"/>
      <c r="BE36" s="3555"/>
      <c r="BF36" s="3544"/>
      <c r="BG36" s="3556">
        <v>41344</v>
      </c>
      <c r="BH36" s="3544"/>
      <c r="BI36" s="3544" t="s">
        <v>3675</v>
      </c>
      <c r="BJ36" s="3556">
        <v>41403</v>
      </c>
      <c r="BK36" s="3557"/>
      <c r="BL36" s="3544" t="s">
        <v>3652</v>
      </c>
      <c r="BM36" s="3544"/>
      <c r="BN36" s="3544"/>
      <c r="BO36" s="3544"/>
      <c r="BP36" s="3544"/>
      <c r="BQ36" s="3540" t="e">
        <v>#DIV/0!</v>
      </c>
      <c r="BR36" s="3540" t="e">
        <v>#DIV/0!</v>
      </c>
      <c r="BS36" s="3546" t="s">
        <v>3679</v>
      </c>
      <c r="BT36" s="3546" t="s">
        <v>3665</v>
      </c>
      <c r="BU36" s="3548"/>
    </row>
    <row r="37" spans="1:74" s="3578" customFormat="1" ht="12" customHeight="1">
      <c r="A37" s="3573" t="s">
        <v>3837</v>
      </c>
      <c r="B37" s="3573" t="s">
        <v>3838</v>
      </c>
      <c r="C37" s="3612" t="s">
        <v>3839</v>
      </c>
      <c r="D37" s="3612" t="s">
        <v>3840</v>
      </c>
      <c r="E37" s="3573" t="s">
        <v>3684</v>
      </c>
      <c r="F37" s="3573" t="s">
        <v>3841</v>
      </c>
      <c r="G37" s="3573"/>
      <c r="H37" s="3573" t="s">
        <v>3842</v>
      </c>
      <c r="I37" s="3573" t="s">
        <v>3843</v>
      </c>
      <c r="J37" s="3573" t="s">
        <v>3844</v>
      </c>
      <c r="K37" s="3573" t="s">
        <v>3845</v>
      </c>
      <c r="L37" s="3573">
        <v>53.95</v>
      </c>
      <c r="M37" s="3573" t="s">
        <v>3846</v>
      </c>
      <c r="N37" s="3573" t="s">
        <v>3847</v>
      </c>
      <c r="O37" s="3573"/>
      <c r="P37" s="3573" t="s">
        <v>3848</v>
      </c>
      <c r="Q37" s="3613">
        <v>1180000</v>
      </c>
      <c r="R37" s="3573">
        <v>21872</v>
      </c>
      <c r="S37" s="3564">
        <v>152.65</v>
      </c>
      <c r="T37" s="3614">
        <v>1526500</v>
      </c>
      <c r="U37" s="3573">
        <v>28295</v>
      </c>
      <c r="V37" s="3615">
        <v>0.2</v>
      </c>
      <c r="W37" s="3567">
        <v>122.12</v>
      </c>
      <c r="X37" s="3565">
        <v>1221200</v>
      </c>
      <c r="Y37" s="3510">
        <v>2012</v>
      </c>
      <c r="Z37" s="3510">
        <v>3</v>
      </c>
      <c r="AA37" s="3573">
        <v>21</v>
      </c>
      <c r="AB37" s="3573">
        <v>1500</v>
      </c>
      <c r="AC37" s="3573" t="s">
        <v>3665</v>
      </c>
      <c r="AD37" s="3612" t="s">
        <v>3849</v>
      </c>
      <c r="AE37" s="3573" t="s">
        <v>3850</v>
      </c>
      <c r="AF37" s="3573" t="s">
        <v>3851</v>
      </c>
      <c r="AG37" s="3573" t="s">
        <v>3642</v>
      </c>
      <c r="AH37" s="3573">
        <v>31974</v>
      </c>
      <c r="AI37" s="3573" t="s">
        <v>3852</v>
      </c>
      <c r="AJ37" s="3616"/>
      <c r="AK37" s="3617" t="s">
        <v>3853</v>
      </c>
      <c r="AL37" s="3573">
        <v>44</v>
      </c>
      <c r="AM37" s="3573"/>
      <c r="AN37" s="3575" t="s">
        <v>3854</v>
      </c>
      <c r="AO37" s="3573"/>
      <c r="AP37" s="3573" t="s">
        <v>3855</v>
      </c>
      <c r="AQ37" s="3510" t="s">
        <v>3856</v>
      </c>
      <c r="AR37" s="3573"/>
      <c r="AS37" s="3573"/>
      <c r="AT37" s="3573"/>
      <c r="AU37" s="3573"/>
      <c r="AV37" s="3573" t="s">
        <v>3647</v>
      </c>
      <c r="AW37" s="3573" t="s">
        <v>3648</v>
      </c>
      <c r="AX37" s="3562" t="s">
        <v>3649</v>
      </c>
      <c r="AY37" s="3562" t="s">
        <v>3857</v>
      </c>
      <c r="AZ37" s="3573" t="s">
        <v>3845</v>
      </c>
      <c r="BA37" s="3573"/>
      <c r="BB37" s="3562"/>
      <c r="BC37" s="3573"/>
      <c r="BD37" s="3618"/>
      <c r="BE37" s="3573"/>
      <c r="BF37" s="3619"/>
      <c r="BG37" s="3616">
        <v>40966</v>
      </c>
      <c r="BH37" s="3573"/>
      <c r="BI37" s="3510" t="s">
        <v>3855</v>
      </c>
      <c r="BJ37" s="3620">
        <v>40973</v>
      </c>
      <c r="BK37" s="3616"/>
      <c r="BL37" s="3510" t="s">
        <v>3652</v>
      </c>
      <c r="BM37" s="3510"/>
      <c r="BN37" s="3510"/>
      <c r="BO37" s="3573"/>
      <c r="BP37" s="3573"/>
      <c r="BQ37" s="3510" t="e">
        <v>#DIV/0!</v>
      </c>
      <c r="BR37" s="3510" t="e">
        <v>#DIV/0!</v>
      </c>
      <c r="BS37" s="3546" t="s">
        <v>3804</v>
      </c>
      <c r="BT37" s="3546" t="s">
        <v>3665</v>
      </c>
      <c r="BU37" s="3621"/>
      <c r="BV37" s="3622"/>
    </row>
    <row r="38" spans="1:74" s="3578" customFormat="1" ht="12" customHeight="1">
      <c r="A38" s="3573" t="s">
        <v>3858</v>
      </c>
      <c r="B38" s="3573" t="s">
        <v>3859</v>
      </c>
      <c r="C38" s="3612" t="s">
        <v>3860</v>
      </c>
      <c r="D38" s="3612" t="s">
        <v>3861</v>
      </c>
      <c r="E38" s="3573" t="s">
        <v>3684</v>
      </c>
      <c r="F38" s="3573" t="s">
        <v>3632</v>
      </c>
      <c r="G38" s="3573"/>
      <c r="H38" s="3573" t="s">
        <v>3862</v>
      </c>
      <c r="I38" s="3573" t="s">
        <v>3863</v>
      </c>
      <c r="J38" s="3573" t="s">
        <v>3864</v>
      </c>
      <c r="K38" s="3573" t="s">
        <v>3859</v>
      </c>
      <c r="L38" s="3573">
        <v>53.33</v>
      </c>
      <c r="M38" s="3573">
        <v>6</v>
      </c>
      <c r="N38" s="3573" t="s">
        <v>3691</v>
      </c>
      <c r="O38" s="3573"/>
      <c r="P38" s="3573" t="s">
        <v>3638</v>
      </c>
      <c r="Q38" s="3613">
        <v>1200000</v>
      </c>
      <c r="R38" s="3573">
        <v>22501</v>
      </c>
      <c r="S38" s="3564">
        <v>145.71</v>
      </c>
      <c r="T38" s="3614">
        <v>1457100</v>
      </c>
      <c r="U38" s="3573">
        <v>27324</v>
      </c>
      <c r="V38" s="3615">
        <v>0.2</v>
      </c>
      <c r="W38" s="3567">
        <v>116.56</v>
      </c>
      <c r="X38" s="3565">
        <v>1165600</v>
      </c>
      <c r="Y38" s="3510">
        <v>2012</v>
      </c>
      <c r="Z38" s="3510">
        <v>3</v>
      </c>
      <c r="AA38" s="3573">
        <v>27</v>
      </c>
      <c r="AB38" s="3573">
        <v>1500</v>
      </c>
      <c r="AC38" s="3573" t="s">
        <v>3665</v>
      </c>
      <c r="AD38" s="3612" t="s">
        <v>3865</v>
      </c>
      <c r="AE38" s="3573" t="s">
        <v>3866</v>
      </c>
      <c r="AF38" s="3573" t="s">
        <v>3667</v>
      </c>
      <c r="AG38" s="3573" t="s">
        <v>3642</v>
      </c>
      <c r="AH38" s="3573">
        <v>30564</v>
      </c>
      <c r="AI38" s="3573" t="s">
        <v>3668</v>
      </c>
      <c r="AJ38" s="3616"/>
      <c r="AK38" s="3617" t="s">
        <v>3713</v>
      </c>
      <c r="AL38" s="3573">
        <v>31</v>
      </c>
      <c r="AM38" s="3573"/>
      <c r="AN38" s="3575" t="s">
        <v>3830</v>
      </c>
      <c r="AO38" s="3573"/>
      <c r="AP38" s="3573" t="s">
        <v>3867</v>
      </c>
      <c r="AQ38" s="3510" t="s">
        <v>3716</v>
      </c>
      <c r="AR38" s="3573"/>
      <c r="AS38" s="3573"/>
      <c r="AT38" s="3573"/>
      <c r="AU38" s="3573"/>
      <c r="AV38" s="3573"/>
      <c r="AW38" s="3573" t="s">
        <v>3648</v>
      </c>
      <c r="AX38" s="3573" t="s">
        <v>3649</v>
      </c>
      <c r="AY38" s="3562" t="s">
        <v>3868</v>
      </c>
      <c r="AZ38" s="3573" t="s">
        <v>3869</v>
      </c>
      <c r="BA38" s="3573"/>
      <c r="BB38" s="3562" t="s">
        <v>3647</v>
      </c>
      <c r="BC38" s="3573" t="s">
        <v>3647</v>
      </c>
      <c r="BD38" s="3618"/>
      <c r="BE38" s="3573"/>
      <c r="BF38" s="3619"/>
      <c r="BG38" s="3616">
        <v>40973</v>
      </c>
      <c r="BH38" s="3573"/>
      <c r="BI38" s="3510" t="s">
        <v>3867</v>
      </c>
      <c r="BJ38" s="3620">
        <v>40975</v>
      </c>
      <c r="BK38" s="3616"/>
      <c r="BL38" s="3510" t="s">
        <v>3652</v>
      </c>
      <c r="BM38" s="3510" t="s">
        <v>3676</v>
      </c>
      <c r="BN38" s="3510" t="s">
        <v>3677</v>
      </c>
      <c r="BO38" s="3573" t="s">
        <v>3678</v>
      </c>
      <c r="BP38" s="3573"/>
      <c r="BQ38" s="3510" t="e">
        <v>#DIV/0!</v>
      </c>
      <c r="BR38" s="3510" t="e">
        <v>#DIV/0!</v>
      </c>
      <c r="BS38" s="3546" t="s">
        <v>3804</v>
      </c>
      <c r="BT38" s="3546" t="s">
        <v>3665</v>
      </c>
      <c r="BU38" s="3621"/>
      <c r="BV38" s="3622"/>
    </row>
    <row r="39" spans="1:74" s="3578" customFormat="1" ht="12" customHeight="1">
      <c r="A39" s="3573" t="s">
        <v>3870</v>
      </c>
      <c r="B39" s="3573" t="s">
        <v>3871</v>
      </c>
      <c r="C39" s="3612" t="s">
        <v>3872</v>
      </c>
      <c r="D39" s="3612" t="s">
        <v>3873</v>
      </c>
      <c r="E39" s="3573" t="s">
        <v>3684</v>
      </c>
      <c r="F39" s="3573" t="s">
        <v>3841</v>
      </c>
      <c r="G39" s="3573"/>
      <c r="H39" s="3573" t="s">
        <v>3874</v>
      </c>
      <c r="I39" s="3573"/>
      <c r="J39" s="3560" t="s">
        <v>3875</v>
      </c>
      <c r="K39" s="3573" t="s">
        <v>3876</v>
      </c>
      <c r="L39" s="3573">
        <v>77.849999999999994</v>
      </c>
      <c r="M39" s="3573">
        <v>13</v>
      </c>
      <c r="N39" s="3573" t="s">
        <v>3691</v>
      </c>
      <c r="O39" s="3573"/>
      <c r="P39" s="3573" t="s">
        <v>3638</v>
      </c>
      <c r="Q39" s="3613">
        <v>1720000</v>
      </c>
      <c r="R39" s="3573">
        <v>22094</v>
      </c>
      <c r="S39" s="3564">
        <v>230.1</v>
      </c>
      <c r="T39" s="3614">
        <v>2301000</v>
      </c>
      <c r="U39" s="3573">
        <v>29558</v>
      </c>
      <c r="V39" s="3615">
        <v>0.2</v>
      </c>
      <c r="W39" s="3567">
        <v>184.08</v>
      </c>
      <c r="X39" s="3565">
        <v>1840800.0000000002</v>
      </c>
      <c r="Y39" s="3510">
        <v>2012</v>
      </c>
      <c r="Z39" s="3510">
        <v>4</v>
      </c>
      <c r="AA39" s="3510">
        <v>26</v>
      </c>
      <c r="AB39" s="3573">
        <v>1500</v>
      </c>
      <c r="AC39" s="3573" t="s">
        <v>3653</v>
      </c>
      <c r="AD39" s="3612"/>
      <c r="AE39" s="3612" t="s">
        <v>3666</v>
      </c>
      <c r="AF39" s="3559" t="s">
        <v>3667</v>
      </c>
      <c r="AG39" s="3573" t="s">
        <v>3642</v>
      </c>
      <c r="AH39" s="3573">
        <v>32793</v>
      </c>
      <c r="AI39" s="3575" t="s">
        <v>3643</v>
      </c>
      <c r="AJ39" s="3616"/>
      <c r="AK39" s="3617" t="s">
        <v>3644</v>
      </c>
      <c r="AL39" s="3573">
        <v>44</v>
      </c>
      <c r="AM39" s="3573"/>
      <c r="AN39" s="3575" t="s">
        <v>3644</v>
      </c>
      <c r="AO39" s="3573"/>
      <c r="AP39" s="3573" t="s">
        <v>3645</v>
      </c>
      <c r="AQ39" s="3573" t="s">
        <v>3646</v>
      </c>
      <c r="AR39" s="3573"/>
      <c r="AS39" s="3573"/>
      <c r="AT39" s="3573"/>
      <c r="AU39" s="3573"/>
      <c r="AV39" s="3573"/>
      <c r="AW39" s="3573" t="s">
        <v>3648</v>
      </c>
      <c r="AX39" s="3510" t="s">
        <v>3649</v>
      </c>
      <c r="AY39" s="3560" t="s">
        <v>3877</v>
      </c>
      <c r="AZ39" s="3573" t="s">
        <v>3878</v>
      </c>
      <c r="BA39" s="3573"/>
      <c r="BB39" s="3562" t="s">
        <v>3647</v>
      </c>
      <c r="BC39" s="3573" t="s">
        <v>3647</v>
      </c>
      <c r="BD39" s="3618"/>
      <c r="BE39" s="3573"/>
      <c r="BF39" s="3619"/>
      <c r="BG39" s="3616">
        <v>41018</v>
      </c>
      <c r="BH39" s="3573"/>
      <c r="BI39" s="3559" t="s">
        <v>3879</v>
      </c>
      <c r="BJ39" s="3620"/>
      <c r="BK39" s="3616"/>
      <c r="BL39" s="3510" t="s">
        <v>3851</v>
      </c>
      <c r="BM39" s="3573" t="s">
        <v>3676</v>
      </c>
      <c r="BN39" s="3573" t="s">
        <v>3677</v>
      </c>
      <c r="BO39" s="3573" t="s">
        <v>3678</v>
      </c>
      <c r="BP39" s="3573"/>
      <c r="BQ39" s="3510" t="e">
        <v>#DIV/0!</v>
      </c>
      <c r="BR39" s="3510" t="e">
        <v>#DIV/0!</v>
      </c>
      <c r="BS39" s="3546" t="s">
        <v>3651</v>
      </c>
      <c r="BT39" s="3546" t="s">
        <v>3653</v>
      </c>
      <c r="BV39" s="3622"/>
    </row>
    <row r="40" spans="1:74" s="3578" customFormat="1" ht="12" customHeight="1">
      <c r="A40" s="3573" t="s">
        <v>3880</v>
      </c>
      <c r="B40" s="3573" t="s">
        <v>3881</v>
      </c>
      <c r="C40" s="3612" t="s">
        <v>3882</v>
      </c>
      <c r="D40" s="3612" t="s">
        <v>3883</v>
      </c>
      <c r="E40" s="3573" t="s">
        <v>3684</v>
      </c>
      <c r="F40" s="3573" t="s">
        <v>3632</v>
      </c>
      <c r="G40" s="3573"/>
      <c r="H40" s="3573" t="s">
        <v>3884</v>
      </c>
      <c r="I40" s="3573"/>
      <c r="J40" s="3562" t="s">
        <v>3885</v>
      </c>
      <c r="K40" s="3573" t="s">
        <v>3886</v>
      </c>
      <c r="L40" s="3573">
        <v>120.97</v>
      </c>
      <c r="M40" s="3573">
        <v>4</v>
      </c>
      <c r="N40" s="3573" t="s">
        <v>3887</v>
      </c>
      <c r="O40" s="3573"/>
      <c r="P40" s="3573" t="s">
        <v>3848</v>
      </c>
      <c r="Q40" s="3613">
        <v>2780000</v>
      </c>
      <c r="R40" s="3573">
        <v>22981</v>
      </c>
      <c r="S40" s="3564">
        <v>380.69</v>
      </c>
      <c r="T40" s="3614">
        <v>3806900</v>
      </c>
      <c r="U40" s="3573">
        <v>31470</v>
      </c>
      <c r="V40" s="3615">
        <v>0.2</v>
      </c>
      <c r="W40" s="3567">
        <v>304.55</v>
      </c>
      <c r="X40" s="3565">
        <v>3045500</v>
      </c>
      <c r="Y40" s="3510">
        <v>2012</v>
      </c>
      <c r="Z40" s="3510">
        <v>8</v>
      </c>
      <c r="AA40" s="3573">
        <v>6</v>
      </c>
      <c r="AB40" s="3573">
        <v>1500</v>
      </c>
      <c r="AC40" s="3573" t="s">
        <v>3693</v>
      </c>
      <c r="AD40" s="3612"/>
      <c r="AE40" s="3573" t="s">
        <v>3888</v>
      </c>
      <c r="AF40" s="3573" t="s">
        <v>3667</v>
      </c>
      <c r="AG40" s="3573" t="s">
        <v>3642</v>
      </c>
      <c r="AH40" s="3573">
        <v>34967</v>
      </c>
      <c r="AI40" s="3573" t="s">
        <v>3668</v>
      </c>
      <c r="AJ40" s="3616"/>
      <c r="AK40" s="3617" t="s">
        <v>3889</v>
      </c>
      <c r="AL40" s="3573">
        <v>46</v>
      </c>
      <c r="AM40" s="3510"/>
      <c r="AN40" s="3575" t="s">
        <v>3890</v>
      </c>
      <c r="AO40" s="3573"/>
      <c r="AP40" s="3573" t="s">
        <v>3867</v>
      </c>
      <c r="AQ40" s="3573" t="s">
        <v>3646</v>
      </c>
      <c r="AR40" s="3573">
        <v>2012</v>
      </c>
      <c r="AS40" s="3573">
        <v>8</v>
      </c>
      <c r="AT40" s="3573">
        <v>6</v>
      </c>
      <c r="AU40" s="3573"/>
      <c r="AV40" s="3573"/>
      <c r="AW40" s="3573" t="s">
        <v>3648</v>
      </c>
      <c r="AX40" s="3573" t="s">
        <v>3649</v>
      </c>
      <c r="AY40" s="3562" t="s">
        <v>3891</v>
      </c>
      <c r="AZ40" s="3573" t="s">
        <v>3892</v>
      </c>
      <c r="BA40" s="3573"/>
      <c r="BB40" s="3562" t="s">
        <v>3647</v>
      </c>
      <c r="BC40" s="3573" t="s">
        <v>3647</v>
      </c>
      <c r="BD40" s="3618"/>
      <c r="BE40" s="3573"/>
      <c r="BF40" s="3619"/>
      <c r="BG40" s="3616">
        <v>41109</v>
      </c>
      <c r="BH40" s="3573"/>
      <c r="BI40" s="3510" t="s">
        <v>3804</v>
      </c>
      <c r="BJ40" s="3620"/>
      <c r="BK40" s="3616"/>
      <c r="BL40" s="3510" t="s">
        <v>3851</v>
      </c>
      <c r="BM40" s="3510"/>
      <c r="BN40" s="3510"/>
      <c r="BO40" s="3573"/>
      <c r="BP40" s="3573"/>
      <c r="BQ40" s="3510" t="e">
        <v>#DIV/0!</v>
      </c>
      <c r="BR40" s="3510" t="e">
        <v>#DIV/0!</v>
      </c>
      <c r="BS40" s="3546" t="s">
        <v>3804</v>
      </c>
      <c r="BT40" s="3546" t="s">
        <v>3653</v>
      </c>
    </row>
    <row r="41" spans="1:74" s="3572" customFormat="1" ht="12" customHeight="1">
      <c r="A41" s="3573" t="s">
        <v>3893</v>
      </c>
      <c r="B41" s="3559" t="s">
        <v>3894</v>
      </c>
      <c r="C41" s="3560" t="s">
        <v>3895</v>
      </c>
      <c r="D41" s="3623" t="s">
        <v>3896</v>
      </c>
      <c r="E41" s="3559" t="s">
        <v>3684</v>
      </c>
      <c r="F41" s="3559" t="s">
        <v>3841</v>
      </c>
      <c r="G41" s="3559"/>
      <c r="H41" s="3559" t="s">
        <v>3897</v>
      </c>
      <c r="I41" s="3559" t="s">
        <v>3898</v>
      </c>
      <c r="J41" s="3560" t="s">
        <v>3899</v>
      </c>
      <c r="K41" s="3559" t="s">
        <v>3894</v>
      </c>
      <c r="L41" s="3559">
        <v>63.95</v>
      </c>
      <c r="M41" s="3560" t="s">
        <v>3900</v>
      </c>
      <c r="N41" s="3573" t="s">
        <v>3901</v>
      </c>
      <c r="O41" s="3559"/>
      <c r="P41" s="3559" t="s">
        <v>3638</v>
      </c>
      <c r="Q41" s="3559">
        <v>1350000</v>
      </c>
      <c r="R41" s="3559">
        <v>21110</v>
      </c>
      <c r="S41" s="3624">
        <v>185.02</v>
      </c>
      <c r="T41" s="3625">
        <v>1850200</v>
      </c>
      <c r="U41" s="3561">
        <v>28932</v>
      </c>
      <c r="V41" s="3566">
        <v>0.2</v>
      </c>
      <c r="W41" s="3626">
        <v>148.01</v>
      </c>
      <c r="X41" s="3614">
        <v>1480100</v>
      </c>
      <c r="Y41" s="3561">
        <v>2012</v>
      </c>
      <c r="Z41" s="3573">
        <v>9</v>
      </c>
      <c r="AA41" s="3561">
        <v>25</v>
      </c>
      <c r="AB41" s="3561">
        <v>1500</v>
      </c>
      <c r="AC41" s="3559" t="s">
        <v>3902</v>
      </c>
      <c r="AD41" s="3559"/>
      <c r="AE41" s="3559" t="s">
        <v>3903</v>
      </c>
      <c r="AF41" s="3559" t="s">
        <v>3652</v>
      </c>
      <c r="AG41" s="3559" t="s">
        <v>3642</v>
      </c>
      <c r="AH41" s="3559">
        <v>33933</v>
      </c>
      <c r="AI41" s="3573" t="s">
        <v>3668</v>
      </c>
      <c r="AJ41" s="3559"/>
      <c r="AK41" s="3627" t="s">
        <v>3904</v>
      </c>
      <c r="AL41" s="3559">
        <v>43</v>
      </c>
      <c r="AM41" s="3559"/>
      <c r="AN41" s="3559" t="s">
        <v>3905</v>
      </c>
      <c r="AO41" s="3559"/>
      <c r="AP41" s="3573" t="s">
        <v>3906</v>
      </c>
      <c r="AQ41" s="3573" t="s">
        <v>3856</v>
      </c>
      <c r="AR41" s="3559"/>
      <c r="AS41" s="3559"/>
      <c r="AT41" s="3559"/>
      <c r="AU41" s="3559"/>
      <c r="AV41" s="3559"/>
      <c r="AW41" s="3559" t="s">
        <v>3907</v>
      </c>
      <c r="AX41" s="3573" t="s">
        <v>409</v>
      </c>
      <c r="AY41" s="3559">
        <v>613799</v>
      </c>
      <c r="AZ41" s="3559" t="s">
        <v>3908</v>
      </c>
      <c r="BA41" s="3559"/>
      <c r="BB41" s="3559"/>
      <c r="BC41" s="3559"/>
      <c r="BD41" s="3559"/>
      <c r="BE41" s="3559"/>
      <c r="BF41" s="3559"/>
      <c r="BG41" s="3628">
        <v>41127</v>
      </c>
      <c r="BH41" s="3559"/>
      <c r="BI41" s="3573" t="s">
        <v>3906</v>
      </c>
      <c r="BJ41" s="3628">
        <v>41136</v>
      </c>
      <c r="BK41" s="3628"/>
      <c r="BL41" s="3559" t="s">
        <v>3652</v>
      </c>
      <c r="BM41" s="3559" t="s">
        <v>3909</v>
      </c>
      <c r="BN41" s="3559" t="s">
        <v>3910</v>
      </c>
      <c r="BO41" s="3559" t="s">
        <v>3678</v>
      </c>
      <c r="BP41" s="3559"/>
      <c r="BQ41" s="3629" t="e">
        <v>#DIV/0!</v>
      </c>
      <c r="BR41" s="3629" t="e">
        <v>#DIV/0!</v>
      </c>
      <c r="BS41" s="3546" t="s">
        <v>3740</v>
      </c>
      <c r="BT41" s="3546" t="s">
        <v>3665</v>
      </c>
      <c r="BU41" s="3630"/>
    </row>
    <row r="42" spans="1:74" s="3578" customFormat="1" ht="12" customHeight="1">
      <c r="A42" s="3573" t="s">
        <v>3911</v>
      </c>
      <c r="B42" s="3573" t="s">
        <v>3912</v>
      </c>
      <c r="C42" s="3562" t="s">
        <v>3913</v>
      </c>
      <c r="D42" s="3559">
        <v>13552054085</v>
      </c>
      <c r="E42" s="3573" t="s">
        <v>3914</v>
      </c>
      <c r="F42" s="3573" t="s">
        <v>3915</v>
      </c>
      <c r="G42" s="3573"/>
      <c r="H42" s="3573" t="s">
        <v>3916</v>
      </c>
      <c r="I42" s="3573" t="s">
        <v>3917</v>
      </c>
      <c r="J42" s="3573" t="s">
        <v>3918</v>
      </c>
      <c r="K42" s="3573" t="s">
        <v>3912</v>
      </c>
      <c r="L42" s="3573">
        <v>45.96</v>
      </c>
      <c r="M42" s="3573">
        <v>4</v>
      </c>
      <c r="N42" s="3573" t="s">
        <v>3919</v>
      </c>
      <c r="O42" s="3573"/>
      <c r="P42" s="3573" t="s">
        <v>3692</v>
      </c>
      <c r="Q42" s="3573">
        <v>880000</v>
      </c>
      <c r="R42" s="3561">
        <v>19147</v>
      </c>
      <c r="S42" s="3564">
        <v>144.88999999999999</v>
      </c>
      <c r="T42" s="3614">
        <v>1448899.9999999998</v>
      </c>
      <c r="U42" s="3573">
        <v>31527</v>
      </c>
      <c r="V42" s="3615">
        <v>0.2</v>
      </c>
      <c r="W42" s="3567">
        <v>115.91</v>
      </c>
      <c r="X42" s="3631">
        <v>1159100</v>
      </c>
      <c r="Y42" s="3573">
        <v>2012</v>
      </c>
      <c r="Z42" s="3559">
        <v>10</v>
      </c>
      <c r="AA42" s="3575">
        <v>29</v>
      </c>
      <c r="AB42" s="3573">
        <v>1500</v>
      </c>
      <c r="AC42" s="3573" t="s">
        <v>3665</v>
      </c>
      <c r="AD42" s="3573"/>
      <c r="AE42" s="3573" t="s">
        <v>3530</v>
      </c>
      <c r="AF42" s="3573" t="s">
        <v>3667</v>
      </c>
      <c r="AG42" s="3573" t="s">
        <v>3642</v>
      </c>
      <c r="AH42" s="3573">
        <v>35030</v>
      </c>
      <c r="AI42" s="3573" t="s">
        <v>3668</v>
      </c>
      <c r="AJ42" s="3573"/>
      <c r="AK42" s="3573" t="s">
        <v>3920</v>
      </c>
      <c r="AL42" s="3573">
        <v>41</v>
      </c>
      <c r="AM42" s="3573"/>
      <c r="AN42" s="3573"/>
      <c r="AO42" s="3573"/>
      <c r="AP42" s="3573" t="s">
        <v>3921</v>
      </c>
      <c r="AQ42" s="3573" t="s">
        <v>3856</v>
      </c>
      <c r="AR42" s="3573"/>
      <c r="AS42" s="3573"/>
      <c r="AT42" s="3573"/>
      <c r="AU42" s="3573"/>
      <c r="AV42" s="3573"/>
      <c r="AW42" s="3573" t="s">
        <v>3922</v>
      </c>
      <c r="AX42" s="3562" t="s">
        <v>409</v>
      </c>
      <c r="AY42" s="3573">
        <v>631384</v>
      </c>
      <c r="AZ42" s="3573" t="s">
        <v>3923</v>
      </c>
      <c r="BA42" s="3573"/>
      <c r="BB42" s="3573"/>
      <c r="BC42" s="3573"/>
      <c r="BD42" s="3573"/>
      <c r="BE42" s="3573"/>
      <c r="BF42" s="3573"/>
      <c r="BG42" s="3577">
        <v>41169</v>
      </c>
      <c r="BH42" s="3573"/>
      <c r="BI42" s="3573" t="s">
        <v>3921</v>
      </c>
      <c r="BJ42" s="3577">
        <v>41191</v>
      </c>
      <c r="BK42" s="3577"/>
      <c r="BL42" s="3573" t="s">
        <v>3667</v>
      </c>
      <c r="BM42" s="3573" t="s">
        <v>3395</v>
      </c>
      <c r="BN42" s="3573" t="s">
        <v>3755</v>
      </c>
      <c r="BO42" s="3573" t="s">
        <v>3745</v>
      </c>
      <c r="BP42" s="3573"/>
      <c r="BQ42" s="3573" t="e">
        <v>#DIV/0!</v>
      </c>
      <c r="BR42" s="3573" t="e">
        <v>#DIV/0!</v>
      </c>
      <c r="BS42" s="3546" t="s">
        <v>3722</v>
      </c>
      <c r="BT42" s="3546" t="s">
        <v>3665</v>
      </c>
    </row>
    <row r="43" spans="1:74" s="3578" customFormat="1" ht="12" customHeight="1">
      <c r="A43" s="3559" t="s">
        <v>3924</v>
      </c>
      <c r="B43" s="3573" t="s">
        <v>3925</v>
      </c>
      <c r="C43" s="3562" t="s">
        <v>3926</v>
      </c>
      <c r="D43" s="3573">
        <v>18801090969</v>
      </c>
      <c r="E43" s="3573" t="s">
        <v>3927</v>
      </c>
      <c r="F43" s="3573" t="s">
        <v>3632</v>
      </c>
      <c r="G43" s="3573"/>
      <c r="H43" s="3573" t="s">
        <v>3928</v>
      </c>
      <c r="I43" s="3573" t="s">
        <v>3929</v>
      </c>
      <c r="J43" s="3559" t="s">
        <v>3930</v>
      </c>
      <c r="K43" s="3573" t="s">
        <v>3925</v>
      </c>
      <c r="L43" s="3573">
        <v>129.47999999999999</v>
      </c>
      <c r="M43" s="3573">
        <v>2</v>
      </c>
      <c r="N43" s="3575" t="s">
        <v>3887</v>
      </c>
      <c r="O43" s="3573">
        <v>94.33</v>
      </c>
      <c r="P43" s="3575" t="s">
        <v>3638</v>
      </c>
      <c r="Q43" s="3573">
        <v>2720000</v>
      </c>
      <c r="R43" s="3573">
        <v>21007</v>
      </c>
      <c r="S43" s="3564">
        <v>350.99</v>
      </c>
      <c r="T43" s="3614">
        <v>3509900</v>
      </c>
      <c r="U43" s="3573">
        <v>27108</v>
      </c>
      <c r="V43" s="3615">
        <v>0.2</v>
      </c>
      <c r="W43" s="3567">
        <v>280.79000000000002</v>
      </c>
      <c r="X43" s="3565">
        <v>2807900</v>
      </c>
      <c r="Y43" s="3573">
        <v>2012</v>
      </c>
      <c r="Z43" s="3573">
        <v>12</v>
      </c>
      <c r="AA43" s="3573">
        <v>21</v>
      </c>
      <c r="AB43" s="3573">
        <v>1500</v>
      </c>
      <c r="AC43" s="3573" t="s">
        <v>3765</v>
      </c>
      <c r="AD43" s="3573"/>
      <c r="AE43" s="3573" t="s">
        <v>3785</v>
      </c>
      <c r="AF43" s="3573" t="s">
        <v>3851</v>
      </c>
      <c r="AG43" s="3573" t="s">
        <v>3696</v>
      </c>
      <c r="AH43" s="3573">
        <v>30120</v>
      </c>
      <c r="AI43" s="3573" t="s">
        <v>3852</v>
      </c>
      <c r="AJ43" s="3573"/>
      <c r="AK43" s="3573" t="s">
        <v>3931</v>
      </c>
      <c r="AL43" s="3573">
        <v>50</v>
      </c>
      <c r="AM43" s="3573"/>
      <c r="AN43" s="3573"/>
      <c r="AO43" s="3573"/>
      <c r="AP43" s="3573" t="s">
        <v>3932</v>
      </c>
      <c r="AQ43" s="3573" t="s">
        <v>3856</v>
      </c>
      <c r="AR43" s="3573"/>
      <c r="AS43" s="3573"/>
      <c r="AT43" s="3573"/>
      <c r="AU43" s="3573"/>
      <c r="AV43" s="3573"/>
      <c r="AW43" s="3573" t="s">
        <v>3907</v>
      </c>
      <c r="AX43" s="3573" t="s">
        <v>3933</v>
      </c>
      <c r="AY43" s="3562" t="s">
        <v>3934</v>
      </c>
      <c r="AZ43" s="3561" t="s">
        <v>3935</v>
      </c>
      <c r="BA43" s="3573"/>
      <c r="BB43" s="3562"/>
      <c r="BC43" s="3573"/>
      <c r="BD43" s="3618"/>
      <c r="BE43" s="3573"/>
      <c r="BF43" s="3619"/>
      <c r="BG43" s="3616">
        <v>41178</v>
      </c>
      <c r="BH43" s="3573"/>
      <c r="BI43" s="3573" t="s">
        <v>3817</v>
      </c>
      <c r="BJ43" s="3577">
        <v>41207</v>
      </c>
      <c r="BK43" s="3577"/>
      <c r="BL43" s="3573" t="s">
        <v>3851</v>
      </c>
      <c r="BM43" s="3573" t="s">
        <v>3909</v>
      </c>
      <c r="BN43" s="3573" t="s">
        <v>3910</v>
      </c>
      <c r="BO43" s="3573"/>
      <c r="BP43" s="3573"/>
      <c r="BQ43" s="3510">
        <v>37209</v>
      </c>
      <c r="BR43" s="3510">
        <v>28835</v>
      </c>
      <c r="BS43" s="3546" t="s">
        <v>3819</v>
      </c>
      <c r="BT43" s="3546" t="s">
        <v>3665</v>
      </c>
      <c r="BU43" s="3630"/>
    </row>
    <row r="100" spans="1:63">
      <c r="A100" s="3634"/>
      <c r="B100" s="3635"/>
      <c r="C100" s="3636"/>
      <c r="D100" s="3636"/>
      <c r="E100" s="3636"/>
      <c r="F100" s="3636"/>
      <c r="G100" s="3636"/>
      <c r="H100" s="3636"/>
      <c r="I100" s="3636" t="s">
        <v>3944</v>
      </c>
      <c r="J100" s="3636" t="s">
        <v>3945</v>
      </c>
      <c r="K100" s="3636" t="s">
        <v>3946</v>
      </c>
      <c r="L100" s="3636" t="s">
        <v>3944</v>
      </c>
      <c r="M100" s="3636" t="s">
        <v>3945</v>
      </c>
      <c r="N100" s="3636" t="s">
        <v>3946</v>
      </c>
      <c r="O100" s="3636" t="s">
        <v>3944</v>
      </c>
      <c r="P100" s="3636" t="s">
        <v>3945</v>
      </c>
      <c r="Q100" s="3636" t="s">
        <v>3946</v>
      </c>
      <c r="R100" s="3636"/>
      <c r="S100" s="3636" t="s">
        <v>3944</v>
      </c>
      <c r="T100" s="3636" t="s">
        <v>3945</v>
      </c>
      <c r="U100" s="3636" t="s">
        <v>3946</v>
      </c>
      <c r="V100" s="3636"/>
      <c r="W100" s="3636" t="s">
        <v>3947</v>
      </c>
      <c r="X100" s="3636"/>
      <c r="Y100" s="3636"/>
      <c r="Z100" s="3636"/>
      <c r="AA100" s="3636"/>
      <c r="AB100" s="3636"/>
      <c r="AC100" s="3636"/>
      <c r="AD100" s="3636"/>
      <c r="AE100" s="3636"/>
      <c r="AF100" s="3636"/>
      <c r="AG100" s="3636"/>
      <c r="AH100" s="3636"/>
      <c r="AI100" s="3636"/>
      <c r="AJ100" s="3636"/>
      <c r="AK100" s="3636"/>
      <c r="AL100" s="3636"/>
      <c r="AM100" s="3636"/>
      <c r="AN100" s="3636"/>
      <c r="AO100" s="3636"/>
      <c r="AP100" s="3636"/>
      <c r="AQ100" s="3636"/>
      <c r="AR100" s="3636"/>
      <c r="AS100" s="3637"/>
      <c r="AT100" s="3636"/>
      <c r="AU100" s="3636"/>
      <c r="AV100" s="3636"/>
      <c r="AW100" s="3636"/>
      <c r="AX100" s="3636"/>
      <c r="AY100" s="3636"/>
      <c r="AZ100" s="3636"/>
      <c r="BA100" s="3636"/>
      <c r="BB100" s="3636"/>
      <c r="BC100" s="3638" t="s">
        <v>3948</v>
      </c>
      <c r="BD100" s="3638"/>
      <c r="BE100" s="3638"/>
      <c r="BF100" s="3638"/>
      <c r="BG100" s="3638"/>
      <c r="BH100" s="3638"/>
      <c r="BI100" s="3638"/>
      <c r="BJ100" s="3638"/>
      <c r="BK100" s="3638"/>
    </row>
    <row r="101" spans="1:63">
      <c r="A101" s="3639" t="s">
        <v>3430</v>
      </c>
      <c r="B101" s="3640" t="s">
        <v>3949</v>
      </c>
      <c r="C101" s="3641" t="s">
        <v>3565</v>
      </c>
      <c r="D101" s="3641" t="s">
        <v>3950</v>
      </c>
      <c r="E101" s="3641" t="s">
        <v>3951</v>
      </c>
      <c r="F101" s="3641" t="s">
        <v>3952</v>
      </c>
      <c r="G101" s="3641" t="s">
        <v>3953</v>
      </c>
      <c r="H101" s="3641" t="s">
        <v>3954</v>
      </c>
      <c r="I101" s="3641" t="s">
        <v>3955</v>
      </c>
      <c r="J101" s="3641" t="s">
        <v>3955</v>
      </c>
      <c r="K101" s="3641" t="s">
        <v>3955</v>
      </c>
      <c r="L101" s="3641" t="s">
        <v>3956</v>
      </c>
      <c r="M101" s="3641" t="s">
        <v>3956</v>
      </c>
      <c r="N101" s="3641" t="s">
        <v>3956</v>
      </c>
      <c r="O101" s="3641" t="s">
        <v>3957</v>
      </c>
      <c r="P101" s="3641" t="s">
        <v>3957</v>
      </c>
      <c r="Q101" s="3641" t="s">
        <v>3957</v>
      </c>
      <c r="R101" s="3641" t="s">
        <v>3958</v>
      </c>
      <c r="S101" s="3641" t="s">
        <v>3959</v>
      </c>
      <c r="T101" s="3641" t="s">
        <v>3959</v>
      </c>
      <c r="U101" s="3641" t="s">
        <v>3959</v>
      </c>
      <c r="V101" s="3641" t="s">
        <v>3960</v>
      </c>
      <c r="W101" s="3641" t="s">
        <v>3961</v>
      </c>
      <c r="X101" s="3641" t="s">
        <v>3962</v>
      </c>
      <c r="Y101" s="3641" t="s">
        <v>3963</v>
      </c>
      <c r="Z101" s="3641" t="s">
        <v>3964</v>
      </c>
      <c r="AA101" s="3641" t="s">
        <v>3965</v>
      </c>
      <c r="AB101" s="3641" t="s">
        <v>3966</v>
      </c>
      <c r="AC101" s="3641" t="s">
        <v>3967</v>
      </c>
      <c r="AD101" s="3641" t="s">
        <v>3968</v>
      </c>
      <c r="AE101" s="3641" t="s">
        <v>3969</v>
      </c>
      <c r="AF101" s="3641" t="s">
        <v>3970</v>
      </c>
      <c r="AG101" s="3641" t="s">
        <v>3971</v>
      </c>
      <c r="AH101" s="3641" t="s">
        <v>3972</v>
      </c>
      <c r="AI101" s="3641" t="s">
        <v>3973</v>
      </c>
      <c r="AJ101" s="3641" t="s">
        <v>3974</v>
      </c>
      <c r="AK101" s="3641" t="s">
        <v>3975</v>
      </c>
      <c r="AL101" s="3641" t="s">
        <v>3976</v>
      </c>
      <c r="AM101" s="3641" t="s">
        <v>3977</v>
      </c>
      <c r="AN101" s="3641" t="s">
        <v>3978</v>
      </c>
      <c r="AO101" s="3641" t="s">
        <v>3979</v>
      </c>
      <c r="AP101" s="3641" t="s">
        <v>3980</v>
      </c>
      <c r="AQ101" s="3641" t="s">
        <v>3981</v>
      </c>
      <c r="AR101" s="3641" t="s">
        <v>3982</v>
      </c>
      <c r="AS101" s="3642" t="s">
        <v>3983</v>
      </c>
      <c r="AT101" s="3641" t="s">
        <v>3984</v>
      </c>
      <c r="AU101" s="3641" t="s">
        <v>3985</v>
      </c>
      <c r="AV101" s="3641" t="s">
        <v>3986</v>
      </c>
      <c r="AW101" s="3641" t="s">
        <v>3987</v>
      </c>
      <c r="AX101" s="3641" t="s">
        <v>3988</v>
      </c>
      <c r="AY101" s="3641" t="s">
        <v>3989</v>
      </c>
      <c r="AZ101" s="3641" t="s">
        <v>3990</v>
      </c>
      <c r="BA101" s="3641" t="s">
        <v>3991</v>
      </c>
      <c r="BB101" s="3641" t="s">
        <v>3992</v>
      </c>
      <c r="BC101" s="3643" t="s">
        <v>3993</v>
      </c>
      <c r="BD101" s="3643" t="s">
        <v>3994</v>
      </c>
      <c r="BE101" s="3643" t="s">
        <v>3995</v>
      </c>
      <c r="BF101" s="3643" t="s">
        <v>3996</v>
      </c>
      <c r="BG101" s="3643" t="s">
        <v>3997</v>
      </c>
      <c r="BH101" s="3643" t="s">
        <v>3998</v>
      </c>
      <c r="BI101" s="3643" t="s">
        <v>3999</v>
      </c>
      <c r="BJ101" s="3643" t="s">
        <v>4000</v>
      </c>
      <c r="BK101" s="3643" t="s">
        <v>4001</v>
      </c>
    </row>
    <row r="102" spans="1:63">
      <c r="A102" s="3644" t="s">
        <v>3832</v>
      </c>
      <c r="B102" s="3644" t="s">
        <v>3915</v>
      </c>
      <c r="C102" s="3644" t="s">
        <v>3914</v>
      </c>
      <c r="D102" s="3644" t="s">
        <v>4002</v>
      </c>
      <c r="E102" s="3644"/>
      <c r="F102" s="3644"/>
      <c r="G102" s="3644" t="s">
        <v>4003</v>
      </c>
      <c r="H102" s="3644" t="s">
        <v>4004</v>
      </c>
      <c r="I102" s="3644" t="s">
        <v>4003</v>
      </c>
      <c r="J102" s="3644" t="s">
        <v>4005</v>
      </c>
      <c r="K102" s="3644" t="s">
        <v>4005</v>
      </c>
      <c r="L102" s="3644" t="s">
        <v>4003</v>
      </c>
      <c r="M102" s="3644" t="s">
        <v>4006</v>
      </c>
      <c r="N102" s="3644" t="s">
        <v>4006</v>
      </c>
      <c r="O102" s="3644" t="s">
        <v>4007</v>
      </c>
      <c r="P102" s="3644" t="s">
        <v>4008</v>
      </c>
      <c r="Q102" s="3644" t="s">
        <v>4008</v>
      </c>
      <c r="R102" s="3644" t="s">
        <v>4009</v>
      </c>
      <c r="S102" s="3644"/>
      <c r="T102" s="3644" t="s">
        <v>4010</v>
      </c>
      <c r="U102" s="3644" t="s">
        <v>4011</v>
      </c>
      <c r="V102" s="3644"/>
      <c r="W102" s="3644"/>
      <c r="X102" s="3644" t="s">
        <v>4012</v>
      </c>
      <c r="Y102" s="3644"/>
      <c r="Z102" s="3644" t="s">
        <v>4013</v>
      </c>
      <c r="AA102" s="3644" t="s">
        <v>4014</v>
      </c>
      <c r="AB102" s="3644" t="s">
        <v>4015</v>
      </c>
      <c r="AC102" s="3644" t="s">
        <v>4016</v>
      </c>
      <c r="AD102" s="3644" t="s">
        <v>4017</v>
      </c>
      <c r="AE102" s="3644" t="s">
        <v>4018</v>
      </c>
      <c r="AF102" s="3644"/>
      <c r="AG102" s="3644" t="s">
        <v>4019</v>
      </c>
      <c r="AH102" s="3644" t="s">
        <v>4020</v>
      </c>
      <c r="AI102" s="3644" t="s">
        <v>4021</v>
      </c>
      <c r="AJ102" s="3644" t="s">
        <v>4022</v>
      </c>
      <c r="AK102" s="3644" t="s">
        <v>4023</v>
      </c>
      <c r="AL102" s="3644" t="s">
        <v>4024</v>
      </c>
      <c r="AM102" s="3644" t="s">
        <v>4025</v>
      </c>
      <c r="AN102" s="3644" t="s">
        <v>4026</v>
      </c>
      <c r="AO102" s="3644" t="s">
        <v>4027</v>
      </c>
      <c r="AP102" s="3644" t="s">
        <v>4028</v>
      </c>
      <c r="AQ102" s="3644" t="s">
        <v>4029</v>
      </c>
      <c r="AR102" s="3644" t="s">
        <v>4030</v>
      </c>
      <c r="AS102" s="3644"/>
      <c r="AT102" s="3644"/>
      <c r="AU102" s="3644" t="s">
        <v>4031</v>
      </c>
      <c r="AV102" s="3644" t="s">
        <v>4032</v>
      </c>
      <c r="AW102" s="3644"/>
      <c r="AX102" s="3644" t="s">
        <v>4033</v>
      </c>
      <c r="AY102" s="3644" t="s">
        <v>4032</v>
      </c>
      <c r="AZ102" s="3644" t="s">
        <v>3418</v>
      </c>
      <c r="BA102" s="3644" t="s">
        <v>3651</v>
      </c>
      <c r="BB102" s="3644"/>
      <c r="BC102" s="3644">
        <v>2013</v>
      </c>
      <c r="BD102" s="3644">
        <v>4</v>
      </c>
      <c r="BE102" s="3644">
        <v>7</v>
      </c>
      <c r="BF102" s="3644" t="s">
        <v>3787</v>
      </c>
      <c r="BG102" s="3644" t="s">
        <v>3671</v>
      </c>
      <c r="BH102" s="3644">
        <v>1996</v>
      </c>
      <c r="BI102" s="3644" t="s">
        <v>4034</v>
      </c>
      <c r="BJ102" s="3644">
        <v>80</v>
      </c>
      <c r="BK102" s="3644">
        <v>20</v>
      </c>
    </row>
    <row r="103" spans="1:63">
      <c r="A103" s="3644" t="s">
        <v>3834</v>
      </c>
      <c r="B103" s="3644" t="s">
        <v>4035</v>
      </c>
      <c r="C103" s="3644" t="s">
        <v>3914</v>
      </c>
      <c r="D103" s="3644" t="s">
        <v>4036</v>
      </c>
      <c r="E103" s="3644"/>
      <c r="F103" s="3644"/>
      <c r="G103" s="3644" t="s">
        <v>4003</v>
      </c>
      <c r="H103" s="3644" t="s">
        <v>4004</v>
      </c>
      <c r="I103" s="3644" t="s">
        <v>4003</v>
      </c>
      <c r="J103" s="3644" t="s">
        <v>4037</v>
      </c>
      <c r="K103" s="3644" t="s">
        <v>4037</v>
      </c>
      <c r="L103" s="3644" t="s">
        <v>4003</v>
      </c>
      <c r="M103" s="3644" t="s">
        <v>4006</v>
      </c>
      <c r="N103" s="3644" t="s">
        <v>4006</v>
      </c>
      <c r="O103" s="3644" t="s">
        <v>4008</v>
      </c>
      <c r="P103" s="3644" t="s">
        <v>4008</v>
      </c>
      <c r="Q103" s="3644" t="s">
        <v>4008</v>
      </c>
      <c r="R103" s="3644" t="s">
        <v>4009</v>
      </c>
      <c r="S103" s="3644"/>
      <c r="T103" s="3644" t="s">
        <v>4038</v>
      </c>
      <c r="U103" s="3644" t="s">
        <v>4011</v>
      </c>
      <c r="V103" s="3644"/>
      <c r="W103" s="3644"/>
      <c r="X103" s="3644" t="s">
        <v>4039</v>
      </c>
      <c r="Y103" s="3644"/>
      <c r="Z103" s="3644" t="s">
        <v>4013</v>
      </c>
      <c r="AA103" s="3644" t="s">
        <v>4014</v>
      </c>
      <c r="AB103" s="3644" t="s">
        <v>4015</v>
      </c>
      <c r="AC103" s="3644" t="s">
        <v>4016</v>
      </c>
      <c r="AD103" s="3644" t="s">
        <v>4017</v>
      </c>
      <c r="AE103" s="3644" t="s">
        <v>4040</v>
      </c>
      <c r="AF103" s="3644"/>
      <c r="AG103" s="3644" t="s">
        <v>4019</v>
      </c>
      <c r="AH103" s="3644" t="s">
        <v>4020</v>
      </c>
      <c r="AI103" s="3644" t="s">
        <v>4041</v>
      </c>
      <c r="AJ103" s="3644" t="s">
        <v>4042</v>
      </c>
      <c r="AK103" s="3644" t="s">
        <v>4043</v>
      </c>
      <c r="AL103" s="3644" t="s">
        <v>4044</v>
      </c>
      <c r="AM103" s="3644" t="s">
        <v>4025</v>
      </c>
      <c r="AN103" s="3644" t="s">
        <v>4045</v>
      </c>
      <c r="AO103" s="3644" t="s">
        <v>4046</v>
      </c>
      <c r="AP103" s="3644" t="s">
        <v>4047</v>
      </c>
      <c r="AQ103" s="3644" t="s">
        <v>4029</v>
      </c>
      <c r="AR103" s="3644" t="s">
        <v>4030</v>
      </c>
      <c r="AS103" s="3644"/>
      <c r="AT103" s="3644"/>
      <c r="AU103" s="3644" t="s">
        <v>4031</v>
      </c>
      <c r="AV103" s="3644" t="s">
        <v>4032</v>
      </c>
      <c r="AW103" s="3644"/>
      <c r="AX103" s="3644" t="s">
        <v>4033</v>
      </c>
      <c r="AY103" s="3644" t="s">
        <v>4032</v>
      </c>
      <c r="AZ103" s="3644" t="s">
        <v>4048</v>
      </c>
      <c r="BA103" s="3644" t="s">
        <v>3703</v>
      </c>
      <c r="BB103" s="3644"/>
      <c r="BC103" s="3644">
        <v>2013</v>
      </c>
      <c r="BD103" s="3644">
        <v>1</v>
      </c>
      <c r="BE103" s="3644">
        <v>28</v>
      </c>
      <c r="BF103" s="3644" t="s">
        <v>4049</v>
      </c>
      <c r="BG103" s="3644" t="s">
        <v>3671</v>
      </c>
      <c r="BH103" s="3644">
        <v>2005</v>
      </c>
      <c r="BI103" s="3644" t="s">
        <v>3459</v>
      </c>
      <c r="BJ103" s="3644">
        <v>104</v>
      </c>
      <c r="BK103" s="3644">
        <v>20</v>
      </c>
    </row>
    <row r="104" spans="1:63">
      <c r="A104" s="3644" t="s">
        <v>3835</v>
      </c>
      <c r="B104" s="3644" t="s">
        <v>4035</v>
      </c>
      <c r="C104" s="3644" t="s">
        <v>3914</v>
      </c>
      <c r="D104" s="3644" t="s">
        <v>4050</v>
      </c>
      <c r="E104" s="3644"/>
      <c r="F104" s="3644"/>
      <c r="G104" s="3644" t="s">
        <v>4003</v>
      </c>
      <c r="H104" s="3644" t="s">
        <v>4051</v>
      </c>
      <c r="I104" s="3644" t="s">
        <v>4003</v>
      </c>
      <c r="J104" s="3644" t="s">
        <v>4005</v>
      </c>
      <c r="K104" s="3644" t="s">
        <v>4005</v>
      </c>
      <c r="L104" s="3644" t="s">
        <v>4003</v>
      </c>
      <c r="M104" s="3644" t="s">
        <v>4006</v>
      </c>
      <c r="N104" s="3644" t="s">
        <v>4006</v>
      </c>
      <c r="O104" s="3644" t="s">
        <v>4052</v>
      </c>
      <c r="P104" s="3644" t="s">
        <v>4008</v>
      </c>
      <c r="Q104" s="3644" t="s">
        <v>4008</v>
      </c>
      <c r="R104" s="3644" t="s">
        <v>4009</v>
      </c>
      <c r="S104" s="3644"/>
      <c r="T104" s="3644" t="s">
        <v>4053</v>
      </c>
      <c r="U104" s="3644" t="s">
        <v>4011</v>
      </c>
      <c r="V104" s="3644"/>
      <c r="W104" s="3644"/>
      <c r="X104" s="3644" t="s">
        <v>4039</v>
      </c>
      <c r="Y104" s="3644"/>
      <c r="Z104" s="3644" t="s">
        <v>4013</v>
      </c>
      <c r="AA104" s="3644" t="s">
        <v>4014</v>
      </c>
      <c r="AB104" s="3644" t="s">
        <v>4015</v>
      </c>
      <c r="AC104" s="3644" t="s">
        <v>4016</v>
      </c>
      <c r="AD104" s="3644" t="s">
        <v>4017</v>
      </c>
      <c r="AE104" s="3644" t="s">
        <v>4018</v>
      </c>
      <c r="AF104" s="3644"/>
      <c r="AG104" s="3644" t="s">
        <v>4054</v>
      </c>
      <c r="AH104" s="3644" t="s">
        <v>4020</v>
      </c>
      <c r="AI104" s="3644" t="s">
        <v>4021</v>
      </c>
      <c r="AJ104" s="3644" t="s">
        <v>4042</v>
      </c>
      <c r="AK104" s="3644" t="s">
        <v>4043</v>
      </c>
      <c r="AL104" s="3644" t="s">
        <v>4044</v>
      </c>
      <c r="AM104" s="3644" t="s">
        <v>4025</v>
      </c>
      <c r="AN104" s="3644" t="s">
        <v>4045</v>
      </c>
      <c r="AO104" s="3644" t="s">
        <v>4027</v>
      </c>
      <c r="AP104" s="3644" t="s">
        <v>4055</v>
      </c>
      <c r="AQ104" s="3644" t="s">
        <v>4029</v>
      </c>
      <c r="AR104" s="3644" t="s">
        <v>4030</v>
      </c>
      <c r="AS104" s="3644"/>
      <c r="AT104" s="3644"/>
      <c r="AU104" s="3644" t="s">
        <v>4031</v>
      </c>
      <c r="AV104" s="3644" t="s">
        <v>4032</v>
      </c>
      <c r="AW104" s="3644"/>
      <c r="AX104" s="3644" t="s">
        <v>4033</v>
      </c>
      <c r="AY104" s="3644" t="s">
        <v>4032</v>
      </c>
      <c r="AZ104" s="3644" t="s">
        <v>3418</v>
      </c>
      <c r="BA104" s="3644" t="s">
        <v>3651</v>
      </c>
      <c r="BB104" s="3644"/>
      <c r="BC104" s="3644">
        <v>2013</v>
      </c>
      <c r="BD104" s="3644">
        <v>3</v>
      </c>
      <c r="BE104" s="3644">
        <v>16</v>
      </c>
      <c r="BF104" s="3644" t="s">
        <v>4056</v>
      </c>
      <c r="BG104" s="3644" t="s">
        <v>3671</v>
      </c>
      <c r="BH104" s="3644">
        <v>2005</v>
      </c>
      <c r="BI104" s="3644" t="s">
        <v>3942</v>
      </c>
      <c r="BJ104" s="3644">
        <v>104</v>
      </c>
      <c r="BK104" s="3644">
        <v>23</v>
      </c>
    </row>
    <row r="106" spans="1:63" ht="24">
      <c r="A106" s="3646" t="s">
        <v>4058</v>
      </c>
      <c r="B106" s="3646" t="s">
        <v>4059</v>
      </c>
      <c r="C106" s="3646" t="s">
        <v>4060</v>
      </c>
      <c r="D106" s="3646" t="s">
        <v>4061</v>
      </c>
      <c r="E106" s="3646" t="s">
        <v>3999</v>
      </c>
      <c r="F106" s="3646" t="s">
        <v>4062</v>
      </c>
      <c r="G106" s="3646" t="s">
        <v>4063</v>
      </c>
      <c r="H106" s="3646" t="s">
        <v>4064</v>
      </c>
      <c r="I106" s="3646" t="s">
        <v>3447</v>
      </c>
    </row>
    <row r="107" spans="1:63" ht="24">
      <c r="A107" s="3648">
        <v>41638</v>
      </c>
      <c r="B107" s="3646" t="s">
        <v>4079</v>
      </c>
      <c r="C107" s="3646">
        <v>55</v>
      </c>
      <c r="D107" s="3646" t="s">
        <v>4107</v>
      </c>
      <c r="E107" s="3646" t="s">
        <v>4139</v>
      </c>
      <c r="F107" s="3646">
        <v>260</v>
      </c>
      <c r="G107" s="3648">
        <v>41639</v>
      </c>
      <c r="H107" s="3646">
        <v>258</v>
      </c>
      <c r="I107" s="3646">
        <v>46445</v>
      </c>
    </row>
    <row r="108" spans="1:63" ht="24">
      <c r="A108" s="3648">
        <v>41583</v>
      </c>
      <c r="B108" s="3646" t="s">
        <v>4071</v>
      </c>
      <c r="C108" s="3646">
        <v>120</v>
      </c>
      <c r="D108" s="3646" t="s">
        <v>4110</v>
      </c>
      <c r="E108" s="3646" t="s">
        <v>4151</v>
      </c>
      <c r="F108" s="3646">
        <v>720</v>
      </c>
      <c r="G108" s="3648">
        <v>41589</v>
      </c>
      <c r="H108" s="3646">
        <v>685</v>
      </c>
      <c r="I108" s="3646">
        <v>56626</v>
      </c>
    </row>
    <row r="109" spans="1:63" ht="24">
      <c r="A109" s="3648">
        <v>41558</v>
      </c>
      <c r="B109" s="3646" t="s">
        <v>4079</v>
      </c>
      <c r="C109" s="3646">
        <v>50</v>
      </c>
      <c r="D109" s="3646" t="s">
        <v>4111</v>
      </c>
      <c r="E109" s="3646" t="s">
        <v>4139</v>
      </c>
      <c r="F109" s="3646">
        <v>285</v>
      </c>
      <c r="G109" s="3648">
        <v>41559</v>
      </c>
      <c r="H109" s="3646">
        <v>285</v>
      </c>
      <c r="I109" s="3646">
        <v>56147</v>
      </c>
    </row>
    <row r="110" spans="1:63" ht="24">
      <c r="A110" s="3656">
        <v>41357</v>
      </c>
      <c r="B110" s="3657" t="s">
        <v>4075</v>
      </c>
      <c r="C110" s="3657">
        <v>74</v>
      </c>
      <c r="D110" s="3657" t="s">
        <v>4110</v>
      </c>
      <c r="E110" s="3657" t="s">
        <v>4070</v>
      </c>
      <c r="F110" s="3657">
        <v>405</v>
      </c>
      <c r="G110" s="3656">
        <v>41357</v>
      </c>
      <c r="H110" s="3657">
        <v>420</v>
      </c>
      <c r="I110" s="3657">
        <v>56513</v>
      </c>
    </row>
    <row r="111" spans="1:63" ht="24">
      <c r="A111" s="3648">
        <v>41346</v>
      </c>
      <c r="B111" s="3646" t="s">
        <v>4071</v>
      </c>
      <c r="C111" s="3646">
        <v>68</v>
      </c>
      <c r="D111" s="3646" t="s">
        <v>4107</v>
      </c>
      <c r="E111" s="3646" t="s">
        <v>4139</v>
      </c>
      <c r="F111" s="3646">
        <v>370</v>
      </c>
      <c r="G111" s="3648">
        <v>41347</v>
      </c>
      <c r="H111" s="3646">
        <v>365</v>
      </c>
      <c r="I111" s="3646">
        <v>53293</v>
      </c>
    </row>
    <row r="112" spans="1:63" ht="24">
      <c r="A112" s="3648">
        <v>41304</v>
      </c>
      <c r="B112" s="3646" t="s">
        <v>4079</v>
      </c>
      <c r="C112" s="3646">
        <v>51</v>
      </c>
      <c r="D112" s="3646" t="s">
        <v>4128</v>
      </c>
      <c r="E112" s="3646" t="s">
        <v>4139</v>
      </c>
      <c r="F112" s="3646">
        <v>220</v>
      </c>
      <c r="G112" s="3648">
        <v>41305</v>
      </c>
      <c r="H112" s="3646">
        <v>215</v>
      </c>
      <c r="I112" s="3646">
        <v>41960</v>
      </c>
    </row>
    <row r="113" spans="1:9">
      <c r="A113" s="3648">
        <v>41261</v>
      </c>
      <c r="B113" s="3646" t="s">
        <v>4094</v>
      </c>
      <c r="C113" s="3646">
        <v>74</v>
      </c>
      <c r="D113" s="3646" t="s">
        <v>4152</v>
      </c>
      <c r="E113" s="3646" t="s">
        <v>4070</v>
      </c>
      <c r="F113" s="3646">
        <v>300</v>
      </c>
      <c r="G113" s="3648">
        <v>41261</v>
      </c>
      <c r="H113" s="3646">
        <v>287</v>
      </c>
      <c r="I113" s="3646">
        <v>38472</v>
      </c>
    </row>
    <row r="114" spans="1:9" ht="24">
      <c r="A114" s="3648">
        <v>41158</v>
      </c>
      <c r="B114" s="3646" t="s">
        <v>4079</v>
      </c>
      <c r="C114" s="3646">
        <v>45</v>
      </c>
      <c r="D114" s="3646" t="s">
        <v>4107</v>
      </c>
      <c r="E114" s="3646" t="s">
        <v>3459</v>
      </c>
      <c r="F114" s="3646">
        <v>168</v>
      </c>
      <c r="G114" s="3648">
        <v>41168</v>
      </c>
      <c r="H114" s="3646">
        <v>161</v>
      </c>
      <c r="I114" s="3646">
        <v>35031</v>
      </c>
    </row>
    <row r="115" spans="1:9" ht="24">
      <c r="A115" s="3648">
        <v>41128</v>
      </c>
      <c r="B115" s="3646" t="s">
        <v>4075</v>
      </c>
      <c r="C115" s="3646">
        <v>74</v>
      </c>
      <c r="D115" s="3646" t="s">
        <v>4111</v>
      </c>
      <c r="E115" s="3646" t="s">
        <v>4070</v>
      </c>
      <c r="F115" s="3646">
        <v>315</v>
      </c>
      <c r="G115" s="3648">
        <v>41132</v>
      </c>
      <c r="H115" s="3646">
        <v>300</v>
      </c>
      <c r="I115" s="3646">
        <v>40366</v>
      </c>
    </row>
    <row r="116" spans="1:9" ht="24">
      <c r="A116" s="3648">
        <v>41127</v>
      </c>
      <c r="B116" s="3646" t="s">
        <v>4071</v>
      </c>
      <c r="C116" s="3646">
        <v>107</v>
      </c>
      <c r="D116" s="3646" t="s">
        <v>4111</v>
      </c>
      <c r="E116" s="3646" t="s">
        <v>4070</v>
      </c>
      <c r="F116" s="3646">
        <v>390</v>
      </c>
      <c r="G116" s="3648">
        <v>41148</v>
      </c>
      <c r="H116" s="3646">
        <v>388</v>
      </c>
      <c r="I116" s="3646">
        <v>36016</v>
      </c>
    </row>
    <row r="117" spans="1:9" ht="24">
      <c r="A117" s="3648">
        <v>41112</v>
      </c>
      <c r="B117" s="3646" t="s">
        <v>4071</v>
      </c>
      <c r="C117" s="3646">
        <v>63</v>
      </c>
      <c r="D117" s="3646" t="s">
        <v>4111</v>
      </c>
      <c r="E117" s="3646" t="s">
        <v>4100</v>
      </c>
      <c r="F117" s="3646">
        <v>225</v>
      </c>
      <c r="G117" s="3648">
        <v>41120</v>
      </c>
      <c r="H117" s="3646">
        <v>217</v>
      </c>
      <c r="I117" s="3646">
        <v>33933</v>
      </c>
    </row>
    <row r="118" spans="1:9" ht="24">
      <c r="A118" s="3648">
        <v>41106</v>
      </c>
      <c r="B118" s="3646" t="s">
        <v>4071</v>
      </c>
      <c r="C118" s="3646">
        <v>120</v>
      </c>
      <c r="D118" s="3646" t="s">
        <v>4107</v>
      </c>
      <c r="E118" s="3646" t="s">
        <v>4151</v>
      </c>
      <c r="F118" s="3646">
        <v>430</v>
      </c>
      <c r="G118" s="3648">
        <v>41106</v>
      </c>
      <c r="H118" s="3646">
        <v>423</v>
      </c>
      <c r="I118" s="3646">
        <v>34968</v>
      </c>
    </row>
    <row r="119" spans="1:9" ht="24">
      <c r="A119" s="3648">
        <v>41086</v>
      </c>
      <c r="B119" s="3646" t="s">
        <v>4138</v>
      </c>
      <c r="C119" s="3646">
        <v>227</v>
      </c>
      <c r="D119" s="3646" t="s">
        <v>4122</v>
      </c>
      <c r="E119" s="3646" t="s">
        <v>4070</v>
      </c>
      <c r="F119" s="3646">
        <v>785</v>
      </c>
      <c r="G119" s="3648">
        <v>41087</v>
      </c>
      <c r="H119" s="3646">
        <v>748</v>
      </c>
      <c r="I119" s="3646">
        <v>32816</v>
      </c>
    </row>
  </sheetData>
  <phoneticPr fontId="135"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1"/>
  <sheetViews>
    <sheetView topLeftCell="A212" workbookViewId="0">
      <selection activeCell="H231" sqref="H231"/>
    </sheetView>
  </sheetViews>
  <sheetFormatPr defaultRowHeight="14.4"/>
  <cols>
    <col min="1" max="1" width="11.6640625" style="3647" bestFit="1" customWidth="1"/>
    <col min="2" max="2" width="13.44140625" style="3647" bestFit="1" customWidth="1"/>
    <col min="3" max="3" width="9.21875" style="3647" bestFit="1" customWidth="1"/>
    <col min="4" max="4" width="15.44140625" style="3647" bestFit="1" customWidth="1"/>
    <col min="5" max="5" width="15.33203125" style="3647" bestFit="1" customWidth="1"/>
    <col min="6" max="6" width="11.21875" style="3647" bestFit="1" customWidth="1"/>
    <col min="7" max="7" width="11.6640625" style="3647" bestFit="1" customWidth="1"/>
    <col min="8" max="8" width="11.21875" style="3647" bestFit="1" customWidth="1"/>
    <col min="9" max="9" width="9.109375" style="3647" bestFit="1" customWidth="1"/>
    <col min="10" max="16384" width="8.88671875" style="3647"/>
  </cols>
  <sheetData>
    <row r="1" spans="1:9">
      <c r="A1" s="3646" t="s">
        <v>4058</v>
      </c>
      <c r="B1" s="3646" t="s">
        <v>4059</v>
      </c>
      <c r="C1" s="3646" t="s">
        <v>4060</v>
      </c>
      <c r="D1" s="3646" t="s">
        <v>4061</v>
      </c>
      <c r="E1" s="3646" t="s">
        <v>3999</v>
      </c>
      <c r="F1" s="3646" t="s">
        <v>4062</v>
      </c>
      <c r="G1" s="3646" t="s">
        <v>4063</v>
      </c>
      <c r="H1" s="3646" t="s">
        <v>4064</v>
      </c>
      <c r="I1" s="3646" t="s">
        <v>3447</v>
      </c>
    </row>
    <row r="2" spans="1:9" hidden="1">
      <c r="A2" s="3648">
        <v>45949</v>
      </c>
      <c r="B2" s="3646" t="s">
        <v>4065</v>
      </c>
      <c r="C2" s="3646">
        <v>42</v>
      </c>
      <c r="D2" s="3649"/>
      <c r="E2" s="3646" t="s">
        <v>4066</v>
      </c>
      <c r="F2" s="3646">
        <v>0</v>
      </c>
      <c r="G2" s="3646" t="s">
        <v>4067</v>
      </c>
      <c r="H2" s="3646">
        <v>346</v>
      </c>
      <c r="I2" s="3646">
        <v>80615</v>
      </c>
    </row>
    <row r="3" spans="1:9" hidden="1">
      <c r="A3" s="3648">
        <v>45942</v>
      </c>
      <c r="B3" s="3646" t="s">
        <v>4068</v>
      </c>
      <c r="C3" s="3646">
        <v>107</v>
      </c>
      <c r="D3" s="3646" t="s">
        <v>4069</v>
      </c>
      <c r="E3" s="3646" t="s">
        <v>4070</v>
      </c>
      <c r="F3" s="3646">
        <v>1030</v>
      </c>
      <c r="G3" s="3648">
        <v>45910</v>
      </c>
      <c r="H3" s="3646">
        <v>922</v>
      </c>
      <c r="I3" s="3646">
        <v>85584</v>
      </c>
    </row>
    <row r="4" spans="1:9" hidden="1">
      <c r="A4" s="3648">
        <v>45927</v>
      </c>
      <c r="B4" s="3646" t="s">
        <v>4065</v>
      </c>
      <c r="C4" s="3646">
        <v>42</v>
      </c>
      <c r="D4" s="3649"/>
      <c r="E4" s="3646" t="s">
        <v>4066</v>
      </c>
      <c r="F4" s="3646">
        <v>0</v>
      </c>
      <c r="G4" s="3646" t="s">
        <v>4067</v>
      </c>
      <c r="H4" s="3646">
        <v>325</v>
      </c>
      <c r="I4" s="3646">
        <v>75722</v>
      </c>
    </row>
    <row r="5" spans="1:9" hidden="1">
      <c r="A5" s="3648">
        <v>45889</v>
      </c>
      <c r="B5" s="3646" t="s">
        <v>4065</v>
      </c>
      <c r="C5" s="3646">
        <v>48</v>
      </c>
      <c r="D5" s="3649"/>
      <c r="E5" s="3646" t="s">
        <v>3459</v>
      </c>
      <c r="F5" s="3646">
        <v>0</v>
      </c>
      <c r="G5" s="3646" t="s">
        <v>4067</v>
      </c>
      <c r="H5" s="3646">
        <v>404</v>
      </c>
      <c r="I5" s="3646">
        <v>83488</v>
      </c>
    </row>
    <row r="6" spans="1:9" hidden="1">
      <c r="A6" s="3648">
        <v>45886</v>
      </c>
      <c r="B6" s="3646" t="s">
        <v>4071</v>
      </c>
      <c r="C6" s="3646">
        <v>67</v>
      </c>
      <c r="D6" s="3646" t="s">
        <v>4072</v>
      </c>
      <c r="E6" s="3646" t="s">
        <v>3459</v>
      </c>
      <c r="F6" s="3646">
        <v>599</v>
      </c>
      <c r="G6" s="3648">
        <v>45671</v>
      </c>
      <c r="H6" s="3646">
        <v>522</v>
      </c>
      <c r="I6" s="3646">
        <v>77609</v>
      </c>
    </row>
    <row r="7" spans="1:9" hidden="1">
      <c r="A7" s="3648">
        <v>45878</v>
      </c>
      <c r="B7" s="3646" t="s">
        <v>4071</v>
      </c>
      <c r="C7" s="3646">
        <v>68</v>
      </c>
      <c r="D7" s="3646" t="s">
        <v>4072</v>
      </c>
      <c r="E7" s="3646" t="s">
        <v>4073</v>
      </c>
      <c r="F7" s="3646">
        <v>560</v>
      </c>
      <c r="G7" s="3648">
        <v>45837</v>
      </c>
      <c r="H7" s="3646">
        <v>530</v>
      </c>
      <c r="I7" s="3646">
        <v>77383</v>
      </c>
    </row>
    <row r="8" spans="1:9" hidden="1">
      <c r="A8" s="3648">
        <v>45876</v>
      </c>
      <c r="B8" s="3646" t="s">
        <v>4071</v>
      </c>
      <c r="C8" s="3646">
        <v>46</v>
      </c>
      <c r="D8" s="3646" t="s">
        <v>4074</v>
      </c>
      <c r="E8" s="3646" t="s">
        <v>4070</v>
      </c>
      <c r="F8" s="3646">
        <v>412</v>
      </c>
      <c r="G8" s="3648">
        <v>45770</v>
      </c>
      <c r="H8" s="3646">
        <v>412</v>
      </c>
      <c r="I8" s="3646">
        <v>88355</v>
      </c>
    </row>
    <row r="9" spans="1:9" hidden="1">
      <c r="A9" s="3648">
        <v>45832</v>
      </c>
      <c r="B9" s="3646" t="s">
        <v>4075</v>
      </c>
      <c r="C9" s="3646">
        <v>63</v>
      </c>
      <c r="D9" s="3646" t="s">
        <v>4072</v>
      </c>
      <c r="E9" s="3646" t="s">
        <v>4076</v>
      </c>
      <c r="F9" s="3646">
        <v>608</v>
      </c>
      <c r="G9" s="3648">
        <v>45821</v>
      </c>
      <c r="H9" s="3646">
        <v>570</v>
      </c>
      <c r="I9" s="3646">
        <v>89132</v>
      </c>
    </row>
    <row r="10" spans="1:9" hidden="1">
      <c r="A10" s="3648">
        <v>45830</v>
      </c>
      <c r="B10" s="3646" t="s">
        <v>4075</v>
      </c>
      <c r="C10" s="3646">
        <v>63</v>
      </c>
      <c r="D10" s="3646" t="s">
        <v>4077</v>
      </c>
      <c r="E10" s="3646" t="s">
        <v>4078</v>
      </c>
      <c r="F10" s="3646">
        <v>566</v>
      </c>
      <c r="G10" s="3648">
        <v>45741</v>
      </c>
      <c r="H10" s="3646">
        <v>566</v>
      </c>
      <c r="I10" s="3646">
        <v>88506</v>
      </c>
    </row>
    <row r="11" spans="1:9" hidden="1">
      <c r="A11" s="3648">
        <v>45800</v>
      </c>
      <c r="B11" s="3646" t="s">
        <v>4071</v>
      </c>
      <c r="C11" s="3646">
        <v>107</v>
      </c>
      <c r="D11" s="3646" t="s">
        <v>4077</v>
      </c>
      <c r="E11" s="3646" t="s">
        <v>4070</v>
      </c>
      <c r="F11" s="3646">
        <v>950</v>
      </c>
      <c r="G11" s="3648">
        <v>45784</v>
      </c>
      <c r="H11" s="3646">
        <v>930</v>
      </c>
      <c r="I11" s="3646">
        <v>86326</v>
      </c>
    </row>
    <row r="12" spans="1:9" hidden="1">
      <c r="A12" s="3648">
        <v>45800</v>
      </c>
      <c r="B12" s="3646" t="s">
        <v>4075</v>
      </c>
      <c r="C12" s="3646">
        <v>74</v>
      </c>
      <c r="D12" s="3646" t="s">
        <v>4069</v>
      </c>
      <c r="E12" s="3646" t="s">
        <v>4070</v>
      </c>
      <c r="F12" s="3646">
        <v>745</v>
      </c>
      <c r="G12" s="3648">
        <v>45761</v>
      </c>
      <c r="H12" s="3646">
        <v>745</v>
      </c>
      <c r="I12" s="3646">
        <v>100242</v>
      </c>
    </row>
    <row r="13" spans="1:9" hidden="1">
      <c r="A13" s="3648">
        <v>45743</v>
      </c>
      <c r="B13" s="3646" t="s">
        <v>4079</v>
      </c>
      <c r="C13" s="3646">
        <v>42</v>
      </c>
      <c r="D13" s="3646" t="s">
        <v>4080</v>
      </c>
      <c r="E13" s="3646" t="s">
        <v>4066</v>
      </c>
      <c r="F13" s="3646">
        <v>390</v>
      </c>
      <c r="G13" s="3648">
        <v>45666</v>
      </c>
      <c r="H13" s="3646">
        <v>386</v>
      </c>
      <c r="I13" s="3646">
        <v>89934</v>
      </c>
    </row>
    <row r="14" spans="1:9" hidden="1">
      <c r="A14" s="3648">
        <v>45740</v>
      </c>
      <c r="B14" s="3646" t="s">
        <v>4081</v>
      </c>
      <c r="C14" s="3646">
        <v>63</v>
      </c>
      <c r="D14" s="3649"/>
      <c r="E14" s="3646" t="s">
        <v>4066</v>
      </c>
      <c r="F14" s="3646">
        <v>0</v>
      </c>
      <c r="G14" s="3646" t="s">
        <v>4067</v>
      </c>
      <c r="H14" s="3646">
        <v>633</v>
      </c>
      <c r="I14" s="3646">
        <v>98983</v>
      </c>
    </row>
    <row r="15" spans="1:9" hidden="1">
      <c r="A15" s="3648">
        <v>45717</v>
      </c>
      <c r="B15" s="3646" t="s">
        <v>4081</v>
      </c>
      <c r="C15" s="3646">
        <v>62</v>
      </c>
      <c r="D15" s="3649"/>
      <c r="E15" s="3646" t="s">
        <v>3942</v>
      </c>
      <c r="F15" s="3646">
        <v>0</v>
      </c>
      <c r="G15" s="3646" t="s">
        <v>4067</v>
      </c>
      <c r="H15" s="3646">
        <v>615</v>
      </c>
      <c r="I15" s="3646">
        <v>98415</v>
      </c>
    </row>
    <row r="16" spans="1:9" hidden="1">
      <c r="A16" s="3648">
        <v>45716</v>
      </c>
      <c r="B16" s="3646" t="s">
        <v>4071</v>
      </c>
      <c r="C16" s="3646">
        <v>89</v>
      </c>
      <c r="D16" s="3646" t="s">
        <v>4082</v>
      </c>
      <c r="E16" s="3646" t="s">
        <v>4066</v>
      </c>
      <c r="F16" s="3646">
        <v>699</v>
      </c>
      <c r="G16" s="3648">
        <v>45616</v>
      </c>
      <c r="H16" s="3646">
        <v>660</v>
      </c>
      <c r="I16" s="3646">
        <v>74015</v>
      </c>
    </row>
    <row r="17" spans="1:9" hidden="1">
      <c r="A17" s="3648">
        <v>45711</v>
      </c>
      <c r="B17" s="3646" t="s">
        <v>4083</v>
      </c>
      <c r="C17" s="3646">
        <v>46</v>
      </c>
      <c r="D17" s="3649"/>
      <c r="E17" s="3646" t="s">
        <v>3459</v>
      </c>
      <c r="F17" s="3646">
        <v>0</v>
      </c>
      <c r="G17" s="3646" t="s">
        <v>4067</v>
      </c>
      <c r="H17" s="3646">
        <v>470</v>
      </c>
      <c r="I17" s="3646">
        <v>100793</v>
      </c>
    </row>
    <row r="18" spans="1:9" hidden="1">
      <c r="A18" s="3648">
        <v>45674</v>
      </c>
      <c r="B18" s="3646" t="s">
        <v>4084</v>
      </c>
      <c r="C18" s="3646">
        <v>187</v>
      </c>
      <c r="D18" s="3649"/>
      <c r="E18" s="3646" t="s">
        <v>4066</v>
      </c>
      <c r="F18" s="3646">
        <v>0</v>
      </c>
      <c r="G18" s="3646" t="s">
        <v>4067</v>
      </c>
      <c r="H18" s="3646">
        <v>1620</v>
      </c>
      <c r="I18" s="3646">
        <v>86326</v>
      </c>
    </row>
    <row r="19" spans="1:9" hidden="1">
      <c r="A19" s="3648">
        <v>45634</v>
      </c>
      <c r="B19" s="3646" t="s">
        <v>4079</v>
      </c>
      <c r="C19" s="3646">
        <v>48</v>
      </c>
      <c r="D19" s="3646" t="s">
        <v>4077</v>
      </c>
      <c r="E19" s="3646" t="s">
        <v>3459</v>
      </c>
      <c r="F19" s="3646">
        <v>450</v>
      </c>
      <c r="G19" s="3648">
        <v>45504</v>
      </c>
      <c r="H19" s="3646">
        <v>442</v>
      </c>
      <c r="I19" s="3646">
        <v>91341</v>
      </c>
    </row>
    <row r="20" spans="1:9" hidden="1">
      <c r="A20" s="3648">
        <v>45626</v>
      </c>
      <c r="B20" s="3646" t="s">
        <v>4079</v>
      </c>
      <c r="C20" s="3646">
        <v>42</v>
      </c>
      <c r="D20" s="3646" t="s">
        <v>4080</v>
      </c>
      <c r="E20" s="3646" t="s">
        <v>4066</v>
      </c>
      <c r="F20" s="3646">
        <v>369</v>
      </c>
      <c r="G20" s="3648">
        <v>45579</v>
      </c>
      <c r="H20" s="3646">
        <v>369</v>
      </c>
      <c r="I20" s="3646">
        <v>85973</v>
      </c>
    </row>
    <row r="21" spans="1:9" hidden="1">
      <c r="A21" s="3648">
        <v>45585</v>
      </c>
      <c r="B21" s="3646" t="s">
        <v>4075</v>
      </c>
      <c r="C21" s="3646">
        <v>80</v>
      </c>
      <c r="D21" s="3646" t="s">
        <v>4069</v>
      </c>
      <c r="E21" s="3646" t="s">
        <v>4085</v>
      </c>
      <c r="F21" s="3646">
        <v>860</v>
      </c>
      <c r="G21" s="3648">
        <v>45525</v>
      </c>
      <c r="H21" s="3646">
        <v>832</v>
      </c>
      <c r="I21" s="3646">
        <v>103379</v>
      </c>
    </row>
    <row r="22" spans="1:9" hidden="1">
      <c r="A22" s="3648">
        <v>45512</v>
      </c>
      <c r="B22" s="3646" t="s">
        <v>4075</v>
      </c>
      <c r="C22" s="3646">
        <v>80</v>
      </c>
      <c r="D22" s="3646" t="s">
        <v>4069</v>
      </c>
      <c r="E22" s="3646" t="s">
        <v>4073</v>
      </c>
      <c r="F22" s="3646">
        <v>840</v>
      </c>
      <c r="G22" s="3648">
        <v>45483</v>
      </c>
      <c r="H22" s="3646">
        <v>839</v>
      </c>
      <c r="I22" s="3646">
        <v>104262</v>
      </c>
    </row>
    <row r="23" spans="1:9" hidden="1">
      <c r="A23" s="3648">
        <v>45500</v>
      </c>
      <c r="B23" s="3646" t="s">
        <v>4086</v>
      </c>
      <c r="C23" s="3646">
        <v>187</v>
      </c>
      <c r="D23" s="3646" t="s">
        <v>4069</v>
      </c>
      <c r="E23" s="3646" t="s">
        <v>4073</v>
      </c>
      <c r="F23" s="3646">
        <v>1650</v>
      </c>
      <c r="G23" s="3648">
        <v>45467</v>
      </c>
      <c r="H23" s="3646">
        <v>1616</v>
      </c>
      <c r="I23" s="3646">
        <v>86113</v>
      </c>
    </row>
    <row r="24" spans="1:9" hidden="1">
      <c r="A24" s="3648">
        <v>45489</v>
      </c>
      <c r="B24" s="3646" t="s">
        <v>4079</v>
      </c>
      <c r="C24" s="3646">
        <v>53</v>
      </c>
      <c r="D24" s="3646" t="s">
        <v>4072</v>
      </c>
      <c r="E24" s="3646" t="s">
        <v>4073</v>
      </c>
      <c r="F24" s="3646">
        <v>460</v>
      </c>
      <c r="G24" s="3648">
        <v>45463</v>
      </c>
      <c r="H24" s="3646">
        <v>460</v>
      </c>
      <c r="I24" s="3646">
        <v>85264</v>
      </c>
    </row>
    <row r="25" spans="1:9" hidden="1">
      <c r="A25" s="3648">
        <v>45483</v>
      </c>
      <c r="B25" s="3646" t="s">
        <v>4071</v>
      </c>
      <c r="C25" s="3646">
        <v>46</v>
      </c>
      <c r="D25" s="3646" t="s">
        <v>4087</v>
      </c>
      <c r="E25" s="3646" t="s">
        <v>4070</v>
      </c>
      <c r="F25" s="3646">
        <v>440</v>
      </c>
      <c r="G25" s="3648">
        <v>45473</v>
      </c>
      <c r="H25" s="3646">
        <v>414</v>
      </c>
      <c r="I25" s="3646">
        <v>88784</v>
      </c>
    </row>
    <row r="26" spans="1:9" hidden="1">
      <c r="A26" s="3648">
        <v>45478</v>
      </c>
      <c r="B26" s="3646" t="s">
        <v>4079</v>
      </c>
      <c r="C26" s="3646">
        <v>45</v>
      </c>
      <c r="D26" s="3646" t="s">
        <v>4069</v>
      </c>
      <c r="E26" s="3646" t="s">
        <v>3459</v>
      </c>
      <c r="F26" s="3646">
        <v>436</v>
      </c>
      <c r="G26" s="3648">
        <v>45462</v>
      </c>
      <c r="H26" s="3646">
        <v>380</v>
      </c>
      <c r="I26" s="3646">
        <v>82680</v>
      </c>
    </row>
    <row r="27" spans="1:9" hidden="1">
      <c r="A27" s="3648">
        <v>45458</v>
      </c>
      <c r="B27" s="3646" t="s">
        <v>4071</v>
      </c>
      <c r="C27" s="3646">
        <v>64</v>
      </c>
      <c r="D27" s="3646" t="s">
        <v>4069</v>
      </c>
      <c r="E27" s="3646" t="s">
        <v>4073</v>
      </c>
      <c r="F27" s="3646">
        <v>660</v>
      </c>
      <c r="G27" s="3648">
        <v>45438</v>
      </c>
      <c r="H27" s="3646">
        <v>655</v>
      </c>
      <c r="I27" s="3646">
        <v>101581</v>
      </c>
    </row>
    <row r="28" spans="1:9" hidden="1">
      <c r="A28" s="3648">
        <v>45458</v>
      </c>
      <c r="B28" s="3646" t="s">
        <v>4075</v>
      </c>
      <c r="C28" s="3646">
        <v>74</v>
      </c>
      <c r="D28" s="3646" t="s">
        <v>4077</v>
      </c>
      <c r="E28" s="3646" t="s">
        <v>4088</v>
      </c>
      <c r="F28" s="3646">
        <v>725</v>
      </c>
      <c r="G28" s="3648">
        <v>45455</v>
      </c>
      <c r="H28" s="3646">
        <v>725</v>
      </c>
      <c r="I28" s="3646">
        <v>97551</v>
      </c>
    </row>
    <row r="29" spans="1:9" hidden="1">
      <c r="A29" s="3648">
        <v>45454</v>
      </c>
      <c r="B29" s="3646" t="s">
        <v>4071</v>
      </c>
      <c r="C29" s="3646">
        <v>49</v>
      </c>
      <c r="D29" s="3646" t="s">
        <v>4089</v>
      </c>
      <c r="E29" s="3646" t="s">
        <v>4070</v>
      </c>
      <c r="F29" s="3646">
        <v>490</v>
      </c>
      <c r="G29" s="3648">
        <v>45451</v>
      </c>
      <c r="H29" s="3646">
        <v>475</v>
      </c>
      <c r="I29" s="3646">
        <v>95362</v>
      </c>
    </row>
    <row r="30" spans="1:9" hidden="1">
      <c r="A30" s="3648">
        <v>45444</v>
      </c>
      <c r="B30" s="3646" t="s">
        <v>4081</v>
      </c>
      <c r="C30" s="3646">
        <v>62</v>
      </c>
      <c r="D30" s="3649"/>
      <c r="E30" s="3646" t="s">
        <v>3459</v>
      </c>
      <c r="F30" s="3646">
        <v>0</v>
      </c>
      <c r="G30" s="3646" t="s">
        <v>4067</v>
      </c>
      <c r="H30" s="3646">
        <v>500</v>
      </c>
      <c r="I30" s="3646">
        <v>80012</v>
      </c>
    </row>
    <row r="31" spans="1:9" hidden="1">
      <c r="A31" s="3648">
        <v>45432</v>
      </c>
      <c r="B31" s="3646" t="s">
        <v>4071</v>
      </c>
      <c r="C31" s="3646">
        <v>62</v>
      </c>
      <c r="D31" s="3646" t="s">
        <v>4089</v>
      </c>
      <c r="E31" s="3646" t="s">
        <v>4090</v>
      </c>
      <c r="F31" s="3646">
        <v>488</v>
      </c>
      <c r="G31" s="3648">
        <v>45369</v>
      </c>
      <c r="H31" s="3646">
        <v>455</v>
      </c>
      <c r="I31" s="3646">
        <v>72951</v>
      </c>
    </row>
    <row r="32" spans="1:9" hidden="1">
      <c r="A32" s="3648">
        <v>45417</v>
      </c>
      <c r="B32" s="3646" t="s">
        <v>4075</v>
      </c>
      <c r="C32" s="3646">
        <v>80</v>
      </c>
      <c r="D32" s="3646" t="s">
        <v>4069</v>
      </c>
      <c r="E32" s="3646" t="s">
        <v>4070</v>
      </c>
      <c r="F32" s="3646">
        <v>860</v>
      </c>
      <c r="G32" s="3648">
        <v>45402</v>
      </c>
      <c r="H32" s="3646">
        <v>860</v>
      </c>
      <c r="I32" s="3646">
        <v>106872</v>
      </c>
    </row>
    <row r="33" spans="1:9" hidden="1">
      <c r="A33" s="3648">
        <v>45387</v>
      </c>
      <c r="B33" s="3646" t="s">
        <v>4071</v>
      </c>
      <c r="C33" s="3646">
        <v>57</v>
      </c>
      <c r="D33" s="3646" t="s">
        <v>4089</v>
      </c>
      <c r="E33" s="3646" t="s">
        <v>4091</v>
      </c>
      <c r="F33" s="3646">
        <v>510</v>
      </c>
      <c r="G33" s="3648">
        <v>45374</v>
      </c>
      <c r="H33" s="3646">
        <v>508</v>
      </c>
      <c r="I33" s="3646">
        <v>87813</v>
      </c>
    </row>
    <row r="34" spans="1:9" hidden="1">
      <c r="A34" s="3648">
        <v>45348</v>
      </c>
      <c r="B34" s="3646" t="s">
        <v>4075</v>
      </c>
      <c r="C34" s="3646">
        <v>77</v>
      </c>
      <c r="D34" s="3646" t="s">
        <v>4077</v>
      </c>
      <c r="E34" s="3646" t="s">
        <v>4088</v>
      </c>
      <c r="F34" s="3646">
        <v>795</v>
      </c>
      <c r="G34" s="3648">
        <v>45343</v>
      </c>
      <c r="H34" s="3646">
        <v>740</v>
      </c>
      <c r="I34" s="3646">
        <v>95054</v>
      </c>
    </row>
    <row r="35" spans="1:9" hidden="1">
      <c r="A35" s="3648">
        <v>45319</v>
      </c>
      <c r="B35" s="3646" t="s">
        <v>4079</v>
      </c>
      <c r="C35" s="3646">
        <v>72</v>
      </c>
      <c r="D35" s="3646" t="s">
        <v>4092</v>
      </c>
      <c r="E35" s="3646" t="s">
        <v>3942</v>
      </c>
      <c r="F35" s="3646">
        <v>620</v>
      </c>
      <c r="G35" s="3648">
        <v>45236</v>
      </c>
      <c r="H35" s="3646">
        <v>620</v>
      </c>
      <c r="I35" s="3646">
        <v>85884</v>
      </c>
    </row>
    <row r="36" spans="1:9" hidden="1">
      <c r="A36" s="3648">
        <v>45262</v>
      </c>
      <c r="B36" s="3646" t="s">
        <v>4075</v>
      </c>
      <c r="C36" s="3646">
        <v>66</v>
      </c>
      <c r="D36" s="3646" t="s">
        <v>4077</v>
      </c>
      <c r="E36" s="3646" t="s">
        <v>4078</v>
      </c>
      <c r="F36" s="3646">
        <v>630</v>
      </c>
      <c r="G36" s="3648">
        <v>45001</v>
      </c>
      <c r="H36" s="3646">
        <v>625</v>
      </c>
      <c r="I36" s="3646">
        <v>94368</v>
      </c>
    </row>
    <row r="37" spans="1:9" hidden="1">
      <c r="A37" s="3648">
        <v>45242</v>
      </c>
      <c r="B37" s="3646" t="s">
        <v>4071</v>
      </c>
      <c r="C37" s="3646">
        <v>107</v>
      </c>
      <c r="D37" s="3646" t="s">
        <v>4069</v>
      </c>
      <c r="E37" s="3646" t="s">
        <v>4070</v>
      </c>
      <c r="F37" s="3646">
        <v>1164</v>
      </c>
      <c r="G37" s="3648">
        <v>45188</v>
      </c>
      <c r="H37" s="3646">
        <v>1053</v>
      </c>
      <c r="I37" s="3646">
        <v>97744</v>
      </c>
    </row>
    <row r="38" spans="1:9" hidden="1">
      <c r="A38" s="3648">
        <v>45230</v>
      </c>
      <c r="B38" s="3646" t="s">
        <v>4079</v>
      </c>
      <c r="C38" s="3646">
        <v>48</v>
      </c>
      <c r="D38" s="3646" t="s">
        <v>4072</v>
      </c>
      <c r="E38" s="3646" t="s">
        <v>3459</v>
      </c>
      <c r="F38" s="3646">
        <v>530</v>
      </c>
      <c r="G38" s="3648">
        <v>45182</v>
      </c>
      <c r="H38" s="3646">
        <v>510</v>
      </c>
      <c r="I38" s="3646">
        <v>105393</v>
      </c>
    </row>
    <row r="39" spans="1:9" hidden="1">
      <c r="A39" s="3648">
        <v>45125</v>
      </c>
      <c r="B39" s="3646" t="s">
        <v>4071</v>
      </c>
      <c r="C39" s="3646">
        <v>69</v>
      </c>
      <c r="D39" s="3646" t="s">
        <v>4093</v>
      </c>
      <c r="E39" s="3646" t="s">
        <v>4073</v>
      </c>
      <c r="F39" s="3646">
        <v>820</v>
      </c>
      <c r="G39" s="3648">
        <v>45116</v>
      </c>
      <c r="H39" s="3646">
        <v>783</v>
      </c>
      <c r="I39" s="3646">
        <v>111985</v>
      </c>
    </row>
    <row r="40" spans="1:9" hidden="1">
      <c r="A40" s="3648">
        <v>45088</v>
      </c>
      <c r="B40" s="3646" t="s">
        <v>4094</v>
      </c>
      <c r="C40" s="3646">
        <v>77</v>
      </c>
      <c r="D40" s="3646" t="s">
        <v>4072</v>
      </c>
      <c r="E40" s="3646" t="s">
        <v>4070</v>
      </c>
      <c r="F40" s="3646">
        <v>900</v>
      </c>
      <c r="G40" s="3646" t="s">
        <v>4095</v>
      </c>
      <c r="H40" s="3646">
        <v>856</v>
      </c>
      <c r="I40" s="3646">
        <v>109955</v>
      </c>
    </row>
    <row r="41" spans="1:9" hidden="1">
      <c r="A41" s="3648">
        <v>44994</v>
      </c>
      <c r="B41" s="3646" t="s">
        <v>4079</v>
      </c>
      <c r="C41" s="3646">
        <v>54</v>
      </c>
      <c r="D41" s="3646" t="s">
        <v>4072</v>
      </c>
      <c r="E41" s="3646" t="s">
        <v>3463</v>
      </c>
      <c r="F41" s="3646">
        <v>656</v>
      </c>
      <c r="G41" s="3648">
        <v>44789</v>
      </c>
      <c r="H41" s="3646">
        <v>640</v>
      </c>
      <c r="I41" s="3646">
        <v>116448</v>
      </c>
    </row>
    <row r="42" spans="1:9" hidden="1">
      <c r="A42" s="3648">
        <v>44992</v>
      </c>
      <c r="B42" s="3646" t="s">
        <v>4071</v>
      </c>
      <c r="C42" s="3646">
        <v>57</v>
      </c>
      <c r="D42" s="3646" t="s">
        <v>4089</v>
      </c>
      <c r="E42" s="3646" t="s">
        <v>4070</v>
      </c>
      <c r="F42" s="3646">
        <v>690</v>
      </c>
      <c r="G42" s="3648">
        <v>44965</v>
      </c>
      <c r="H42" s="3646">
        <v>675</v>
      </c>
      <c r="I42" s="3646">
        <v>116681</v>
      </c>
    </row>
    <row r="43" spans="1:9" hidden="1">
      <c r="A43" s="3648">
        <v>44988</v>
      </c>
      <c r="B43" s="3646" t="s">
        <v>4079</v>
      </c>
      <c r="C43" s="3646">
        <v>48</v>
      </c>
      <c r="D43" s="3646" t="s">
        <v>4077</v>
      </c>
      <c r="E43" s="3646" t="s">
        <v>3459</v>
      </c>
      <c r="F43" s="3646">
        <v>590</v>
      </c>
      <c r="G43" s="3648">
        <v>44974</v>
      </c>
      <c r="H43" s="3646">
        <v>586</v>
      </c>
      <c r="I43" s="3646">
        <v>121099</v>
      </c>
    </row>
    <row r="44" spans="1:9" hidden="1">
      <c r="A44" s="3648">
        <v>44983</v>
      </c>
      <c r="B44" s="3646" t="s">
        <v>4075</v>
      </c>
      <c r="C44" s="3646">
        <v>80</v>
      </c>
      <c r="D44" s="3646" t="s">
        <v>4072</v>
      </c>
      <c r="E44" s="3646" t="s">
        <v>4096</v>
      </c>
      <c r="F44" s="3646">
        <v>970</v>
      </c>
      <c r="G44" s="3648">
        <v>44983</v>
      </c>
      <c r="H44" s="3646">
        <v>960</v>
      </c>
      <c r="I44" s="3646">
        <v>119581</v>
      </c>
    </row>
    <row r="45" spans="1:9" hidden="1">
      <c r="A45" s="3648">
        <v>44976</v>
      </c>
      <c r="B45" s="3646" t="s">
        <v>4065</v>
      </c>
      <c r="C45" s="3646">
        <v>43</v>
      </c>
      <c r="D45" s="3646" t="s">
        <v>4097</v>
      </c>
      <c r="E45" s="3646" t="s">
        <v>4098</v>
      </c>
      <c r="F45" s="3646">
        <v>0</v>
      </c>
      <c r="G45" s="3646" t="s">
        <v>4067</v>
      </c>
      <c r="H45" s="3646">
        <v>528</v>
      </c>
      <c r="I45" s="3646">
        <v>121563</v>
      </c>
    </row>
    <row r="46" spans="1:9" hidden="1">
      <c r="A46" s="3648">
        <v>44969</v>
      </c>
      <c r="B46" s="3646" t="s">
        <v>4075</v>
      </c>
      <c r="C46" s="3646">
        <v>102</v>
      </c>
      <c r="D46" s="3646" t="s">
        <v>4099</v>
      </c>
      <c r="E46" s="3646" t="s">
        <v>4100</v>
      </c>
      <c r="F46" s="3646">
        <v>1065</v>
      </c>
      <c r="G46" s="3648">
        <v>44801</v>
      </c>
      <c r="H46" s="3646">
        <v>1042</v>
      </c>
      <c r="I46" s="3646">
        <v>101363</v>
      </c>
    </row>
    <row r="47" spans="1:9" hidden="1">
      <c r="A47" s="3648">
        <v>44966</v>
      </c>
      <c r="B47" s="3646" t="s">
        <v>4079</v>
      </c>
      <c r="C47" s="3646">
        <v>39</v>
      </c>
      <c r="D47" s="3646" t="s">
        <v>4101</v>
      </c>
      <c r="E47" s="3646" t="s">
        <v>3459</v>
      </c>
      <c r="F47" s="3646">
        <v>540</v>
      </c>
      <c r="G47" s="3648">
        <v>44912</v>
      </c>
      <c r="H47" s="3646">
        <v>526</v>
      </c>
      <c r="I47" s="3646">
        <v>133672</v>
      </c>
    </row>
    <row r="48" spans="1:9" hidden="1">
      <c r="A48" s="3648">
        <v>44946</v>
      </c>
      <c r="B48" s="3646" t="s">
        <v>4079</v>
      </c>
      <c r="C48" s="3646">
        <v>42</v>
      </c>
      <c r="D48" s="3646" t="s">
        <v>4080</v>
      </c>
      <c r="E48" s="3646" t="s">
        <v>4102</v>
      </c>
      <c r="F48" s="3646">
        <v>549</v>
      </c>
      <c r="G48" s="3648">
        <v>44927</v>
      </c>
      <c r="H48" s="3646">
        <v>530</v>
      </c>
      <c r="I48" s="3646">
        <v>123486</v>
      </c>
    </row>
    <row r="49" spans="1:9" hidden="1">
      <c r="A49" s="3648">
        <v>44920</v>
      </c>
      <c r="B49" s="3646" t="s">
        <v>4079</v>
      </c>
      <c r="C49" s="3646">
        <v>42</v>
      </c>
      <c r="D49" s="3646" t="s">
        <v>4080</v>
      </c>
      <c r="E49" s="3646" t="s">
        <v>4102</v>
      </c>
      <c r="F49" s="3646">
        <v>535</v>
      </c>
      <c r="G49" s="3648">
        <v>44666</v>
      </c>
      <c r="H49" s="3646">
        <v>522</v>
      </c>
      <c r="I49" s="3646">
        <v>121622</v>
      </c>
    </row>
    <row r="50" spans="1:9" hidden="1">
      <c r="A50" s="3648">
        <v>44866</v>
      </c>
      <c r="B50" s="3646" t="s">
        <v>4079</v>
      </c>
      <c r="C50" s="3646">
        <v>48</v>
      </c>
      <c r="D50" s="3646" t="s">
        <v>4077</v>
      </c>
      <c r="E50" s="3646" t="s">
        <v>3459</v>
      </c>
      <c r="F50" s="3646">
        <v>585</v>
      </c>
      <c r="G50" s="3648">
        <v>44682</v>
      </c>
      <c r="H50" s="3646">
        <v>573</v>
      </c>
      <c r="I50" s="3646">
        <v>118413</v>
      </c>
    </row>
    <row r="51" spans="1:9" hidden="1">
      <c r="A51" s="3648">
        <v>44845</v>
      </c>
      <c r="B51" s="3646" t="s">
        <v>4071</v>
      </c>
      <c r="C51" s="3646">
        <v>44</v>
      </c>
      <c r="D51" s="3646" t="s">
        <v>4087</v>
      </c>
      <c r="E51" s="3646" t="s">
        <v>3459</v>
      </c>
      <c r="F51" s="3646">
        <v>588</v>
      </c>
      <c r="G51" s="3648">
        <v>44844</v>
      </c>
      <c r="H51" s="3646">
        <v>576</v>
      </c>
      <c r="I51" s="3646">
        <v>128371</v>
      </c>
    </row>
    <row r="52" spans="1:9" hidden="1">
      <c r="A52" s="3648">
        <v>44832</v>
      </c>
      <c r="B52" s="3646" t="s">
        <v>4071</v>
      </c>
      <c r="C52" s="3646">
        <v>68</v>
      </c>
      <c r="D52" s="3646" t="s">
        <v>4069</v>
      </c>
      <c r="E52" s="3646" t="s">
        <v>4073</v>
      </c>
      <c r="F52" s="3646">
        <v>860</v>
      </c>
      <c r="G52" s="3648">
        <v>44781</v>
      </c>
      <c r="H52" s="3646">
        <v>828</v>
      </c>
      <c r="I52" s="3646">
        <v>120894</v>
      </c>
    </row>
    <row r="53" spans="1:9" hidden="1">
      <c r="A53" s="3648">
        <v>44824</v>
      </c>
      <c r="B53" s="3646" t="s">
        <v>4083</v>
      </c>
      <c r="C53" s="3646">
        <v>90</v>
      </c>
      <c r="D53" s="3646" t="s">
        <v>4103</v>
      </c>
      <c r="E53" s="3646" t="s">
        <v>4073</v>
      </c>
      <c r="F53" s="3646">
        <v>0</v>
      </c>
      <c r="G53" s="3646" t="s">
        <v>4067</v>
      </c>
      <c r="H53" s="3646">
        <v>1088</v>
      </c>
      <c r="I53" s="3646">
        <v>119863</v>
      </c>
    </row>
    <row r="54" spans="1:9" hidden="1">
      <c r="A54" s="3648">
        <v>44790</v>
      </c>
      <c r="B54" s="3646" t="s">
        <v>4079</v>
      </c>
      <c r="C54" s="3646">
        <v>43</v>
      </c>
      <c r="D54" s="3646" t="s">
        <v>4104</v>
      </c>
      <c r="E54" s="3646" t="s">
        <v>4066</v>
      </c>
      <c r="F54" s="3646">
        <v>525</v>
      </c>
      <c r="G54" s="3648">
        <v>44725</v>
      </c>
      <c r="H54" s="3646">
        <v>510</v>
      </c>
      <c r="I54" s="3646">
        <v>117241</v>
      </c>
    </row>
    <row r="55" spans="1:9" hidden="1">
      <c r="A55" s="3648">
        <v>44782</v>
      </c>
      <c r="B55" s="3646" t="s">
        <v>4071</v>
      </c>
      <c r="C55" s="3646">
        <v>68</v>
      </c>
      <c r="D55" s="3646" t="s">
        <v>4105</v>
      </c>
      <c r="E55" s="3646" t="s">
        <v>4096</v>
      </c>
      <c r="F55" s="3646">
        <v>836</v>
      </c>
      <c r="G55" s="3648">
        <v>44632</v>
      </c>
      <c r="H55" s="3646">
        <v>812</v>
      </c>
      <c r="I55" s="3646">
        <v>118557</v>
      </c>
    </row>
    <row r="56" spans="1:9" hidden="1">
      <c r="A56" s="3648">
        <v>44781</v>
      </c>
      <c r="B56" s="3646" t="s">
        <v>4106</v>
      </c>
      <c r="C56" s="3646">
        <v>55</v>
      </c>
      <c r="D56" s="3646" t="s">
        <v>4069</v>
      </c>
      <c r="E56" s="3646" t="s">
        <v>3463</v>
      </c>
      <c r="F56" s="3646">
        <v>670</v>
      </c>
      <c r="G56" s="3648">
        <v>44682</v>
      </c>
      <c r="H56" s="3646">
        <v>661</v>
      </c>
      <c r="I56" s="3646">
        <v>119164</v>
      </c>
    </row>
    <row r="57" spans="1:9" hidden="1">
      <c r="A57" s="3648">
        <v>44781</v>
      </c>
      <c r="B57" s="3646" t="s">
        <v>4075</v>
      </c>
      <c r="C57" s="3646">
        <v>62</v>
      </c>
      <c r="D57" s="3646" t="s">
        <v>4104</v>
      </c>
      <c r="E57" s="3646" t="s">
        <v>4070</v>
      </c>
      <c r="F57" s="3646">
        <v>765</v>
      </c>
      <c r="G57" s="3648">
        <v>44617</v>
      </c>
      <c r="H57" s="3646">
        <v>750</v>
      </c>
      <c r="I57" s="3646">
        <v>119427</v>
      </c>
    </row>
    <row r="58" spans="1:9" hidden="1">
      <c r="A58" s="3648">
        <v>44759</v>
      </c>
      <c r="B58" s="3646" t="s">
        <v>4065</v>
      </c>
      <c r="C58" s="3646">
        <v>55</v>
      </c>
      <c r="D58" s="3646" t="s">
        <v>4107</v>
      </c>
      <c r="E58" s="3646" t="s">
        <v>4073</v>
      </c>
      <c r="F58" s="3646">
        <v>0</v>
      </c>
      <c r="G58" s="3646" t="s">
        <v>4067</v>
      </c>
      <c r="H58" s="3646">
        <v>600</v>
      </c>
      <c r="I58" s="3646">
        <v>108011</v>
      </c>
    </row>
    <row r="59" spans="1:9" hidden="1">
      <c r="A59" s="3648">
        <v>44669</v>
      </c>
      <c r="B59" s="3646" t="s">
        <v>4079</v>
      </c>
      <c r="C59" s="3646">
        <v>45</v>
      </c>
      <c r="D59" s="3646" t="s">
        <v>4108</v>
      </c>
      <c r="E59" s="3646" t="s">
        <v>3459</v>
      </c>
      <c r="F59" s="3646">
        <v>597</v>
      </c>
      <c r="G59" s="3648">
        <v>44633</v>
      </c>
      <c r="H59" s="3646">
        <v>585</v>
      </c>
      <c r="I59" s="3646">
        <v>127285</v>
      </c>
    </row>
    <row r="60" spans="1:9" hidden="1">
      <c r="A60" s="3648">
        <v>44660</v>
      </c>
      <c r="B60" s="3646" t="s">
        <v>4083</v>
      </c>
      <c r="C60" s="3646">
        <v>57</v>
      </c>
      <c r="D60" s="3646" t="s">
        <v>4097</v>
      </c>
      <c r="E60" s="3646" t="s">
        <v>4109</v>
      </c>
      <c r="F60" s="3646">
        <v>0</v>
      </c>
      <c r="G60" s="3646" t="s">
        <v>4067</v>
      </c>
      <c r="H60" s="3646">
        <v>634</v>
      </c>
      <c r="I60" s="3646">
        <v>109594</v>
      </c>
    </row>
    <row r="61" spans="1:9" hidden="1">
      <c r="A61" s="3648">
        <v>44660</v>
      </c>
      <c r="B61" s="3646" t="s">
        <v>4075</v>
      </c>
      <c r="C61" s="3646">
        <v>80</v>
      </c>
      <c r="D61" s="3646" t="s">
        <v>4077</v>
      </c>
      <c r="E61" s="3646" t="s">
        <v>4085</v>
      </c>
      <c r="F61" s="3646">
        <v>1030</v>
      </c>
      <c r="G61" s="3648">
        <v>44658</v>
      </c>
      <c r="H61" s="3646">
        <v>1020</v>
      </c>
      <c r="I61" s="3646">
        <v>126913</v>
      </c>
    </row>
    <row r="62" spans="1:9" hidden="1">
      <c r="A62" s="3648">
        <v>44655</v>
      </c>
      <c r="B62" s="3646" t="s">
        <v>4081</v>
      </c>
      <c r="C62" s="3646">
        <v>74</v>
      </c>
      <c r="D62" s="3646" t="s">
        <v>4110</v>
      </c>
      <c r="E62" s="3646" t="s">
        <v>4109</v>
      </c>
      <c r="F62" s="3646">
        <v>0</v>
      </c>
      <c r="G62" s="3646" t="s">
        <v>4067</v>
      </c>
      <c r="H62" s="3646">
        <v>847</v>
      </c>
      <c r="I62" s="3646">
        <v>114034</v>
      </c>
    </row>
    <row r="63" spans="1:9" hidden="1">
      <c r="A63" s="3648">
        <v>44611</v>
      </c>
      <c r="B63" s="3646" t="s">
        <v>4079</v>
      </c>
      <c r="C63" s="3646">
        <v>48</v>
      </c>
      <c r="D63" s="3646" t="s">
        <v>4077</v>
      </c>
      <c r="E63" s="3646" t="s">
        <v>3459</v>
      </c>
      <c r="F63" s="3646">
        <v>560</v>
      </c>
      <c r="G63" s="3648">
        <v>44600</v>
      </c>
      <c r="H63" s="3646">
        <v>549</v>
      </c>
      <c r="I63" s="3646">
        <v>113477</v>
      </c>
    </row>
    <row r="64" spans="1:9" hidden="1">
      <c r="A64" s="3648">
        <v>44589</v>
      </c>
      <c r="B64" s="3646" t="s">
        <v>4081</v>
      </c>
      <c r="C64" s="3646">
        <v>187</v>
      </c>
      <c r="D64" s="3646" t="s">
        <v>4110</v>
      </c>
      <c r="E64" s="3646" t="s">
        <v>4073</v>
      </c>
      <c r="F64" s="3646">
        <v>0</v>
      </c>
      <c r="G64" s="3646" t="s">
        <v>4067</v>
      </c>
      <c r="H64" s="3646">
        <v>1910</v>
      </c>
      <c r="I64" s="3646">
        <v>101780</v>
      </c>
    </row>
    <row r="65" spans="1:9" hidden="1">
      <c r="A65" s="3648">
        <v>44549</v>
      </c>
      <c r="B65" s="3646" t="s">
        <v>4065</v>
      </c>
      <c r="C65" s="3646">
        <v>50</v>
      </c>
      <c r="D65" s="3646" t="s">
        <v>4111</v>
      </c>
      <c r="E65" s="3646" t="s">
        <v>4073</v>
      </c>
      <c r="F65" s="3646">
        <v>0</v>
      </c>
      <c r="G65" s="3646" t="s">
        <v>4067</v>
      </c>
      <c r="H65" s="3646">
        <v>643</v>
      </c>
      <c r="I65" s="3646">
        <v>126675</v>
      </c>
    </row>
    <row r="66" spans="1:9" hidden="1">
      <c r="A66" s="3648">
        <v>44536</v>
      </c>
      <c r="B66" s="3646" t="s">
        <v>4075</v>
      </c>
      <c r="C66" s="3646">
        <v>77</v>
      </c>
      <c r="D66" s="3646" t="s">
        <v>4069</v>
      </c>
      <c r="E66" s="3646" t="s">
        <v>4070</v>
      </c>
      <c r="F66" s="3646">
        <v>220</v>
      </c>
      <c r="G66" s="3648">
        <v>44536</v>
      </c>
      <c r="H66" s="3646">
        <v>220</v>
      </c>
      <c r="I66" s="3646">
        <v>28259</v>
      </c>
    </row>
    <row r="67" spans="1:9" hidden="1">
      <c r="A67" s="3648">
        <v>44463</v>
      </c>
      <c r="B67" s="3646" t="s">
        <v>4075</v>
      </c>
      <c r="C67" s="3646">
        <v>80</v>
      </c>
      <c r="D67" s="3646" t="s">
        <v>4108</v>
      </c>
      <c r="E67" s="3646" t="s">
        <v>4112</v>
      </c>
      <c r="F67" s="3646">
        <v>0</v>
      </c>
      <c r="G67" s="3646" t="s">
        <v>4113</v>
      </c>
      <c r="H67" s="3646">
        <v>990</v>
      </c>
      <c r="I67" s="3646">
        <v>123181</v>
      </c>
    </row>
    <row r="68" spans="1:9" hidden="1">
      <c r="A68" s="3648">
        <v>44441</v>
      </c>
      <c r="B68" s="3646" t="s">
        <v>4084</v>
      </c>
      <c r="C68" s="3646">
        <v>102</v>
      </c>
      <c r="D68" s="3646" t="s">
        <v>4103</v>
      </c>
      <c r="E68" s="3646" t="s">
        <v>4078</v>
      </c>
      <c r="F68" s="3646">
        <v>0</v>
      </c>
      <c r="G68" s="3646" t="s">
        <v>4067</v>
      </c>
      <c r="H68" s="3646">
        <v>1118</v>
      </c>
      <c r="I68" s="3646">
        <v>108808</v>
      </c>
    </row>
    <row r="69" spans="1:9" hidden="1">
      <c r="A69" s="3648">
        <v>44374</v>
      </c>
      <c r="B69" s="3646" t="s">
        <v>4075</v>
      </c>
      <c r="C69" s="3646">
        <v>99</v>
      </c>
      <c r="D69" s="3646" t="s">
        <v>4114</v>
      </c>
      <c r="E69" s="3646" t="s">
        <v>4115</v>
      </c>
      <c r="F69" s="3646">
        <v>1160</v>
      </c>
      <c r="G69" s="3648">
        <v>44264</v>
      </c>
      <c r="H69" s="3646">
        <v>1116</v>
      </c>
      <c r="I69" s="3646">
        <v>112376</v>
      </c>
    </row>
    <row r="70" spans="1:9" hidden="1">
      <c r="A70" s="3648">
        <v>44359</v>
      </c>
      <c r="B70" s="3646" t="s">
        <v>4079</v>
      </c>
      <c r="C70" s="3646">
        <v>43</v>
      </c>
      <c r="D70" s="3646" t="s">
        <v>4116</v>
      </c>
      <c r="E70" s="3646" t="s">
        <v>4100</v>
      </c>
      <c r="F70" s="3646">
        <v>530</v>
      </c>
      <c r="G70" s="3648">
        <v>44269</v>
      </c>
      <c r="H70" s="3646">
        <v>518</v>
      </c>
      <c r="I70" s="3646">
        <v>119081</v>
      </c>
    </row>
    <row r="71" spans="1:9" hidden="1">
      <c r="A71" s="3648">
        <v>44352</v>
      </c>
      <c r="B71" s="3646" t="s">
        <v>4071</v>
      </c>
      <c r="C71" s="3646">
        <v>57</v>
      </c>
      <c r="D71" s="3646" t="s">
        <v>4117</v>
      </c>
      <c r="E71" s="3646" t="s">
        <v>4070</v>
      </c>
      <c r="F71" s="3646">
        <v>675</v>
      </c>
      <c r="G71" s="3648">
        <v>44316</v>
      </c>
      <c r="H71" s="3646">
        <v>645</v>
      </c>
      <c r="I71" s="3646">
        <v>111496</v>
      </c>
    </row>
    <row r="72" spans="1:9" hidden="1">
      <c r="A72" s="3648">
        <v>44352</v>
      </c>
      <c r="B72" s="3646" t="s">
        <v>4079</v>
      </c>
      <c r="C72" s="3646">
        <v>32</v>
      </c>
      <c r="D72" s="3646" t="s">
        <v>4074</v>
      </c>
      <c r="E72" s="3646" t="s">
        <v>3459</v>
      </c>
      <c r="F72" s="3646">
        <v>495</v>
      </c>
      <c r="G72" s="3648">
        <v>44348</v>
      </c>
      <c r="H72" s="3646">
        <v>492</v>
      </c>
      <c r="I72" s="3646">
        <v>150183</v>
      </c>
    </row>
    <row r="73" spans="1:9" hidden="1">
      <c r="A73" s="3648">
        <v>44352</v>
      </c>
      <c r="B73" s="3646" t="s">
        <v>4071</v>
      </c>
      <c r="C73" s="3646">
        <v>46</v>
      </c>
      <c r="D73" s="3646" t="s">
        <v>4118</v>
      </c>
      <c r="E73" s="3646" t="s">
        <v>4070</v>
      </c>
      <c r="F73" s="3646">
        <v>620</v>
      </c>
      <c r="G73" s="3648">
        <v>44260</v>
      </c>
      <c r="H73" s="3646">
        <v>599</v>
      </c>
      <c r="I73" s="3646">
        <v>127637</v>
      </c>
    </row>
    <row r="74" spans="1:9" hidden="1">
      <c r="A74" s="3648">
        <v>44339</v>
      </c>
      <c r="B74" s="3646" t="s">
        <v>4071</v>
      </c>
      <c r="C74" s="3646">
        <v>89</v>
      </c>
      <c r="D74" s="3646" t="s">
        <v>4119</v>
      </c>
      <c r="E74" s="3646" t="s">
        <v>4066</v>
      </c>
      <c r="F74" s="3646">
        <v>856</v>
      </c>
      <c r="G74" s="3648">
        <v>43975</v>
      </c>
      <c r="H74" s="3646">
        <v>850</v>
      </c>
      <c r="I74" s="3646">
        <v>94487</v>
      </c>
    </row>
    <row r="75" spans="1:9" hidden="1">
      <c r="A75" s="3648">
        <v>44335</v>
      </c>
      <c r="B75" s="3646" t="s">
        <v>4079</v>
      </c>
      <c r="C75" s="3646">
        <v>61</v>
      </c>
      <c r="D75" s="3646" t="s">
        <v>4092</v>
      </c>
      <c r="E75" s="3646" t="s">
        <v>3942</v>
      </c>
      <c r="F75" s="3646">
        <v>617</v>
      </c>
      <c r="G75" s="3648">
        <v>44292</v>
      </c>
      <c r="H75" s="3646">
        <v>605</v>
      </c>
      <c r="I75" s="3646">
        <v>98166</v>
      </c>
    </row>
    <row r="76" spans="1:9" hidden="1">
      <c r="A76" s="3648">
        <v>44321</v>
      </c>
      <c r="B76" s="3646" t="s">
        <v>4079</v>
      </c>
      <c r="C76" s="3646">
        <v>52</v>
      </c>
      <c r="D76" s="3646" t="s">
        <v>4120</v>
      </c>
      <c r="E76" s="3646" t="s">
        <v>4073</v>
      </c>
      <c r="F76" s="3646">
        <v>598</v>
      </c>
      <c r="G76" s="3648">
        <v>44299</v>
      </c>
      <c r="H76" s="3646">
        <v>598</v>
      </c>
      <c r="I76" s="3646">
        <v>114057</v>
      </c>
    </row>
    <row r="77" spans="1:9" hidden="1">
      <c r="A77" s="3648">
        <v>44304</v>
      </c>
      <c r="B77" s="3646" t="s">
        <v>4071</v>
      </c>
      <c r="C77" s="3646">
        <v>61</v>
      </c>
      <c r="D77" s="3646" t="s">
        <v>4108</v>
      </c>
      <c r="E77" s="3646" t="s">
        <v>3459</v>
      </c>
      <c r="F77" s="3646">
        <v>680</v>
      </c>
      <c r="G77" s="3648">
        <v>44299</v>
      </c>
      <c r="H77" s="3646">
        <v>680</v>
      </c>
      <c r="I77" s="3646">
        <v>111330</v>
      </c>
    </row>
    <row r="78" spans="1:9" hidden="1">
      <c r="A78" s="3648">
        <v>44269</v>
      </c>
      <c r="B78" s="3646" t="s">
        <v>4121</v>
      </c>
      <c r="C78" s="3646">
        <v>50</v>
      </c>
      <c r="D78" s="3646" t="s">
        <v>4122</v>
      </c>
      <c r="E78" s="3646" t="s">
        <v>3459</v>
      </c>
      <c r="F78" s="3646">
        <v>530</v>
      </c>
      <c r="G78" s="3648">
        <v>43649</v>
      </c>
      <c r="H78" s="3646">
        <v>524</v>
      </c>
      <c r="I78" s="3646">
        <v>104591</v>
      </c>
    </row>
    <row r="79" spans="1:9" hidden="1">
      <c r="A79" s="3648">
        <v>44251</v>
      </c>
      <c r="B79" s="3646" t="s">
        <v>4123</v>
      </c>
      <c r="C79" s="3646">
        <v>62</v>
      </c>
      <c r="D79" s="3646" t="s">
        <v>4124</v>
      </c>
      <c r="E79" s="3646" t="s">
        <v>4070</v>
      </c>
      <c r="F79" s="3646">
        <v>770</v>
      </c>
      <c r="G79" s="3648">
        <v>44243</v>
      </c>
      <c r="H79" s="3646">
        <v>750</v>
      </c>
      <c r="I79" s="3646">
        <v>120020</v>
      </c>
    </row>
    <row r="80" spans="1:9" hidden="1">
      <c r="A80" s="3648">
        <v>44227</v>
      </c>
      <c r="B80" s="3646" t="s">
        <v>4071</v>
      </c>
      <c r="C80" s="3646">
        <v>77</v>
      </c>
      <c r="D80" s="3646" t="s">
        <v>4107</v>
      </c>
      <c r="E80" s="3646" t="s">
        <v>4091</v>
      </c>
      <c r="F80" s="3646">
        <v>750</v>
      </c>
      <c r="G80" s="3648">
        <v>44226</v>
      </c>
      <c r="H80" s="3646">
        <v>731</v>
      </c>
      <c r="I80" s="3646">
        <v>93899</v>
      </c>
    </row>
    <row r="81" spans="1:9" hidden="1">
      <c r="A81" s="3648">
        <v>44219</v>
      </c>
      <c r="B81" s="3646" t="s">
        <v>4121</v>
      </c>
      <c r="C81" s="3646">
        <v>48</v>
      </c>
      <c r="D81" s="3646" t="s">
        <v>4107</v>
      </c>
      <c r="E81" s="3646" t="s">
        <v>3459</v>
      </c>
      <c r="F81" s="3646">
        <v>520</v>
      </c>
      <c r="G81" s="3648">
        <v>44190</v>
      </c>
      <c r="H81" s="3646">
        <v>510</v>
      </c>
      <c r="I81" s="3646">
        <v>105394</v>
      </c>
    </row>
    <row r="82" spans="1:9" hidden="1">
      <c r="A82" s="3648">
        <v>44213</v>
      </c>
      <c r="B82" s="3646" t="s">
        <v>4083</v>
      </c>
      <c r="C82" s="3646">
        <v>61</v>
      </c>
      <c r="D82" s="3646" t="s">
        <v>4107</v>
      </c>
      <c r="E82" s="3646" t="s">
        <v>3459</v>
      </c>
      <c r="F82" s="3646">
        <v>0</v>
      </c>
      <c r="G82" s="3646" t="s">
        <v>4067</v>
      </c>
      <c r="H82" s="3646">
        <v>598</v>
      </c>
      <c r="I82" s="3646">
        <v>97904</v>
      </c>
    </row>
    <row r="83" spans="1:9" hidden="1">
      <c r="A83" s="3648">
        <v>44203</v>
      </c>
      <c r="B83" s="3646" t="s">
        <v>4071</v>
      </c>
      <c r="C83" s="3646">
        <v>69</v>
      </c>
      <c r="D83" s="3646" t="s">
        <v>4110</v>
      </c>
      <c r="E83" s="3646" t="s">
        <v>3463</v>
      </c>
      <c r="F83" s="3646">
        <v>750</v>
      </c>
      <c r="G83" s="3648">
        <v>44200</v>
      </c>
      <c r="H83" s="3646">
        <v>720</v>
      </c>
      <c r="I83" s="3646">
        <v>103034</v>
      </c>
    </row>
    <row r="84" spans="1:9" hidden="1">
      <c r="A84" s="3648">
        <v>44181</v>
      </c>
      <c r="B84" s="3646" t="s">
        <v>4065</v>
      </c>
      <c r="C84" s="3646">
        <v>55</v>
      </c>
      <c r="D84" s="3646" t="s">
        <v>4110</v>
      </c>
      <c r="E84" s="3646" t="s">
        <v>3459</v>
      </c>
      <c r="F84" s="3646">
        <v>0</v>
      </c>
      <c r="G84" s="3646" t="s">
        <v>4067</v>
      </c>
      <c r="H84" s="3646">
        <v>161</v>
      </c>
      <c r="I84" s="3646">
        <v>28983</v>
      </c>
    </row>
    <row r="85" spans="1:9" hidden="1">
      <c r="A85" s="3648">
        <v>44178</v>
      </c>
      <c r="B85" s="3646" t="s">
        <v>4121</v>
      </c>
      <c r="C85" s="3646">
        <v>48</v>
      </c>
      <c r="D85" s="3646" t="s">
        <v>4110</v>
      </c>
      <c r="E85" s="3646" t="s">
        <v>3459</v>
      </c>
      <c r="F85" s="3646">
        <v>510</v>
      </c>
      <c r="G85" s="3648">
        <v>44162</v>
      </c>
      <c r="H85" s="3646">
        <v>502</v>
      </c>
      <c r="I85" s="3646">
        <v>103844</v>
      </c>
    </row>
    <row r="86" spans="1:9" hidden="1">
      <c r="A86" s="3648">
        <v>44167</v>
      </c>
      <c r="B86" s="3646" t="s">
        <v>4083</v>
      </c>
      <c r="C86" s="3646">
        <v>120</v>
      </c>
      <c r="D86" s="3646" t="s">
        <v>4110</v>
      </c>
      <c r="E86" s="3646" t="s">
        <v>3463</v>
      </c>
      <c r="F86" s="3646">
        <v>0</v>
      </c>
      <c r="G86" s="3646" t="s">
        <v>4067</v>
      </c>
      <c r="H86" s="3646">
        <v>1191</v>
      </c>
      <c r="I86" s="3646">
        <v>98454</v>
      </c>
    </row>
    <row r="87" spans="1:9" hidden="1">
      <c r="A87" s="3648">
        <v>44143</v>
      </c>
      <c r="B87" s="3646" t="s">
        <v>4125</v>
      </c>
      <c r="C87" s="3646">
        <v>107</v>
      </c>
      <c r="D87" s="3646" t="s">
        <v>4107</v>
      </c>
      <c r="E87" s="3646" t="s">
        <v>4109</v>
      </c>
      <c r="F87" s="3646">
        <v>0</v>
      </c>
      <c r="G87" s="3646" t="s">
        <v>4067</v>
      </c>
      <c r="H87" s="3646">
        <v>1035</v>
      </c>
      <c r="I87" s="3646">
        <v>96074</v>
      </c>
    </row>
    <row r="88" spans="1:9" hidden="1">
      <c r="A88" s="3648">
        <v>44136</v>
      </c>
      <c r="B88" s="3646" t="s">
        <v>4065</v>
      </c>
      <c r="C88" s="3646">
        <v>44</v>
      </c>
      <c r="D88" s="3646" t="s">
        <v>4107</v>
      </c>
      <c r="E88" s="3646" t="s">
        <v>3459</v>
      </c>
      <c r="F88" s="3646">
        <v>0</v>
      </c>
      <c r="G88" s="3646" t="s">
        <v>4067</v>
      </c>
      <c r="H88" s="3646">
        <v>443</v>
      </c>
      <c r="I88" s="3646">
        <v>100682</v>
      </c>
    </row>
    <row r="89" spans="1:9" hidden="1">
      <c r="A89" s="3648">
        <v>44127</v>
      </c>
      <c r="B89" s="3646" t="s">
        <v>4121</v>
      </c>
      <c r="C89" s="3646">
        <v>42</v>
      </c>
      <c r="D89" s="3646" t="s">
        <v>4126</v>
      </c>
      <c r="E89" s="3646" t="s">
        <v>4100</v>
      </c>
      <c r="F89" s="3646">
        <v>450</v>
      </c>
      <c r="G89" s="3648">
        <v>44062</v>
      </c>
      <c r="H89" s="3646">
        <v>443</v>
      </c>
      <c r="I89" s="3646">
        <v>103216</v>
      </c>
    </row>
    <row r="90" spans="1:9" hidden="1">
      <c r="A90" s="3648">
        <v>44056</v>
      </c>
      <c r="B90" s="3646" t="s">
        <v>4071</v>
      </c>
      <c r="C90" s="3646">
        <v>46</v>
      </c>
      <c r="D90" s="3646" t="s">
        <v>4127</v>
      </c>
      <c r="E90" s="3646" t="s">
        <v>4070</v>
      </c>
      <c r="F90" s="3646">
        <v>480</v>
      </c>
      <c r="G90" s="3648">
        <v>44054</v>
      </c>
      <c r="H90" s="3646">
        <v>469</v>
      </c>
      <c r="I90" s="3646">
        <v>100580</v>
      </c>
    </row>
    <row r="91" spans="1:9" hidden="1">
      <c r="A91" s="3648">
        <v>44023</v>
      </c>
      <c r="B91" s="3646" t="s">
        <v>4121</v>
      </c>
      <c r="C91" s="3646">
        <v>54</v>
      </c>
      <c r="D91" s="3646" t="s">
        <v>4128</v>
      </c>
      <c r="E91" s="3646" t="s">
        <v>3459</v>
      </c>
      <c r="F91" s="3646">
        <v>508</v>
      </c>
      <c r="G91" s="3648">
        <v>43776</v>
      </c>
      <c r="H91" s="3646">
        <v>486</v>
      </c>
      <c r="I91" s="3646">
        <v>88816</v>
      </c>
    </row>
    <row r="92" spans="1:9" hidden="1">
      <c r="A92" s="3648">
        <v>44011</v>
      </c>
      <c r="B92" s="3646" t="s">
        <v>4081</v>
      </c>
      <c r="C92" s="3646">
        <v>74</v>
      </c>
      <c r="D92" s="3646" t="s">
        <v>4107</v>
      </c>
      <c r="E92" s="3646" t="s">
        <v>4109</v>
      </c>
      <c r="F92" s="3646">
        <v>0</v>
      </c>
      <c r="G92" s="3646" t="s">
        <v>4067</v>
      </c>
      <c r="H92" s="3646">
        <v>800</v>
      </c>
      <c r="I92" s="3646">
        <v>107643</v>
      </c>
    </row>
    <row r="93" spans="1:9" hidden="1">
      <c r="A93" s="3648">
        <v>44002</v>
      </c>
      <c r="B93" s="3646" t="s">
        <v>4065</v>
      </c>
      <c r="C93" s="3646">
        <v>45</v>
      </c>
      <c r="D93" s="3646" t="s">
        <v>4110</v>
      </c>
      <c r="E93" s="3646" t="s">
        <v>3459</v>
      </c>
      <c r="F93" s="3646">
        <v>0</v>
      </c>
      <c r="G93" s="3646" t="s">
        <v>4067</v>
      </c>
      <c r="H93" s="3646">
        <v>485</v>
      </c>
      <c r="I93" s="3646">
        <v>105527</v>
      </c>
    </row>
    <row r="94" spans="1:9" hidden="1">
      <c r="A94" s="3648">
        <v>43996</v>
      </c>
      <c r="B94" s="3646" t="s">
        <v>4129</v>
      </c>
      <c r="C94" s="3646">
        <v>68</v>
      </c>
      <c r="D94" s="3646" t="s">
        <v>4111</v>
      </c>
      <c r="E94" s="3646" t="s">
        <v>3459</v>
      </c>
      <c r="F94" s="3646">
        <v>698</v>
      </c>
      <c r="G94" s="3648">
        <v>43703</v>
      </c>
      <c r="H94" s="3646">
        <v>662</v>
      </c>
      <c r="I94" s="3646">
        <v>96657</v>
      </c>
    </row>
    <row r="95" spans="1:9" hidden="1">
      <c r="A95" s="3648">
        <v>43988</v>
      </c>
      <c r="B95" s="3646" t="s">
        <v>4083</v>
      </c>
      <c r="C95" s="3646">
        <v>69</v>
      </c>
      <c r="D95" s="3646" t="s">
        <v>4110</v>
      </c>
      <c r="E95" s="3646" t="s">
        <v>3463</v>
      </c>
      <c r="F95" s="3646">
        <v>0</v>
      </c>
      <c r="G95" s="3646" t="s">
        <v>4067</v>
      </c>
      <c r="H95" s="3646">
        <v>700</v>
      </c>
      <c r="I95" s="3646">
        <v>100172</v>
      </c>
    </row>
    <row r="96" spans="1:9" hidden="1">
      <c r="A96" s="3648">
        <v>43971</v>
      </c>
      <c r="B96" s="3646" t="s">
        <v>4081</v>
      </c>
      <c r="C96" s="3646">
        <v>62</v>
      </c>
      <c r="D96" s="3646" t="s">
        <v>4126</v>
      </c>
      <c r="E96" s="3646" t="s">
        <v>4109</v>
      </c>
      <c r="F96" s="3646">
        <v>0</v>
      </c>
      <c r="G96" s="3646" t="s">
        <v>4067</v>
      </c>
      <c r="H96" s="3646">
        <v>700</v>
      </c>
      <c r="I96" s="3646">
        <v>112018</v>
      </c>
    </row>
    <row r="97" spans="1:9" hidden="1">
      <c r="A97" s="3648">
        <v>43965</v>
      </c>
      <c r="B97" s="3646" t="s">
        <v>4123</v>
      </c>
      <c r="C97" s="3646">
        <v>80</v>
      </c>
      <c r="D97" s="3646" t="s">
        <v>4107</v>
      </c>
      <c r="E97" s="3646" t="s">
        <v>4130</v>
      </c>
      <c r="F97" s="3646">
        <v>859</v>
      </c>
      <c r="G97" s="3648">
        <v>43811</v>
      </c>
      <c r="H97" s="3646">
        <v>850</v>
      </c>
      <c r="I97" s="3646">
        <v>105761</v>
      </c>
    </row>
    <row r="98" spans="1:9" hidden="1">
      <c r="A98" s="3648">
        <v>43961</v>
      </c>
      <c r="B98" s="3646" t="s">
        <v>4125</v>
      </c>
      <c r="C98" s="3646">
        <v>120</v>
      </c>
      <c r="D98" s="3646" t="s">
        <v>4111</v>
      </c>
      <c r="E98" s="3646" t="s">
        <v>3463</v>
      </c>
      <c r="F98" s="3646">
        <v>0</v>
      </c>
      <c r="G98" s="3646" t="s">
        <v>4067</v>
      </c>
      <c r="H98" s="3646">
        <v>1155</v>
      </c>
      <c r="I98" s="3646">
        <v>95478</v>
      </c>
    </row>
    <row r="99" spans="1:9" hidden="1">
      <c r="A99" s="3648">
        <v>43961</v>
      </c>
      <c r="B99" s="3646" t="s">
        <v>4131</v>
      </c>
      <c r="C99" s="3646">
        <v>227</v>
      </c>
      <c r="D99" s="3646" t="s">
        <v>4111</v>
      </c>
      <c r="E99" s="3649"/>
      <c r="F99" s="3646">
        <v>0</v>
      </c>
      <c r="G99" s="3646" t="s">
        <v>4067</v>
      </c>
      <c r="H99" s="3646">
        <v>1725</v>
      </c>
      <c r="I99" s="3646">
        <v>75678</v>
      </c>
    </row>
    <row r="100" spans="1:9" hidden="1">
      <c r="A100" s="3648">
        <v>43959</v>
      </c>
      <c r="B100" s="3646" t="s">
        <v>4129</v>
      </c>
      <c r="C100" s="3646">
        <v>50</v>
      </c>
      <c r="D100" s="3646" t="s">
        <v>4111</v>
      </c>
      <c r="E100" s="3646" t="s">
        <v>4073</v>
      </c>
      <c r="F100" s="3646">
        <v>538</v>
      </c>
      <c r="G100" s="3648">
        <v>43893</v>
      </c>
      <c r="H100" s="3646">
        <v>528</v>
      </c>
      <c r="I100" s="3646">
        <v>104019</v>
      </c>
    </row>
    <row r="101" spans="1:9" hidden="1">
      <c r="A101" s="3648">
        <v>43956</v>
      </c>
      <c r="B101" s="3646" t="s">
        <v>4129</v>
      </c>
      <c r="C101" s="3646">
        <v>73</v>
      </c>
      <c r="D101" s="3646" t="s">
        <v>4111</v>
      </c>
      <c r="E101" s="3646" t="s">
        <v>4073</v>
      </c>
      <c r="F101" s="3646">
        <v>770</v>
      </c>
      <c r="G101" s="3648">
        <v>43765</v>
      </c>
      <c r="H101" s="3646">
        <v>750</v>
      </c>
      <c r="I101" s="3646">
        <v>102221</v>
      </c>
    </row>
    <row r="102" spans="1:9" hidden="1">
      <c r="A102" s="3648">
        <v>43943</v>
      </c>
      <c r="B102" s="3646" t="s">
        <v>4123</v>
      </c>
      <c r="C102" s="3646">
        <v>66</v>
      </c>
      <c r="D102" s="3646" t="s">
        <v>4111</v>
      </c>
      <c r="E102" s="3646" t="s">
        <v>4100</v>
      </c>
      <c r="F102" s="3646">
        <v>658</v>
      </c>
      <c r="G102" s="3648">
        <v>43795</v>
      </c>
      <c r="H102" s="3646">
        <v>645</v>
      </c>
      <c r="I102" s="3646">
        <v>97388</v>
      </c>
    </row>
    <row r="103" spans="1:9" hidden="1">
      <c r="A103" s="3648">
        <v>43943</v>
      </c>
      <c r="B103" s="3646" t="s">
        <v>4081</v>
      </c>
      <c r="C103" s="3646">
        <v>62</v>
      </c>
      <c r="D103" s="3646" t="s">
        <v>4126</v>
      </c>
      <c r="E103" s="3646" t="s">
        <v>4109</v>
      </c>
      <c r="F103" s="3646">
        <v>0</v>
      </c>
      <c r="G103" s="3646" t="s">
        <v>4067</v>
      </c>
      <c r="H103" s="3646">
        <v>700</v>
      </c>
      <c r="I103" s="3646">
        <v>112018</v>
      </c>
    </row>
    <row r="104" spans="1:9" hidden="1">
      <c r="A104" s="3648">
        <v>43927</v>
      </c>
      <c r="B104" s="3646" t="s">
        <v>4065</v>
      </c>
      <c r="C104" s="3646">
        <v>61</v>
      </c>
      <c r="D104" s="3646" t="s">
        <v>4103</v>
      </c>
      <c r="E104" s="3646" t="s">
        <v>3942</v>
      </c>
      <c r="F104" s="3646">
        <v>0</v>
      </c>
      <c r="G104" s="3646" t="s">
        <v>4067</v>
      </c>
      <c r="H104" s="3646">
        <v>569</v>
      </c>
      <c r="I104" s="3646">
        <v>92325</v>
      </c>
    </row>
    <row r="105" spans="1:9" hidden="1">
      <c r="A105" s="3648">
        <v>43926</v>
      </c>
      <c r="B105" s="3646" t="s">
        <v>4083</v>
      </c>
      <c r="C105" s="3646">
        <v>44</v>
      </c>
      <c r="D105" s="3646" t="s">
        <v>4132</v>
      </c>
      <c r="E105" s="3646" t="s">
        <v>3459</v>
      </c>
      <c r="F105" s="3646">
        <v>0</v>
      </c>
      <c r="G105" s="3646" t="s">
        <v>4067</v>
      </c>
      <c r="H105" s="3646">
        <v>463</v>
      </c>
      <c r="I105" s="3646">
        <v>103187</v>
      </c>
    </row>
    <row r="106" spans="1:9" hidden="1">
      <c r="A106" s="3648">
        <v>43837</v>
      </c>
      <c r="B106" s="3646" t="s">
        <v>4123</v>
      </c>
      <c r="C106" s="3646">
        <v>80</v>
      </c>
      <c r="D106" s="3646" t="s">
        <v>4110</v>
      </c>
      <c r="E106" s="3646" t="s">
        <v>4073</v>
      </c>
      <c r="F106" s="3646">
        <v>880</v>
      </c>
      <c r="G106" s="3648">
        <v>43802</v>
      </c>
      <c r="H106" s="3646">
        <v>860</v>
      </c>
      <c r="I106" s="3646">
        <v>106873</v>
      </c>
    </row>
    <row r="107" spans="1:9" hidden="1">
      <c r="A107" s="3648">
        <v>43835</v>
      </c>
      <c r="B107" s="3646" t="s">
        <v>4083</v>
      </c>
      <c r="C107" s="3646">
        <v>74</v>
      </c>
      <c r="D107" s="3646" t="s">
        <v>4110</v>
      </c>
      <c r="E107" s="3646" t="s">
        <v>4109</v>
      </c>
      <c r="F107" s="3646">
        <v>0</v>
      </c>
      <c r="G107" s="3646" t="s">
        <v>4067</v>
      </c>
      <c r="H107" s="3646">
        <v>752</v>
      </c>
      <c r="I107" s="3646">
        <v>101184</v>
      </c>
    </row>
    <row r="108" spans="1:9" hidden="1">
      <c r="A108" s="3648">
        <v>43830</v>
      </c>
      <c r="B108" s="3646" t="s">
        <v>4133</v>
      </c>
      <c r="C108" s="3646">
        <v>185</v>
      </c>
      <c r="D108" s="3646" t="s">
        <v>4111</v>
      </c>
      <c r="E108" s="3646" t="s">
        <v>3463</v>
      </c>
      <c r="F108" s="3646">
        <v>1600</v>
      </c>
      <c r="G108" s="3648">
        <v>42971</v>
      </c>
      <c r="H108" s="3646">
        <v>1475</v>
      </c>
      <c r="I108" s="3646">
        <v>79472</v>
      </c>
    </row>
    <row r="109" spans="1:9" hidden="1">
      <c r="A109" s="3648">
        <v>43828</v>
      </c>
      <c r="B109" s="3646" t="s">
        <v>4065</v>
      </c>
      <c r="C109" s="3646">
        <v>39</v>
      </c>
      <c r="D109" s="3646" t="s">
        <v>4097</v>
      </c>
      <c r="E109" s="3646" t="s">
        <v>3459</v>
      </c>
      <c r="F109" s="3646">
        <v>0</v>
      </c>
      <c r="G109" s="3649"/>
      <c r="H109" s="3646">
        <v>428</v>
      </c>
      <c r="I109" s="3646">
        <v>108767</v>
      </c>
    </row>
    <row r="110" spans="1:9" hidden="1">
      <c r="A110" s="3648">
        <v>43827</v>
      </c>
      <c r="B110" s="3646" t="s">
        <v>4123</v>
      </c>
      <c r="C110" s="3646">
        <v>80</v>
      </c>
      <c r="D110" s="3646" t="s">
        <v>4110</v>
      </c>
      <c r="E110" s="3646" t="s">
        <v>4091</v>
      </c>
      <c r="F110" s="3646">
        <v>880</v>
      </c>
      <c r="G110" s="3648">
        <v>43763</v>
      </c>
      <c r="H110" s="3646">
        <v>833</v>
      </c>
      <c r="I110" s="3646">
        <v>103504</v>
      </c>
    </row>
    <row r="111" spans="1:9" hidden="1">
      <c r="A111" s="3648">
        <v>43824</v>
      </c>
      <c r="B111" s="3646" t="s">
        <v>4134</v>
      </c>
      <c r="C111" s="3646">
        <v>185</v>
      </c>
      <c r="D111" s="3646" t="s">
        <v>4110</v>
      </c>
      <c r="E111" s="3646" t="s">
        <v>3463</v>
      </c>
      <c r="F111" s="3646">
        <v>1650</v>
      </c>
      <c r="G111" s="3648">
        <v>43798</v>
      </c>
      <c r="H111" s="3646">
        <v>1420</v>
      </c>
      <c r="I111" s="3646">
        <v>76509</v>
      </c>
    </row>
    <row r="112" spans="1:9" hidden="1">
      <c r="A112" s="3648">
        <v>43819</v>
      </c>
      <c r="B112" s="3646" t="s">
        <v>4121</v>
      </c>
      <c r="C112" s="3646">
        <v>50</v>
      </c>
      <c r="D112" s="3646" t="s">
        <v>4110</v>
      </c>
      <c r="E112" s="3646" t="s">
        <v>4073</v>
      </c>
      <c r="F112" s="3646">
        <v>535</v>
      </c>
      <c r="G112" s="3648">
        <v>43783</v>
      </c>
      <c r="H112" s="3646">
        <v>530</v>
      </c>
      <c r="I112" s="3646">
        <v>104413</v>
      </c>
    </row>
    <row r="113" spans="1:9" hidden="1">
      <c r="A113" s="3648">
        <v>43779</v>
      </c>
      <c r="B113" s="3646" t="s">
        <v>4065</v>
      </c>
      <c r="C113" s="3646">
        <v>54</v>
      </c>
      <c r="D113" s="3646" t="s">
        <v>4110</v>
      </c>
      <c r="E113" s="3646" t="s">
        <v>3463</v>
      </c>
      <c r="F113" s="3646">
        <v>0</v>
      </c>
      <c r="G113" s="3649"/>
      <c r="H113" s="3646">
        <v>532</v>
      </c>
      <c r="I113" s="3646">
        <v>96798</v>
      </c>
    </row>
    <row r="114" spans="1:9" hidden="1">
      <c r="A114" s="3648">
        <v>43775</v>
      </c>
      <c r="B114" s="3646" t="s">
        <v>4121</v>
      </c>
      <c r="C114" s="3646">
        <v>44</v>
      </c>
      <c r="D114" s="3646" t="s">
        <v>4110</v>
      </c>
      <c r="E114" s="3646" t="s">
        <v>3459</v>
      </c>
      <c r="F114" s="3646">
        <v>475</v>
      </c>
      <c r="G114" s="3648">
        <v>43624</v>
      </c>
      <c r="H114" s="3646">
        <v>467</v>
      </c>
      <c r="I114" s="3646">
        <v>106137</v>
      </c>
    </row>
    <row r="115" spans="1:9" hidden="1">
      <c r="A115" s="3648">
        <v>43731</v>
      </c>
      <c r="B115" s="3646" t="s">
        <v>4079</v>
      </c>
      <c r="C115" s="3646">
        <v>53</v>
      </c>
      <c r="D115" s="3646" t="s">
        <v>4111</v>
      </c>
      <c r="E115" s="3646" t="s">
        <v>4073</v>
      </c>
      <c r="F115" s="3646">
        <v>550</v>
      </c>
      <c r="G115" s="3648">
        <v>43548</v>
      </c>
      <c r="H115" s="3646">
        <v>533</v>
      </c>
      <c r="I115" s="3646">
        <v>98796</v>
      </c>
    </row>
    <row r="116" spans="1:9" hidden="1">
      <c r="A116" s="3648">
        <v>43708</v>
      </c>
      <c r="B116" s="3646" t="s">
        <v>4079</v>
      </c>
      <c r="C116" s="3646">
        <v>51</v>
      </c>
      <c r="D116" s="3646" t="s">
        <v>4128</v>
      </c>
      <c r="E116" s="3646" t="s">
        <v>4073</v>
      </c>
      <c r="F116" s="3646">
        <v>530</v>
      </c>
      <c r="G116" s="3648">
        <v>43673</v>
      </c>
      <c r="H116" s="3646">
        <v>512</v>
      </c>
      <c r="I116" s="3646">
        <v>99922</v>
      </c>
    </row>
    <row r="117" spans="1:9" hidden="1">
      <c r="A117" s="3648">
        <v>43697</v>
      </c>
      <c r="B117" s="3646" t="s">
        <v>4079</v>
      </c>
      <c r="C117" s="3646">
        <v>43</v>
      </c>
      <c r="D117" s="3646" t="s">
        <v>4097</v>
      </c>
      <c r="E117" s="3646" t="s">
        <v>4066</v>
      </c>
      <c r="F117" s="3646">
        <v>440</v>
      </c>
      <c r="G117" s="3648">
        <v>43680</v>
      </c>
      <c r="H117" s="3646">
        <v>428</v>
      </c>
      <c r="I117" s="3646">
        <v>98529</v>
      </c>
    </row>
    <row r="118" spans="1:9" hidden="1">
      <c r="A118" s="3648">
        <v>43690</v>
      </c>
      <c r="B118" s="3646" t="s">
        <v>4083</v>
      </c>
      <c r="C118" s="3646">
        <v>44</v>
      </c>
      <c r="D118" s="3646" t="s">
        <v>4135</v>
      </c>
      <c r="E118" s="3646" t="s">
        <v>3459</v>
      </c>
      <c r="F118" s="3646">
        <v>0</v>
      </c>
      <c r="G118" s="3649"/>
      <c r="H118" s="3646">
        <v>467</v>
      </c>
      <c r="I118" s="3646">
        <v>104078</v>
      </c>
    </row>
    <row r="119" spans="1:9" hidden="1">
      <c r="A119" s="3648">
        <v>43634</v>
      </c>
      <c r="B119" s="3646" t="s">
        <v>4083</v>
      </c>
      <c r="C119" s="3646">
        <v>69</v>
      </c>
      <c r="D119" s="3646" t="s">
        <v>4107</v>
      </c>
      <c r="E119" s="3646" t="s">
        <v>3459</v>
      </c>
      <c r="F119" s="3646">
        <v>0</v>
      </c>
      <c r="G119" s="3649"/>
      <c r="H119" s="3646">
        <v>684</v>
      </c>
      <c r="I119" s="3646">
        <v>97826</v>
      </c>
    </row>
    <row r="120" spans="1:9" hidden="1">
      <c r="A120" s="3648">
        <v>43630</v>
      </c>
      <c r="B120" s="3646" t="s">
        <v>4136</v>
      </c>
      <c r="C120" s="3646">
        <v>185</v>
      </c>
      <c r="D120" s="3646" t="s">
        <v>4107</v>
      </c>
      <c r="E120" s="3646" t="s">
        <v>3942</v>
      </c>
      <c r="F120" s="3646">
        <v>0</v>
      </c>
      <c r="G120" s="3649"/>
      <c r="H120" s="3646">
        <v>1380</v>
      </c>
      <c r="I120" s="3646">
        <v>74353</v>
      </c>
    </row>
    <row r="121" spans="1:9" hidden="1">
      <c r="A121" s="3648">
        <v>43621</v>
      </c>
      <c r="B121" s="3646" t="s">
        <v>4075</v>
      </c>
      <c r="C121" s="3646">
        <v>80</v>
      </c>
      <c r="D121" s="3646" t="s">
        <v>4111</v>
      </c>
      <c r="E121" s="3646" t="s">
        <v>4130</v>
      </c>
      <c r="F121" s="3646">
        <v>890</v>
      </c>
      <c r="G121" s="3648">
        <v>43560</v>
      </c>
      <c r="H121" s="3646">
        <v>858</v>
      </c>
      <c r="I121" s="3646">
        <v>106624</v>
      </c>
    </row>
    <row r="122" spans="1:9" hidden="1">
      <c r="A122" s="3648">
        <v>43607</v>
      </c>
      <c r="B122" s="3646" t="s">
        <v>4075</v>
      </c>
      <c r="C122" s="3646">
        <v>80</v>
      </c>
      <c r="D122" s="3646" t="s">
        <v>4111</v>
      </c>
      <c r="E122" s="3646" t="s">
        <v>4137</v>
      </c>
      <c r="F122" s="3646">
        <v>926</v>
      </c>
      <c r="G122" s="3648">
        <v>43583</v>
      </c>
      <c r="H122" s="3646">
        <v>855</v>
      </c>
      <c r="I122" s="3646">
        <v>106251</v>
      </c>
    </row>
    <row r="123" spans="1:9" hidden="1">
      <c r="A123" s="3648">
        <v>43604</v>
      </c>
      <c r="B123" s="3646" t="s">
        <v>4071</v>
      </c>
      <c r="C123" s="3646">
        <v>57</v>
      </c>
      <c r="D123" s="3646" t="s">
        <v>4126</v>
      </c>
      <c r="E123" s="3646" t="s">
        <v>4070</v>
      </c>
      <c r="F123" s="3646">
        <v>578</v>
      </c>
      <c r="G123" s="3648">
        <v>43568</v>
      </c>
      <c r="H123" s="3646">
        <v>560</v>
      </c>
      <c r="I123" s="3646">
        <v>96803</v>
      </c>
    </row>
    <row r="124" spans="1:9" hidden="1">
      <c r="A124" s="3648">
        <v>43569</v>
      </c>
      <c r="B124" s="3646" t="s">
        <v>4138</v>
      </c>
      <c r="C124" s="3646">
        <v>227</v>
      </c>
      <c r="D124" s="3646" t="s">
        <v>4110</v>
      </c>
      <c r="E124" s="3646" t="s">
        <v>4137</v>
      </c>
      <c r="F124" s="3646">
        <v>1730</v>
      </c>
      <c r="G124" s="3648">
        <v>43545</v>
      </c>
      <c r="H124" s="3646">
        <v>1700</v>
      </c>
      <c r="I124" s="3646">
        <v>74582</v>
      </c>
    </row>
    <row r="125" spans="1:9" hidden="1">
      <c r="A125" s="3648">
        <v>43535</v>
      </c>
      <c r="B125" s="3646" t="s">
        <v>4071</v>
      </c>
      <c r="C125" s="3646">
        <v>68</v>
      </c>
      <c r="D125" s="3646" t="s">
        <v>4110</v>
      </c>
      <c r="E125" s="3646" t="s">
        <v>4139</v>
      </c>
      <c r="F125" s="3646">
        <v>720</v>
      </c>
      <c r="G125" s="3648">
        <v>43414</v>
      </c>
      <c r="H125" s="3646">
        <v>719</v>
      </c>
      <c r="I125" s="3646">
        <v>104979</v>
      </c>
    </row>
    <row r="126" spans="1:9" hidden="1">
      <c r="A126" s="3648">
        <v>43532</v>
      </c>
      <c r="B126" s="3646" t="s">
        <v>4079</v>
      </c>
      <c r="C126" s="3646">
        <v>50</v>
      </c>
      <c r="D126" s="3646" t="s">
        <v>4111</v>
      </c>
      <c r="E126" s="3646" t="s">
        <v>4073</v>
      </c>
      <c r="F126" s="3646">
        <v>535</v>
      </c>
      <c r="G126" s="3648">
        <v>43337</v>
      </c>
      <c r="H126" s="3646">
        <v>525</v>
      </c>
      <c r="I126" s="3646">
        <v>103428</v>
      </c>
    </row>
    <row r="127" spans="1:9" hidden="1">
      <c r="A127" s="3648">
        <v>43528</v>
      </c>
      <c r="B127" s="3646" t="s">
        <v>4071</v>
      </c>
      <c r="C127" s="3646">
        <v>69</v>
      </c>
      <c r="D127" s="3646" t="s">
        <v>4077</v>
      </c>
      <c r="E127" s="3646" t="s">
        <v>4073</v>
      </c>
      <c r="F127" s="3646">
        <v>750</v>
      </c>
      <c r="G127" s="3648">
        <v>43306</v>
      </c>
      <c r="H127" s="3646">
        <v>725</v>
      </c>
      <c r="I127" s="3646">
        <v>103690</v>
      </c>
    </row>
    <row r="128" spans="1:9" hidden="1">
      <c r="A128" s="3648">
        <v>43512</v>
      </c>
      <c r="B128" s="3646" t="s">
        <v>4079</v>
      </c>
      <c r="C128" s="3646">
        <v>48</v>
      </c>
      <c r="D128" s="3646" t="s">
        <v>4111</v>
      </c>
      <c r="E128" s="3646" t="s">
        <v>3459</v>
      </c>
      <c r="F128" s="3646">
        <v>428</v>
      </c>
      <c r="G128" s="3648">
        <v>43448</v>
      </c>
      <c r="H128" s="3646">
        <v>402</v>
      </c>
      <c r="I128" s="3646">
        <v>83076</v>
      </c>
    </row>
    <row r="129" spans="1:9" hidden="1">
      <c r="A129" s="3648">
        <v>43478</v>
      </c>
      <c r="B129" s="3646" t="s">
        <v>4075</v>
      </c>
      <c r="C129" s="3646">
        <v>102</v>
      </c>
      <c r="D129" s="3646" t="s">
        <v>4092</v>
      </c>
      <c r="E129" s="3646" t="s">
        <v>4100</v>
      </c>
      <c r="F129" s="3646">
        <v>955</v>
      </c>
      <c r="G129" s="3648">
        <v>43289</v>
      </c>
      <c r="H129" s="3646">
        <v>935</v>
      </c>
      <c r="I129" s="3646">
        <v>90998</v>
      </c>
    </row>
    <row r="130" spans="1:9" hidden="1">
      <c r="A130" s="3648">
        <v>43403</v>
      </c>
      <c r="B130" s="3646" t="s">
        <v>4071</v>
      </c>
      <c r="C130" s="3646">
        <v>70</v>
      </c>
      <c r="D130" s="3646" t="s">
        <v>4111</v>
      </c>
      <c r="E130" s="3646" t="s">
        <v>3459</v>
      </c>
      <c r="F130" s="3646">
        <v>609</v>
      </c>
      <c r="G130" s="3648">
        <v>43231</v>
      </c>
      <c r="H130" s="3646">
        <v>598</v>
      </c>
      <c r="I130" s="3646">
        <v>85246</v>
      </c>
    </row>
    <row r="131" spans="1:9" hidden="1">
      <c r="A131" s="3648">
        <v>43389</v>
      </c>
      <c r="B131" s="3646" t="s">
        <v>4075</v>
      </c>
      <c r="C131" s="3646">
        <v>80</v>
      </c>
      <c r="D131" s="3646" t="s">
        <v>4111</v>
      </c>
      <c r="E131" s="3646" t="s">
        <v>4140</v>
      </c>
      <c r="F131" s="3646">
        <v>900</v>
      </c>
      <c r="G131" s="3648">
        <v>43363</v>
      </c>
      <c r="H131" s="3646">
        <v>880</v>
      </c>
      <c r="I131" s="3646">
        <v>109358</v>
      </c>
    </row>
    <row r="132" spans="1:9" hidden="1">
      <c r="A132" s="3648">
        <v>43334</v>
      </c>
      <c r="B132" s="3646" t="s">
        <v>4065</v>
      </c>
      <c r="C132" s="3646">
        <v>55</v>
      </c>
      <c r="D132" s="3646" t="s">
        <v>4111</v>
      </c>
      <c r="E132" s="3646" t="s">
        <v>4073</v>
      </c>
      <c r="F132" s="3646">
        <v>0</v>
      </c>
      <c r="G132" s="3649"/>
      <c r="H132" s="3646">
        <v>536</v>
      </c>
      <c r="I132" s="3646">
        <v>96490</v>
      </c>
    </row>
    <row r="133" spans="1:9" hidden="1">
      <c r="A133" s="3648">
        <v>43321</v>
      </c>
      <c r="B133" s="3646" t="s">
        <v>4075</v>
      </c>
      <c r="C133" s="3646">
        <v>89</v>
      </c>
      <c r="D133" s="3646" t="s">
        <v>4141</v>
      </c>
      <c r="E133" s="3646" t="s">
        <v>4066</v>
      </c>
      <c r="F133" s="3646">
        <v>810</v>
      </c>
      <c r="G133" s="3648">
        <v>43274</v>
      </c>
      <c r="H133" s="3646">
        <v>788</v>
      </c>
      <c r="I133" s="3646">
        <v>88371</v>
      </c>
    </row>
    <row r="134" spans="1:9" hidden="1">
      <c r="A134" s="3648">
        <v>43316</v>
      </c>
      <c r="B134" s="3646" t="s">
        <v>4071</v>
      </c>
      <c r="C134" s="3646">
        <v>79</v>
      </c>
      <c r="D134" s="3646" t="s">
        <v>4142</v>
      </c>
      <c r="E134" s="3646" t="s">
        <v>4115</v>
      </c>
      <c r="F134" s="3646">
        <v>755</v>
      </c>
      <c r="G134" s="3648">
        <v>43283</v>
      </c>
      <c r="H134" s="3646">
        <v>700</v>
      </c>
      <c r="I134" s="3646">
        <v>87852</v>
      </c>
    </row>
    <row r="135" spans="1:9" hidden="1">
      <c r="A135" s="3648">
        <v>43309</v>
      </c>
      <c r="B135" s="3646" t="s">
        <v>4081</v>
      </c>
      <c r="C135" s="3646">
        <v>63</v>
      </c>
      <c r="D135" s="3646" t="s">
        <v>4110</v>
      </c>
      <c r="E135" s="3646" t="s">
        <v>4078</v>
      </c>
      <c r="F135" s="3646">
        <v>0</v>
      </c>
      <c r="G135" s="3649"/>
      <c r="H135" s="3646">
        <v>625</v>
      </c>
      <c r="I135" s="3646">
        <v>97733</v>
      </c>
    </row>
    <row r="136" spans="1:9" hidden="1">
      <c r="A136" s="3648">
        <v>43292</v>
      </c>
      <c r="B136" s="3646" t="s">
        <v>4079</v>
      </c>
      <c r="C136" s="3646">
        <v>54</v>
      </c>
      <c r="D136" s="3646" t="s">
        <v>4107</v>
      </c>
      <c r="E136" s="3646" t="s">
        <v>3463</v>
      </c>
      <c r="F136" s="3646">
        <v>530</v>
      </c>
      <c r="G136" s="3648">
        <v>43227</v>
      </c>
      <c r="H136" s="3646">
        <v>515</v>
      </c>
      <c r="I136" s="3646">
        <v>93705</v>
      </c>
    </row>
    <row r="137" spans="1:9" hidden="1">
      <c r="A137" s="3648">
        <v>43273</v>
      </c>
      <c r="B137" s="3646" t="s">
        <v>4071</v>
      </c>
      <c r="C137" s="3646">
        <v>73</v>
      </c>
      <c r="D137" s="3646" t="s">
        <v>4077</v>
      </c>
      <c r="E137" s="3646" t="s">
        <v>4143</v>
      </c>
      <c r="F137" s="3646">
        <v>738</v>
      </c>
      <c r="G137" s="3648">
        <v>43155</v>
      </c>
      <c r="H137" s="3646">
        <v>730</v>
      </c>
      <c r="I137" s="3646">
        <v>99428</v>
      </c>
    </row>
    <row r="138" spans="1:9" hidden="1">
      <c r="A138" s="3648">
        <v>43269</v>
      </c>
      <c r="B138" s="3646" t="s">
        <v>4071</v>
      </c>
      <c r="C138" s="3646">
        <v>89</v>
      </c>
      <c r="D138" s="3646" t="s">
        <v>4141</v>
      </c>
      <c r="E138" s="3646" t="s">
        <v>4066</v>
      </c>
      <c r="F138" s="3646">
        <v>810</v>
      </c>
      <c r="G138" s="3648">
        <v>43161</v>
      </c>
      <c r="H138" s="3646">
        <v>790</v>
      </c>
      <c r="I138" s="3646">
        <v>88635</v>
      </c>
    </row>
    <row r="139" spans="1:9" hidden="1">
      <c r="A139" s="3648">
        <v>43251</v>
      </c>
      <c r="B139" s="3646" t="s">
        <v>4075</v>
      </c>
      <c r="C139" s="3646">
        <v>80</v>
      </c>
      <c r="D139" s="3646" t="s">
        <v>4107</v>
      </c>
      <c r="E139" s="3646" t="s">
        <v>4144</v>
      </c>
      <c r="F139" s="3646">
        <v>880</v>
      </c>
      <c r="G139" s="3648">
        <v>43230</v>
      </c>
      <c r="H139" s="3646">
        <v>850</v>
      </c>
      <c r="I139" s="3646">
        <v>105617</v>
      </c>
    </row>
    <row r="140" spans="1:9" hidden="1">
      <c r="A140" s="3648">
        <v>43244</v>
      </c>
      <c r="B140" s="3646" t="s">
        <v>4071</v>
      </c>
      <c r="C140" s="3646">
        <v>46</v>
      </c>
      <c r="D140" s="3646" t="s">
        <v>4135</v>
      </c>
      <c r="E140" s="3646" t="s">
        <v>4070</v>
      </c>
      <c r="F140" s="3646">
        <v>435</v>
      </c>
      <c r="G140" s="3648">
        <v>43091</v>
      </c>
      <c r="H140" s="3646">
        <v>419</v>
      </c>
      <c r="I140" s="3646">
        <v>90050</v>
      </c>
    </row>
    <row r="141" spans="1:9" hidden="1">
      <c r="A141" s="3648">
        <v>43235</v>
      </c>
      <c r="B141" s="3646" t="s">
        <v>4083</v>
      </c>
      <c r="C141" s="3646">
        <v>69</v>
      </c>
      <c r="D141" s="3646" t="s">
        <v>4110</v>
      </c>
      <c r="E141" s="3646" t="s">
        <v>3463</v>
      </c>
      <c r="F141" s="3646">
        <v>0</v>
      </c>
      <c r="G141" s="3649"/>
      <c r="H141" s="3646">
        <v>680</v>
      </c>
      <c r="I141" s="3646">
        <v>97310</v>
      </c>
    </row>
    <row r="142" spans="1:9" hidden="1">
      <c r="A142" s="3648">
        <v>43225</v>
      </c>
      <c r="B142" s="3646" t="s">
        <v>4079</v>
      </c>
      <c r="C142" s="3646">
        <v>44</v>
      </c>
      <c r="D142" s="3646" t="s">
        <v>4111</v>
      </c>
      <c r="E142" s="3646" t="s">
        <v>3459</v>
      </c>
      <c r="F142" s="3646">
        <v>410</v>
      </c>
      <c r="G142" s="3648">
        <v>43196</v>
      </c>
      <c r="H142" s="3646">
        <v>410</v>
      </c>
      <c r="I142" s="3646">
        <v>93182</v>
      </c>
    </row>
    <row r="143" spans="1:9" hidden="1">
      <c r="A143" s="3648">
        <v>43205</v>
      </c>
      <c r="B143" s="3646" t="s">
        <v>4083</v>
      </c>
      <c r="C143" s="3646">
        <v>64</v>
      </c>
      <c r="D143" s="3646" t="s">
        <v>4110</v>
      </c>
      <c r="E143" s="3646" t="s">
        <v>3463</v>
      </c>
      <c r="F143" s="3646">
        <v>0</v>
      </c>
      <c r="G143" s="3649"/>
      <c r="H143" s="3646">
        <v>630</v>
      </c>
      <c r="I143" s="3646">
        <v>98039</v>
      </c>
    </row>
    <row r="144" spans="1:9" hidden="1">
      <c r="A144" s="3648">
        <v>43196</v>
      </c>
      <c r="B144" s="3646" t="s">
        <v>4081</v>
      </c>
      <c r="C144" s="3646">
        <v>78</v>
      </c>
      <c r="D144" s="3646" t="s">
        <v>4097</v>
      </c>
      <c r="E144" s="3646" t="s">
        <v>4109</v>
      </c>
      <c r="F144" s="3646">
        <v>0</v>
      </c>
      <c r="G144" s="3649"/>
      <c r="H144" s="3646">
        <v>691</v>
      </c>
      <c r="I144" s="3646">
        <v>88217</v>
      </c>
    </row>
    <row r="145" spans="1:9" hidden="1">
      <c r="A145" s="3648">
        <v>43163</v>
      </c>
      <c r="B145" s="3646" t="s">
        <v>4065</v>
      </c>
      <c r="C145" s="3646">
        <v>53</v>
      </c>
      <c r="D145" s="3646" t="s">
        <v>4107</v>
      </c>
      <c r="E145" s="3646" t="s">
        <v>3459</v>
      </c>
      <c r="F145" s="3646">
        <v>0</v>
      </c>
      <c r="G145" s="3649"/>
      <c r="H145" s="3646">
        <v>498</v>
      </c>
      <c r="I145" s="3646">
        <v>92308</v>
      </c>
    </row>
    <row r="146" spans="1:9" hidden="1">
      <c r="A146" s="3648">
        <v>43126</v>
      </c>
      <c r="B146" s="3646" t="s">
        <v>4071</v>
      </c>
      <c r="C146" s="3646">
        <v>107</v>
      </c>
      <c r="D146" s="3646" t="s">
        <v>4107</v>
      </c>
      <c r="E146" s="3646" t="s">
        <v>4070</v>
      </c>
      <c r="F146" s="3646">
        <v>948</v>
      </c>
      <c r="G146" s="3648">
        <v>43031</v>
      </c>
      <c r="H146" s="3646">
        <v>920</v>
      </c>
      <c r="I146" s="3646">
        <v>85399</v>
      </c>
    </row>
    <row r="147" spans="1:9" hidden="1">
      <c r="A147" s="3648">
        <v>43046</v>
      </c>
      <c r="B147" s="3646" t="s">
        <v>4071</v>
      </c>
      <c r="C147" s="3646">
        <v>107</v>
      </c>
      <c r="D147" s="3646" t="s">
        <v>4110</v>
      </c>
      <c r="E147" s="3646" t="s">
        <v>4070</v>
      </c>
      <c r="F147" s="3646">
        <v>1200</v>
      </c>
      <c r="G147" s="3648">
        <v>43000</v>
      </c>
      <c r="H147" s="3646">
        <v>1110</v>
      </c>
      <c r="I147" s="3646">
        <v>103036</v>
      </c>
    </row>
    <row r="148" spans="1:9" hidden="1">
      <c r="A148" s="3648">
        <v>43035</v>
      </c>
      <c r="B148" s="3646" t="s">
        <v>4083</v>
      </c>
      <c r="C148" s="3646">
        <v>67</v>
      </c>
      <c r="D148" s="3646" t="s">
        <v>4110</v>
      </c>
      <c r="E148" s="3646" t="s">
        <v>3459</v>
      </c>
      <c r="F148" s="3646">
        <v>0</v>
      </c>
      <c r="G148" s="3649"/>
      <c r="H148" s="3646">
        <v>543</v>
      </c>
      <c r="I148" s="3646">
        <v>80731</v>
      </c>
    </row>
    <row r="149" spans="1:9" hidden="1">
      <c r="A149" s="3648">
        <v>42821</v>
      </c>
      <c r="B149" s="3646" t="s">
        <v>4075</v>
      </c>
      <c r="C149" s="3646">
        <v>102</v>
      </c>
      <c r="D149" s="3646" t="s">
        <v>4103</v>
      </c>
      <c r="E149" s="3646" t="s">
        <v>4100</v>
      </c>
      <c r="F149" s="3646">
        <v>1130</v>
      </c>
      <c r="G149" s="3648">
        <v>42805</v>
      </c>
      <c r="H149" s="3646">
        <v>1096</v>
      </c>
      <c r="I149" s="3646">
        <v>106667</v>
      </c>
    </row>
    <row r="150" spans="1:9" hidden="1">
      <c r="A150" s="3648">
        <v>42820</v>
      </c>
      <c r="B150" s="3646" t="s">
        <v>4075</v>
      </c>
      <c r="C150" s="3646">
        <v>80</v>
      </c>
      <c r="D150" s="3646" t="s">
        <v>4111</v>
      </c>
      <c r="E150" s="3646" t="s">
        <v>4073</v>
      </c>
      <c r="F150" s="3646">
        <v>950</v>
      </c>
      <c r="G150" s="3648">
        <v>42804</v>
      </c>
      <c r="H150" s="3646">
        <v>950</v>
      </c>
      <c r="I150" s="3646">
        <v>118042</v>
      </c>
    </row>
    <row r="151" spans="1:9" hidden="1">
      <c r="A151" s="3648">
        <v>42807</v>
      </c>
      <c r="B151" s="3646" t="s">
        <v>4079</v>
      </c>
      <c r="C151" s="3646">
        <v>50</v>
      </c>
      <c r="D151" s="3646" t="s">
        <v>4107</v>
      </c>
      <c r="E151" s="3646" t="s">
        <v>4073</v>
      </c>
      <c r="F151" s="3646">
        <v>560</v>
      </c>
      <c r="G151" s="3648">
        <v>42800</v>
      </c>
      <c r="H151" s="3646">
        <v>555</v>
      </c>
      <c r="I151" s="3646">
        <v>109339</v>
      </c>
    </row>
    <row r="152" spans="1:9" hidden="1">
      <c r="A152" s="3648">
        <v>42800</v>
      </c>
      <c r="B152" s="3646" t="s">
        <v>4079</v>
      </c>
      <c r="C152" s="3646">
        <v>55</v>
      </c>
      <c r="D152" s="3646" t="s">
        <v>4110</v>
      </c>
      <c r="E152" s="3646" t="s">
        <v>3463</v>
      </c>
      <c r="F152" s="3646">
        <v>630</v>
      </c>
      <c r="G152" s="3648">
        <v>42785</v>
      </c>
      <c r="H152" s="3646">
        <v>612</v>
      </c>
      <c r="I152" s="3646">
        <v>110330</v>
      </c>
    </row>
    <row r="153" spans="1:9" hidden="1">
      <c r="A153" s="3648">
        <v>42800</v>
      </c>
      <c r="B153" s="3646" t="s">
        <v>4065</v>
      </c>
      <c r="C153" s="3646">
        <v>42</v>
      </c>
      <c r="D153" s="3646" t="s">
        <v>4126</v>
      </c>
      <c r="E153" s="3646" t="s">
        <v>4066</v>
      </c>
      <c r="F153" s="3646">
        <v>0</v>
      </c>
      <c r="G153" s="3649"/>
      <c r="H153" s="3646">
        <v>414</v>
      </c>
      <c r="I153" s="3646">
        <v>96459</v>
      </c>
    </row>
    <row r="154" spans="1:9" hidden="1">
      <c r="A154" s="3648">
        <v>42785</v>
      </c>
      <c r="B154" s="3646" t="s">
        <v>4071</v>
      </c>
      <c r="C154" s="3646">
        <v>81</v>
      </c>
      <c r="D154" s="3646" t="s">
        <v>4145</v>
      </c>
      <c r="E154" s="3646" t="s">
        <v>4066</v>
      </c>
      <c r="F154" s="3646">
        <v>700</v>
      </c>
      <c r="G154" s="3648">
        <v>42728</v>
      </c>
      <c r="H154" s="3646">
        <v>695</v>
      </c>
      <c r="I154" s="3646">
        <v>85718</v>
      </c>
    </row>
    <row r="155" spans="1:9" hidden="1">
      <c r="A155" s="3648">
        <v>42784</v>
      </c>
      <c r="B155" s="3646" t="s">
        <v>4083</v>
      </c>
      <c r="C155" s="3646">
        <v>89</v>
      </c>
      <c r="D155" s="3646" t="s">
        <v>4141</v>
      </c>
      <c r="E155" s="3646" t="s">
        <v>3463</v>
      </c>
      <c r="F155" s="3646">
        <v>0</v>
      </c>
      <c r="G155" s="3649"/>
      <c r="H155" s="3646">
        <v>900</v>
      </c>
      <c r="I155" s="3646">
        <v>100189</v>
      </c>
    </row>
    <row r="156" spans="1:9" hidden="1">
      <c r="A156" s="3648">
        <v>42770</v>
      </c>
      <c r="B156" s="3646" t="s">
        <v>4083</v>
      </c>
      <c r="C156" s="3646">
        <v>68</v>
      </c>
      <c r="D156" s="3646" t="s">
        <v>4110</v>
      </c>
      <c r="E156" s="3646" t="s">
        <v>4073</v>
      </c>
      <c r="F156" s="3646">
        <v>0</v>
      </c>
      <c r="G156" s="3649"/>
      <c r="H156" s="3646">
        <v>758</v>
      </c>
      <c r="I156" s="3646">
        <v>110673</v>
      </c>
    </row>
    <row r="157" spans="1:9" hidden="1">
      <c r="A157" s="3648">
        <v>42715</v>
      </c>
      <c r="B157" s="3646" t="s">
        <v>4071</v>
      </c>
      <c r="C157" s="3646">
        <v>89</v>
      </c>
      <c r="D157" s="3646" t="s">
        <v>4103</v>
      </c>
      <c r="E157" s="3646" t="s">
        <v>4066</v>
      </c>
      <c r="F157" s="3646">
        <v>740</v>
      </c>
      <c r="G157" s="3648">
        <v>42604</v>
      </c>
      <c r="H157" s="3646">
        <v>740</v>
      </c>
      <c r="I157" s="3646">
        <v>83025</v>
      </c>
    </row>
    <row r="158" spans="1:9" hidden="1">
      <c r="A158" s="3648">
        <v>42712</v>
      </c>
      <c r="B158" s="3646" t="s">
        <v>4079</v>
      </c>
      <c r="C158" s="3646">
        <v>44</v>
      </c>
      <c r="D158" s="3646" t="s">
        <v>4110</v>
      </c>
      <c r="E158" s="3646" t="s">
        <v>3459</v>
      </c>
      <c r="F158" s="3646">
        <v>408</v>
      </c>
      <c r="G158" s="3648">
        <v>42696</v>
      </c>
      <c r="H158" s="3646">
        <v>405</v>
      </c>
      <c r="I158" s="3646">
        <v>92046</v>
      </c>
    </row>
    <row r="159" spans="1:9" hidden="1">
      <c r="A159" s="3648">
        <v>42694</v>
      </c>
      <c r="B159" s="3646" t="s">
        <v>4068</v>
      </c>
      <c r="C159" s="3646">
        <v>120</v>
      </c>
      <c r="D159" s="3646" t="s">
        <v>4111</v>
      </c>
      <c r="E159" s="3646" t="s">
        <v>3459</v>
      </c>
      <c r="F159" s="3646">
        <v>1050</v>
      </c>
      <c r="G159" s="3648">
        <v>42672</v>
      </c>
      <c r="H159" s="3646">
        <v>1000</v>
      </c>
      <c r="I159" s="3646">
        <v>82666</v>
      </c>
    </row>
    <row r="160" spans="1:9" hidden="1">
      <c r="A160" s="3648">
        <v>42674</v>
      </c>
      <c r="B160" s="3646" t="s">
        <v>4071</v>
      </c>
      <c r="C160" s="3646">
        <v>69</v>
      </c>
      <c r="D160" s="3646" t="s">
        <v>4110</v>
      </c>
      <c r="E160" s="3646" t="s">
        <v>4115</v>
      </c>
      <c r="F160" s="3646">
        <v>610</v>
      </c>
      <c r="G160" s="3648">
        <v>42673</v>
      </c>
      <c r="H160" s="3646">
        <v>608</v>
      </c>
      <c r="I160" s="3646">
        <v>88116</v>
      </c>
    </row>
    <row r="161" spans="1:9" hidden="1">
      <c r="A161" s="3648">
        <v>42670</v>
      </c>
      <c r="B161" s="3646" t="s">
        <v>4075</v>
      </c>
      <c r="C161" s="3646">
        <v>80</v>
      </c>
      <c r="D161" s="3646" t="s">
        <v>4110</v>
      </c>
      <c r="E161" s="3646" t="s">
        <v>4085</v>
      </c>
      <c r="F161" s="3646">
        <v>710</v>
      </c>
      <c r="G161" s="3648">
        <v>42642</v>
      </c>
      <c r="H161" s="3646">
        <v>708</v>
      </c>
      <c r="I161" s="3646">
        <v>88093</v>
      </c>
    </row>
    <row r="162" spans="1:9" hidden="1">
      <c r="A162" s="3648">
        <v>42644</v>
      </c>
      <c r="B162" s="3646" t="s">
        <v>4075</v>
      </c>
      <c r="C162" s="3646">
        <v>91</v>
      </c>
      <c r="D162" s="3646" t="s">
        <v>4145</v>
      </c>
      <c r="E162" s="3646" t="s">
        <v>4078</v>
      </c>
      <c r="F162" s="3646">
        <v>680</v>
      </c>
      <c r="G162" s="3648">
        <v>42467</v>
      </c>
      <c r="H162" s="3646">
        <v>660</v>
      </c>
      <c r="I162" s="3646">
        <v>72187</v>
      </c>
    </row>
    <row r="163" spans="1:9" hidden="1">
      <c r="A163" s="3648">
        <v>42642</v>
      </c>
      <c r="B163" s="3646" t="s">
        <v>4071</v>
      </c>
      <c r="C163" s="3646">
        <v>68</v>
      </c>
      <c r="D163" s="3646" t="s">
        <v>4141</v>
      </c>
      <c r="E163" s="3646" t="s">
        <v>3942</v>
      </c>
      <c r="F163" s="3646">
        <v>470</v>
      </c>
      <c r="G163" s="3648">
        <v>42616</v>
      </c>
      <c r="H163" s="3646">
        <v>466</v>
      </c>
      <c r="I163" s="3646">
        <v>68500</v>
      </c>
    </row>
    <row r="164" spans="1:9" hidden="1">
      <c r="A164" s="3648">
        <v>42638</v>
      </c>
      <c r="B164" s="3646" t="s">
        <v>4071</v>
      </c>
      <c r="C164" s="3646">
        <v>63</v>
      </c>
      <c r="D164" s="3646" t="s">
        <v>4110</v>
      </c>
      <c r="E164" s="3646" t="s">
        <v>3459</v>
      </c>
      <c r="F164" s="3646">
        <v>520</v>
      </c>
      <c r="G164" s="3648">
        <v>42630</v>
      </c>
      <c r="H164" s="3646">
        <v>517</v>
      </c>
      <c r="I164" s="3646">
        <v>81522</v>
      </c>
    </row>
    <row r="165" spans="1:9" hidden="1">
      <c r="A165" s="3648">
        <v>42621</v>
      </c>
      <c r="B165" s="3646" t="s">
        <v>4079</v>
      </c>
      <c r="C165" s="3646">
        <v>42</v>
      </c>
      <c r="D165" s="3646" t="s">
        <v>4146</v>
      </c>
      <c r="E165" s="3646" t="s">
        <v>3459</v>
      </c>
      <c r="F165" s="3646">
        <v>340</v>
      </c>
      <c r="G165" s="3648">
        <v>42613</v>
      </c>
      <c r="H165" s="3646">
        <v>339</v>
      </c>
      <c r="I165" s="3646">
        <v>79323</v>
      </c>
    </row>
    <row r="166" spans="1:9" hidden="1">
      <c r="A166" s="3648">
        <v>42619</v>
      </c>
      <c r="B166" s="3646" t="s">
        <v>4079</v>
      </c>
      <c r="C166" s="3646">
        <v>68</v>
      </c>
      <c r="D166" s="3646" t="s">
        <v>4141</v>
      </c>
      <c r="E166" s="3646" t="s">
        <v>3942</v>
      </c>
      <c r="F166" s="3646">
        <v>455</v>
      </c>
      <c r="G166" s="3648">
        <v>42428</v>
      </c>
      <c r="H166" s="3646">
        <v>454</v>
      </c>
      <c r="I166" s="3646">
        <v>66736</v>
      </c>
    </row>
    <row r="167" spans="1:9" hidden="1">
      <c r="A167" s="3648">
        <v>42613</v>
      </c>
      <c r="B167" s="3646" t="s">
        <v>4071</v>
      </c>
      <c r="C167" s="3646">
        <v>64</v>
      </c>
      <c r="D167" s="3646" t="s">
        <v>4107</v>
      </c>
      <c r="E167" s="3646" t="s">
        <v>3463</v>
      </c>
      <c r="F167" s="3646">
        <v>530</v>
      </c>
      <c r="G167" s="3648">
        <v>42586</v>
      </c>
      <c r="H167" s="3646">
        <v>527</v>
      </c>
      <c r="I167" s="3646">
        <v>82011</v>
      </c>
    </row>
    <row r="168" spans="1:9" hidden="1">
      <c r="A168" s="3648">
        <v>42599</v>
      </c>
      <c r="B168" s="3646" t="s">
        <v>4068</v>
      </c>
      <c r="C168" s="3646">
        <v>107</v>
      </c>
      <c r="D168" s="3646" t="s">
        <v>4111</v>
      </c>
      <c r="E168" s="3646" t="s">
        <v>4070</v>
      </c>
      <c r="F168" s="3646">
        <v>850</v>
      </c>
      <c r="G168" s="3648">
        <v>42555</v>
      </c>
      <c r="H168" s="3646">
        <v>850</v>
      </c>
      <c r="I168" s="3646">
        <v>78901</v>
      </c>
    </row>
    <row r="169" spans="1:9" hidden="1">
      <c r="A169" s="3648">
        <v>42580</v>
      </c>
      <c r="B169" s="3646" t="s">
        <v>4079</v>
      </c>
      <c r="C169" s="3646">
        <v>68</v>
      </c>
      <c r="D169" s="3646" t="s">
        <v>4141</v>
      </c>
      <c r="E169" s="3646" t="s">
        <v>3942</v>
      </c>
      <c r="F169" s="3646">
        <v>458</v>
      </c>
      <c r="G169" s="3648">
        <v>42515</v>
      </c>
      <c r="H169" s="3646">
        <v>454</v>
      </c>
      <c r="I169" s="3646">
        <v>66736</v>
      </c>
    </row>
    <row r="170" spans="1:9" hidden="1">
      <c r="A170" s="3648">
        <v>42540</v>
      </c>
      <c r="B170" s="3646" t="s">
        <v>4071</v>
      </c>
      <c r="C170" s="3646">
        <v>61</v>
      </c>
      <c r="D170" s="3646" t="s">
        <v>4111</v>
      </c>
      <c r="E170" s="3646" t="s">
        <v>3459</v>
      </c>
      <c r="F170" s="3646">
        <v>480</v>
      </c>
      <c r="G170" s="3648">
        <v>42536</v>
      </c>
      <c r="H170" s="3646">
        <v>470</v>
      </c>
      <c r="I170" s="3646">
        <v>76949</v>
      </c>
    </row>
    <row r="171" spans="1:9" hidden="1">
      <c r="A171" s="3648">
        <v>42539</v>
      </c>
      <c r="B171" s="3646" t="s">
        <v>4079</v>
      </c>
      <c r="C171" s="3646">
        <v>46</v>
      </c>
      <c r="D171" s="3646" t="s">
        <v>4107</v>
      </c>
      <c r="E171" s="3646" t="s">
        <v>3459</v>
      </c>
      <c r="F171" s="3646">
        <v>350</v>
      </c>
      <c r="G171" s="3648">
        <v>42466</v>
      </c>
      <c r="H171" s="3646">
        <v>337</v>
      </c>
      <c r="I171" s="3646">
        <v>73261</v>
      </c>
    </row>
    <row r="172" spans="1:9" hidden="1">
      <c r="A172" s="3648">
        <v>42456</v>
      </c>
      <c r="B172" s="3646" t="s">
        <v>4075</v>
      </c>
      <c r="C172" s="3646">
        <v>80</v>
      </c>
      <c r="D172" s="3646" t="s">
        <v>4107</v>
      </c>
      <c r="E172" s="3646" t="s">
        <v>4070</v>
      </c>
      <c r="F172" s="3646">
        <v>600</v>
      </c>
      <c r="G172" s="3648">
        <v>42456</v>
      </c>
      <c r="H172" s="3646">
        <v>600</v>
      </c>
      <c r="I172" s="3646">
        <v>74739</v>
      </c>
    </row>
    <row r="173" spans="1:9" hidden="1">
      <c r="A173" s="3648">
        <v>42455</v>
      </c>
      <c r="B173" s="3646" t="s">
        <v>4079</v>
      </c>
      <c r="C173" s="3646">
        <v>48</v>
      </c>
      <c r="D173" s="3646" t="s">
        <v>4111</v>
      </c>
      <c r="E173" s="3646" t="s">
        <v>3459</v>
      </c>
      <c r="F173" s="3646">
        <v>318</v>
      </c>
      <c r="G173" s="3648">
        <v>42455</v>
      </c>
      <c r="H173" s="3646">
        <v>316</v>
      </c>
      <c r="I173" s="3646">
        <v>65303</v>
      </c>
    </row>
    <row r="174" spans="1:9" hidden="1">
      <c r="A174" s="3648">
        <v>42455</v>
      </c>
      <c r="B174" s="3646" t="s">
        <v>4094</v>
      </c>
      <c r="C174" s="3646">
        <v>74</v>
      </c>
      <c r="D174" s="3646" t="s">
        <v>4111</v>
      </c>
      <c r="E174" s="3646" t="s">
        <v>4070</v>
      </c>
      <c r="F174" s="3646">
        <v>570</v>
      </c>
      <c r="G174" s="3648">
        <v>42456</v>
      </c>
      <c r="H174" s="3646">
        <v>569</v>
      </c>
      <c r="I174" s="3646">
        <v>76561</v>
      </c>
    </row>
    <row r="175" spans="1:9" hidden="1">
      <c r="A175" s="3648">
        <v>42455</v>
      </c>
      <c r="B175" s="3646" t="s">
        <v>4071</v>
      </c>
      <c r="C175" s="3646">
        <v>64</v>
      </c>
      <c r="D175" s="3646" t="s">
        <v>4122</v>
      </c>
      <c r="E175" s="3646" t="s">
        <v>4139</v>
      </c>
      <c r="F175" s="3646">
        <v>480</v>
      </c>
      <c r="G175" s="3648">
        <v>42456</v>
      </c>
      <c r="H175" s="3646">
        <v>480</v>
      </c>
      <c r="I175" s="3646">
        <v>74442</v>
      </c>
    </row>
    <row r="176" spans="1:9" hidden="1">
      <c r="A176" s="3648">
        <v>42455</v>
      </c>
      <c r="B176" s="3646" t="s">
        <v>4079</v>
      </c>
      <c r="C176" s="3646">
        <v>45</v>
      </c>
      <c r="D176" s="3646" t="s">
        <v>4128</v>
      </c>
      <c r="E176" s="3646" t="s">
        <v>3459</v>
      </c>
      <c r="F176" s="3646">
        <v>330</v>
      </c>
      <c r="G176" s="3648">
        <v>42455</v>
      </c>
      <c r="H176" s="3646">
        <v>326</v>
      </c>
      <c r="I176" s="3646">
        <v>72504</v>
      </c>
    </row>
    <row r="177" spans="1:9" hidden="1">
      <c r="A177" s="3648">
        <v>42386</v>
      </c>
      <c r="B177" s="3646" t="s">
        <v>4079</v>
      </c>
      <c r="C177" s="3646">
        <v>55</v>
      </c>
      <c r="D177" s="3646" t="s">
        <v>4107</v>
      </c>
      <c r="E177" s="3646" t="s">
        <v>3463</v>
      </c>
      <c r="F177" s="3646">
        <v>320</v>
      </c>
      <c r="G177" s="3648">
        <v>42387</v>
      </c>
      <c r="H177" s="3646">
        <v>315</v>
      </c>
      <c r="I177" s="3646">
        <v>56788</v>
      </c>
    </row>
    <row r="178" spans="1:9" hidden="1">
      <c r="A178" s="3648">
        <v>42377</v>
      </c>
      <c r="B178" s="3646" t="s">
        <v>4094</v>
      </c>
      <c r="C178" s="3646">
        <v>75</v>
      </c>
      <c r="D178" s="3646" t="s">
        <v>4128</v>
      </c>
      <c r="E178" s="3646" t="s">
        <v>4070</v>
      </c>
      <c r="F178" s="3646">
        <v>440</v>
      </c>
      <c r="G178" s="3648">
        <v>42377</v>
      </c>
      <c r="H178" s="3646">
        <v>440</v>
      </c>
      <c r="I178" s="3646">
        <v>58620</v>
      </c>
    </row>
    <row r="179" spans="1:9" hidden="1">
      <c r="A179" s="3648">
        <v>42374</v>
      </c>
      <c r="B179" s="3646" t="s">
        <v>4079</v>
      </c>
      <c r="C179" s="3646">
        <v>54</v>
      </c>
      <c r="D179" s="3646" t="s">
        <v>4110</v>
      </c>
      <c r="E179" s="3646" t="s">
        <v>3463</v>
      </c>
      <c r="F179" s="3646">
        <v>320</v>
      </c>
      <c r="G179" s="3648">
        <v>42375</v>
      </c>
      <c r="H179" s="3646">
        <v>318</v>
      </c>
      <c r="I179" s="3646">
        <v>57861</v>
      </c>
    </row>
    <row r="180" spans="1:9" hidden="1">
      <c r="A180" s="3648">
        <v>42374</v>
      </c>
      <c r="B180" s="3646" t="s">
        <v>4071</v>
      </c>
      <c r="C180" s="3646">
        <v>81</v>
      </c>
      <c r="D180" s="3646" t="s">
        <v>4141</v>
      </c>
      <c r="E180" s="3646" t="s">
        <v>3459</v>
      </c>
      <c r="F180" s="3646">
        <v>550</v>
      </c>
      <c r="G180" s="3648">
        <v>42384</v>
      </c>
      <c r="H180" s="3646">
        <v>538</v>
      </c>
      <c r="I180" s="3646">
        <v>65666</v>
      </c>
    </row>
    <row r="181" spans="1:9" hidden="1">
      <c r="A181" s="3648">
        <v>42366</v>
      </c>
      <c r="B181" s="3646" t="s">
        <v>4138</v>
      </c>
      <c r="C181" s="3646">
        <v>227</v>
      </c>
      <c r="D181" s="3646" t="s">
        <v>4110</v>
      </c>
      <c r="E181" s="3646" t="s">
        <v>4070</v>
      </c>
      <c r="F181" s="3646">
        <v>1298</v>
      </c>
      <c r="G181" s="3648">
        <v>42367</v>
      </c>
      <c r="H181" s="3646">
        <v>1260</v>
      </c>
      <c r="I181" s="3646">
        <v>55278</v>
      </c>
    </row>
    <row r="182" spans="1:9" hidden="1">
      <c r="A182" s="3648">
        <v>42365</v>
      </c>
      <c r="B182" s="3646" t="s">
        <v>4071</v>
      </c>
      <c r="C182" s="3646">
        <v>63</v>
      </c>
      <c r="D182" s="3646" t="s">
        <v>4111</v>
      </c>
      <c r="E182" s="3646" t="s">
        <v>4100</v>
      </c>
      <c r="F182" s="3646">
        <v>385</v>
      </c>
      <c r="G182" s="3648">
        <v>42365</v>
      </c>
      <c r="H182" s="3646">
        <v>382</v>
      </c>
      <c r="I182" s="3646">
        <v>59735</v>
      </c>
    </row>
    <row r="183" spans="1:9" hidden="1">
      <c r="A183" s="3648">
        <v>42360</v>
      </c>
      <c r="B183" s="3646" t="s">
        <v>4079</v>
      </c>
      <c r="C183" s="3646">
        <v>50</v>
      </c>
      <c r="D183" s="3646" t="s">
        <v>4107</v>
      </c>
      <c r="E183" s="3646" t="s">
        <v>4139</v>
      </c>
      <c r="F183" s="3646">
        <v>290</v>
      </c>
      <c r="G183" s="3648">
        <v>42361</v>
      </c>
      <c r="H183" s="3646">
        <v>290</v>
      </c>
      <c r="I183" s="3646">
        <v>57132</v>
      </c>
    </row>
    <row r="184" spans="1:9" hidden="1">
      <c r="A184" s="3648">
        <v>42349</v>
      </c>
      <c r="B184" s="3646" t="s">
        <v>4071</v>
      </c>
      <c r="C184" s="3646">
        <v>83</v>
      </c>
      <c r="D184" s="3646" t="s">
        <v>4142</v>
      </c>
      <c r="E184" s="3646" t="s">
        <v>3942</v>
      </c>
      <c r="F184" s="3646">
        <v>400</v>
      </c>
      <c r="G184" s="3648">
        <v>42350</v>
      </c>
      <c r="H184" s="3646">
        <v>400</v>
      </c>
      <c r="I184" s="3646">
        <v>47956</v>
      </c>
    </row>
    <row r="185" spans="1:9" hidden="1">
      <c r="A185" s="3648">
        <v>42348</v>
      </c>
      <c r="B185" s="3646" t="s">
        <v>4147</v>
      </c>
      <c r="C185" s="3646">
        <v>49</v>
      </c>
      <c r="D185" s="3646" t="s">
        <v>4126</v>
      </c>
      <c r="E185" s="3646" t="s">
        <v>4070</v>
      </c>
      <c r="F185" s="3646">
        <v>320</v>
      </c>
      <c r="G185" s="3648">
        <v>42348</v>
      </c>
      <c r="H185" s="3646">
        <v>330</v>
      </c>
      <c r="I185" s="3646">
        <v>66359</v>
      </c>
    </row>
    <row r="186" spans="1:9" hidden="1">
      <c r="A186" s="3648">
        <v>42344</v>
      </c>
      <c r="B186" s="3646" t="s">
        <v>4071</v>
      </c>
      <c r="C186" s="3646">
        <v>63</v>
      </c>
      <c r="D186" s="3646" t="s">
        <v>4111</v>
      </c>
      <c r="E186" s="3646" t="s">
        <v>3459</v>
      </c>
      <c r="F186" s="3646">
        <v>365</v>
      </c>
      <c r="G186" s="3648">
        <v>42345</v>
      </c>
      <c r="H186" s="3646">
        <v>355</v>
      </c>
      <c r="I186" s="3646">
        <v>55924</v>
      </c>
    </row>
    <row r="187" spans="1:9" hidden="1">
      <c r="A187" s="3648">
        <v>42331</v>
      </c>
      <c r="B187" s="3646" t="s">
        <v>4079</v>
      </c>
      <c r="C187" s="3646">
        <v>45</v>
      </c>
      <c r="D187" s="3646" t="s">
        <v>4111</v>
      </c>
      <c r="E187" s="3646" t="s">
        <v>3459</v>
      </c>
      <c r="F187" s="3646">
        <v>255</v>
      </c>
      <c r="G187" s="3648">
        <v>42332</v>
      </c>
      <c r="H187" s="3646">
        <v>255</v>
      </c>
      <c r="I187" s="3646">
        <v>55484</v>
      </c>
    </row>
    <row r="188" spans="1:9" hidden="1">
      <c r="A188" s="3648">
        <v>42316</v>
      </c>
      <c r="B188" s="3646" t="s">
        <v>4079</v>
      </c>
      <c r="C188" s="3646">
        <v>44</v>
      </c>
      <c r="D188" s="3646" t="s">
        <v>4111</v>
      </c>
      <c r="E188" s="3646" t="s">
        <v>3459</v>
      </c>
      <c r="F188" s="3646">
        <v>249</v>
      </c>
      <c r="G188" s="3648">
        <v>42316</v>
      </c>
      <c r="H188" s="3646">
        <v>248</v>
      </c>
      <c r="I188" s="3646">
        <v>56364</v>
      </c>
    </row>
    <row r="189" spans="1:9" hidden="1">
      <c r="A189" s="3648">
        <v>42277</v>
      </c>
      <c r="B189" s="3646" t="s">
        <v>4075</v>
      </c>
      <c r="C189" s="3646">
        <v>63</v>
      </c>
      <c r="D189" s="3646" t="s">
        <v>4110</v>
      </c>
      <c r="E189" s="3646" t="s">
        <v>4148</v>
      </c>
      <c r="F189" s="3646">
        <v>360</v>
      </c>
      <c r="G189" s="3648">
        <v>42277</v>
      </c>
      <c r="H189" s="3646">
        <v>358</v>
      </c>
      <c r="I189" s="3646">
        <v>55982</v>
      </c>
    </row>
    <row r="190" spans="1:9" hidden="1">
      <c r="A190" s="3648">
        <v>42252</v>
      </c>
      <c r="B190" s="3646" t="s">
        <v>4071</v>
      </c>
      <c r="C190" s="3646">
        <v>120</v>
      </c>
      <c r="D190" s="3646" t="s">
        <v>4111</v>
      </c>
      <c r="E190" s="3646" t="s">
        <v>4149</v>
      </c>
      <c r="F190" s="3646">
        <v>700</v>
      </c>
      <c r="G190" s="3648">
        <v>42252</v>
      </c>
      <c r="H190" s="3646">
        <v>693</v>
      </c>
      <c r="I190" s="3646">
        <v>57287</v>
      </c>
    </row>
    <row r="191" spans="1:9" hidden="1">
      <c r="A191" s="3648">
        <v>42233</v>
      </c>
      <c r="B191" s="3646" t="s">
        <v>4150</v>
      </c>
      <c r="C191" s="3646">
        <v>227</v>
      </c>
      <c r="D191" s="3646" t="s">
        <v>4111</v>
      </c>
      <c r="E191" s="3646" t="s">
        <v>4070</v>
      </c>
      <c r="F191" s="3646">
        <v>1190</v>
      </c>
      <c r="G191" s="3648">
        <v>42233</v>
      </c>
      <c r="H191" s="3646">
        <v>1128</v>
      </c>
      <c r="I191" s="3646">
        <v>49487</v>
      </c>
    </row>
    <row r="192" spans="1:9" hidden="1">
      <c r="A192" s="3648">
        <v>42230</v>
      </c>
      <c r="B192" s="3646" t="s">
        <v>4068</v>
      </c>
      <c r="C192" s="3646">
        <v>90</v>
      </c>
      <c r="D192" s="3646" t="s">
        <v>4142</v>
      </c>
      <c r="E192" s="3646" t="s">
        <v>3459</v>
      </c>
      <c r="F192" s="3646">
        <v>600</v>
      </c>
      <c r="G192" s="3648">
        <v>42231</v>
      </c>
      <c r="H192" s="3646">
        <v>569</v>
      </c>
      <c r="I192" s="3646">
        <v>63104</v>
      </c>
    </row>
    <row r="193" spans="1:9" hidden="1">
      <c r="A193" s="3648">
        <v>42210</v>
      </c>
      <c r="B193" s="3646" t="s">
        <v>4071</v>
      </c>
      <c r="C193" s="3646">
        <v>61</v>
      </c>
      <c r="D193" s="3646" t="s">
        <v>4110</v>
      </c>
      <c r="E193" s="3646" t="s">
        <v>3459</v>
      </c>
      <c r="F193" s="3646">
        <v>345</v>
      </c>
      <c r="G193" s="3648">
        <v>42211</v>
      </c>
      <c r="H193" s="3646">
        <v>340</v>
      </c>
      <c r="I193" s="3646">
        <v>55665</v>
      </c>
    </row>
    <row r="194" spans="1:9" hidden="1">
      <c r="A194" s="3648">
        <v>42178</v>
      </c>
      <c r="B194" s="3646" t="s">
        <v>4071</v>
      </c>
      <c r="C194" s="3646">
        <v>81</v>
      </c>
      <c r="D194" s="3646" t="s">
        <v>4103</v>
      </c>
      <c r="E194" s="3646" t="s">
        <v>3459</v>
      </c>
      <c r="F194" s="3646">
        <v>455</v>
      </c>
      <c r="G194" s="3648">
        <v>42178</v>
      </c>
      <c r="H194" s="3646">
        <v>438</v>
      </c>
      <c r="I194" s="3646">
        <v>53461</v>
      </c>
    </row>
    <row r="195" spans="1:9" hidden="1">
      <c r="A195" s="3648">
        <v>42163</v>
      </c>
      <c r="B195" s="3646" t="s">
        <v>4079</v>
      </c>
      <c r="C195" s="3646">
        <v>54</v>
      </c>
      <c r="D195" s="3646" t="s">
        <v>4111</v>
      </c>
      <c r="E195" s="3646" t="s">
        <v>4151</v>
      </c>
      <c r="F195" s="3646">
        <v>280</v>
      </c>
      <c r="G195" s="3648">
        <v>42163</v>
      </c>
      <c r="H195" s="3646">
        <v>269</v>
      </c>
      <c r="I195" s="3646">
        <v>48945</v>
      </c>
    </row>
    <row r="196" spans="1:9" hidden="1">
      <c r="A196" s="3648">
        <v>42162</v>
      </c>
      <c r="B196" s="3646" t="s">
        <v>4075</v>
      </c>
      <c r="C196" s="3646">
        <v>99</v>
      </c>
      <c r="D196" s="3646" t="s">
        <v>4103</v>
      </c>
      <c r="E196" s="3646" t="s">
        <v>4115</v>
      </c>
      <c r="F196" s="3646">
        <v>500</v>
      </c>
      <c r="G196" s="3648">
        <v>42164</v>
      </c>
      <c r="H196" s="3646">
        <v>480</v>
      </c>
      <c r="I196" s="3646">
        <v>48334</v>
      </c>
    </row>
    <row r="197" spans="1:9" hidden="1">
      <c r="A197" s="3648">
        <v>42147</v>
      </c>
      <c r="B197" s="3646" t="s">
        <v>4075</v>
      </c>
      <c r="C197" s="3646">
        <v>78</v>
      </c>
      <c r="D197" s="3646" t="s">
        <v>4124</v>
      </c>
      <c r="E197" s="3646" t="s">
        <v>4070</v>
      </c>
      <c r="F197" s="3646">
        <v>418</v>
      </c>
      <c r="G197" s="3648">
        <v>42147</v>
      </c>
      <c r="H197" s="3646">
        <v>418</v>
      </c>
      <c r="I197" s="3646">
        <v>53364</v>
      </c>
    </row>
    <row r="198" spans="1:9" hidden="1">
      <c r="A198" s="3648">
        <v>42134</v>
      </c>
      <c r="B198" s="3646" t="s">
        <v>4071</v>
      </c>
      <c r="C198" s="3646">
        <v>63</v>
      </c>
      <c r="D198" s="3646" t="s">
        <v>4110</v>
      </c>
      <c r="E198" s="3646" t="s">
        <v>3459</v>
      </c>
      <c r="F198" s="3646">
        <v>330</v>
      </c>
      <c r="G198" s="3648">
        <v>42134</v>
      </c>
      <c r="H198" s="3646">
        <v>324</v>
      </c>
      <c r="I198" s="3646">
        <v>51040</v>
      </c>
    </row>
    <row r="199" spans="1:9" hidden="1">
      <c r="A199" s="3648">
        <v>42092</v>
      </c>
      <c r="B199" s="3646" t="s">
        <v>4079</v>
      </c>
      <c r="C199" s="3646">
        <v>54</v>
      </c>
      <c r="D199" s="3646" t="s">
        <v>4111</v>
      </c>
      <c r="E199" s="3646" t="s">
        <v>3463</v>
      </c>
      <c r="F199" s="3646">
        <v>255</v>
      </c>
      <c r="G199" s="3648">
        <v>42093</v>
      </c>
      <c r="H199" s="3646">
        <v>252</v>
      </c>
      <c r="I199" s="3646">
        <v>45852</v>
      </c>
    </row>
    <row r="200" spans="1:9" hidden="1">
      <c r="A200" s="3648">
        <v>42030</v>
      </c>
      <c r="B200" s="3646" t="s">
        <v>4079</v>
      </c>
      <c r="C200" s="3646">
        <v>45</v>
      </c>
      <c r="D200" s="3646" t="s">
        <v>4107</v>
      </c>
      <c r="E200" s="3646" t="s">
        <v>3459</v>
      </c>
      <c r="F200" s="3646">
        <v>225</v>
      </c>
      <c r="G200" s="3648">
        <v>42031</v>
      </c>
      <c r="H200" s="3646">
        <v>221</v>
      </c>
      <c r="I200" s="3646">
        <v>48086</v>
      </c>
    </row>
    <row r="201" spans="1:9" hidden="1">
      <c r="A201" s="3648">
        <v>42004</v>
      </c>
      <c r="B201" s="3646" t="s">
        <v>4075</v>
      </c>
      <c r="C201" s="3646">
        <v>74</v>
      </c>
      <c r="D201" s="3646" t="s">
        <v>4110</v>
      </c>
      <c r="E201" s="3646" t="s">
        <v>4070</v>
      </c>
      <c r="F201" s="3646">
        <v>410</v>
      </c>
      <c r="G201" s="3648">
        <v>42005</v>
      </c>
      <c r="H201" s="3646">
        <v>385</v>
      </c>
      <c r="I201" s="3646">
        <v>51804</v>
      </c>
    </row>
    <row r="202" spans="1:9" hidden="1">
      <c r="A202" s="3648">
        <v>41969</v>
      </c>
      <c r="B202" s="3646" t="s">
        <v>4079</v>
      </c>
      <c r="C202" s="3646">
        <v>43</v>
      </c>
      <c r="D202" s="3646" t="s">
        <v>4097</v>
      </c>
      <c r="E202" s="3646" t="s">
        <v>4066</v>
      </c>
      <c r="F202" s="3646">
        <v>185</v>
      </c>
      <c r="G202" s="3648">
        <v>41970</v>
      </c>
      <c r="H202" s="3646">
        <v>178</v>
      </c>
      <c r="I202" s="3646">
        <v>40920</v>
      </c>
    </row>
    <row r="203" spans="1:9" hidden="1">
      <c r="A203" s="3648">
        <v>41947</v>
      </c>
      <c r="B203" s="3646" t="s">
        <v>4071</v>
      </c>
      <c r="C203" s="3646">
        <v>70</v>
      </c>
      <c r="D203" s="3646" t="s">
        <v>4107</v>
      </c>
      <c r="E203" s="3646" t="s">
        <v>3459</v>
      </c>
      <c r="F203" s="3646">
        <v>334</v>
      </c>
      <c r="G203" s="3648">
        <v>41965</v>
      </c>
      <c r="H203" s="3646">
        <v>334</v>
      </c>
      <c r="I203" s="3646">
        <v>47613</v>
      </c>
    </row>
    <row r="204" spans="1:9" hidden="1">
      <c r="A204" s="3648">
        <v>41867</v>
      </c>
      <c r="B204" s="3646" t="s">
        <v>4071</v>
      </c>
      <c r="C204" s="3646">
        <v>63</v>
      </c>
      <c r="D204" s="3646" t="s">
        <v>4107</v>
      </c>
      <c r="E204" s="3646" t="s">
        <v>3459</v>
      </c>
      <c r="F204" s="3646">
        <v>330</v>
      </c>
      <c r="G204" s="3648">
        <v>41875</v>
      </c>
      <c r="H204" s="3646">
        <v>313</v>
      </c>
      <c r="I204" s="3646">
        <v>49307</v>
      </c>
    </row>
    <row r="205" spans="1:9" hidden="1">
      <c r="A205" s="3648">
        <v>41821</v>
      </c>
      <c r="B205" s="3646" t="s">
        <v>4079</v>
      </c>
      <c r="C205" s="3646">
        <v>42</v>
      </c>
      <c r="D205" s="3646" t="s">
        <v>4126</v>
      </c>
      <c r="E205" s="3646" t="s">
        <v>4102</v>
      </c>
      <c r="F205" s="3646">
        <v>185</v>
      </c>
      <c r="G205" s="3648">
        <v>41827</v>
      </c>
      <c r="H205" s="3646">
        <v>182</v>
      </c>
      <c r="I205" s="3646">
        <v>42521</v>
      </c>
    </row>
    <row r="206" spans="1:9" hidden="1">
      <c r="A206" s="3648">
        <v>41813</v>
      </c>
      <c r="B206" s="3646" t="s">
        <v>4079</v>
      </c>
      <c r="C206" s="3646">
        <v>44</v>
      </c>
      <c r="D206" s="3646" t="s">
        <v>4111</v>
      </c>
      <c r="E206" s="3646" t="s">
        <v>3459</v>
      </c>
      <c r="F206" s="3646">
        <v>197</v>
      </c>
      <c r="G206" s="3648">
        <v>41816</v>
      </c>
      <c r="H206" s="3646">
        <v>197</v>
      </c>
      <c r="I206" s="3646">
        <v>44773</v>
      </c>
    </row>
    <row r="207" spans="1:9" hidden="1">
      <c r="A207" s="3648">
        <v>41812</v>
      </c>
      <c r="B207" s="3646" t="s">
        <v>4079</v>
      </c>
      <c r="C207" s="3646">
        <v>54</v>
      </c>
      <c r="D207" s="3646" t="s">
        <v>4110</v>
      </c>
      <c r="E207" s="3646" t="s">
        <v>3463</v>
      </c>
      <c r="F207" s="3646">
        <v>244</v>
      </c>
      <c r="G207" s="3648">
        <v>41813</v>
      </c>
      <c r="H207" s="3646">
        <v>225</v>
      </c>
      <c r="I207" s="3646">
        <v>40939</v>
      </c>
    </row>
    <row r="208" spans="1:9" hidden="1">
      <c r="A208" s="3648">
        <v>41778</v>
      </c>
      <c r="B208" s="3646" t="s">
        <v>4079</v>
      </c>
      <c r="C208" s="3646">
        <v>55</v>
      </c>
      <c r="D208" s="3646" t="s">
        <v>4107</v>
      </c>
      <c r="E208" s="3646" t="s">
        <v>3459</v>
      </c>
      <c r="F208" s="3646">
        <v>240</v>
      </c>
      <c r="G208" s="3648">
        <v>41780</v>
      </c>
      <c r="H208" s="3646">
        <v>200</v>
      </c>
      <c r="I208" s="3646">
        <v>36056</v>
      </c>
    </row>
    <row r="209" spans="1:9" hidden="1">
      <c r="A209" s="3648">
        <v>41755</v>
      </c>
      <c r="B209" s="3646" t="s">
        <v>4071</v>
      </c>
      <c r="C209" s="3646">
        <v>107</v>
      </c>
      <c r="D209" s="3646" t="s">
        <v>4110</v>
      </c>
      <c r="E209" s="3646" t="s">
        <v>4070</v>
      </c>
      <c r="F209" s="3646">
        <v>648</v>
      </c>
      <c r="G209" s="3648">
        <v>41758</v>
      </c>
      <c r="H209" s="3646">
        <v>638</v>
      </c>
      <c r="I209" s="3646">
        <v>59223</v>
      </c>
    </row>
    <row r="210" spans="1:9" hidden="1">
      <c r="A210" s="3648">
        <v>41722</v>
      </c>
      <c r="B210" s="3646" t="s">
        <v>4079</v>
      </c>
      <c r="C210" s="3646">
        <v>51</v>
      </c>
      <c r="D210" s="3646" t="s">
        <v>4128</v>
      </c>
      <c r="E210" s="3646" t="s">
        <v>4139</v>
      </c>
      <c r="F210" s="3646">
        <v>300</v>
      </c>
      <c r="G210" s="3648">
        <v>41729</v>
      </c>
      <c r="H210" s="3646">
        <v>290</v>
      </c>
      <c r="I210" s="3646">
        <v>56597</v>
      </c>
    </row>
    <row r="211" spans="1:9" hidden="1">
      <c r="A211" s="3648">
        <v>41638</v>
      </c>
      <c r="B211" s="3646" t="s">
        <v>4079</v>
      </c>
      <c r="C211" s="3646">
        <v>55</v>
      </c>
      <c r="D211" s="3646" t="s">
        <v>4107</v>
      </c>
      <c r="E211" s="3646" t="s">
        <v>4139</v>
      </c>
      <c r="F211" s="3646">
        <v>260</v>
      </c>
      <c r="G211" s="3648">
        <v>41639</v>
      </c>
      <c r="H211" s="3646">
        <v>258</v>
      </c>
      <c r="I211" s="3646">
        <v>46445</v>
      </c>
    </row>
    <row r="212" spans="1:9">
      <c r="A212" s="3648">
        <v>41583</v>
      </c>
      <c r="B212" s="3646" t="s">
        <v>4071</v>
      </c>
      <c r="C212" s="3646">
        <v>120</v>
      </c>
      <c r="D212" s="3646" t="s">
        <v>4110</v>
      </c>
      <c r="E212" s="3646" t="s">
        <v>4151</v>
      </c>
      <c r="F212" s="3646">
        <v>720</v>
      </c>
      <c r="G212" s="3648">
        <v>41589</v>
      </c>
      <c r="H212" s="3646">
        <v>685</v>
      </c>
      <c r="I212" s="3646">
        <v>56626</v>
      </c>
    </row>
    <row r="213" spans="1:9">
      <c r="A213" s="3648">
        <v>41558</v>
      </c>
      <c r="B213" s="3646" t="s">
        <v>4079</v>
      </c>
      <c r="C213" s="3646">
        <v>50</v>
      </c>
      <c r="D213" s="3646" t="s">
        <v>4111</v>
      </c>
      <c r="E213" s="3646" t="s">
        <v>4139</v>
      </c>
      <c r="F213" s="3646">
        <v>285</v>
      </c>
      <c r="G213" s="3648">
        <v>41559</v>
      </c>
      <c r="H213" s="3646">
        <v>285</v>
      </c>
      <c r="I213" s="3646">
        <v>56147</v>
      </c>
    </row>
    <row r="214" spans="1:9">
      <c r="A214" s="3658">
        <v>41357</v>
      </c>
      <c r="B214" s="3659" t="s">
        <v>4075</v>
      </c>
      <c r="C214" s="3659">
        <v>74</v>
      </c>
      <c r="D214" s="3659" t="s">
        <v>4110</v>
      </c>
      <c r="E214" s="3659" t="s">
        <v>4070</v>
      </c>
      <c r="F214" s="3659">
        <v>405</v>
      </c>
      <c r="G214" s="3658">
        <v>41357</v>
      </c>
      <c r="H214" s="3659">
        <v>420</v>
      </c>
      <c r="I214" s="3659">
        <v>56513</v>
      </c>
    </row>
    <row r="215" spans="1:9">
      <c r="A215" s="3648">
        <v>41346</v>
      </c>
      <c r="B215" s="3646" t="s">
        <v>4071</v>
      </c>
      <c r="C215" s="3646">
        <v>68</v>
      </c>
      <c r="D215" s="3646" t="s">
        <v>4107</v>
      </c>
      <c r="E215" s="3646" t="s">
        <v>4139</v>
      </c>
      <c r="F215" s="3646">
        <v>370</v>
      </c>
      <c r="G215" s="3648">
        <v>41347</v>
      </c>
      <c r="H215" s="3646">
        <v>365</v>
      </c>
      <c r="I215" s="3646">
        <v>53293</v>
      </c>
    </row>
    <row r="216" spans="1:9">
      <c r="A216" s="3648">
        <v>41304</v>
      </c>
      <c r="B216" s="3646" t="s">
        <v>4079</v>
      </c>
      <c r="C216" s="3646">
        <v>51</v>
      </c>
      <c r="D216" s="3646" t="s">
        <v>4128</v>
      </c>
      <c r="E216" s="3646" t="s">
        <v>4139</v>
      </c>
      <c r="F216" s="3646">
        <v>220</v>
      </c>
      <c r="G216" s="3648">
        <v>41305</v>
      </c>
      <c r="H216" s="3646">
        <v>215</v>
      </c>
      <c r="I216" s="3646">
        <v>41960</v>
      </c>
    </row>
    <row r="217" spans="1:9">
      <c r="A217" s="3648">
        <v>41261</v>
      </c>
      <c r="B217" s="3646" t="s">
        <v>4094</v>
      </c>
      <c r="C217" s="3646">
        <v>74</v>
      </c>
      <c r="D217" s="3646" t="s">
        <v>4152</v>
      </c>
      <c r="E217" s="3646" t="s">
        <v>4070</v>
      </c>
      <c r="F217" s="3646">
        <v>300</v>
      </c>
      <c r="G217" s="3648">
        <v>41261</v>
      </c>
      <c r="H217" s="3646">
        <v>287</v>
      </c>
      <c r="I217" s="3646">
        <v>38472</v>
      </c>
    </row>
    <row r="218" spans="1:9">
      <c r="A218" s="3648">
        <v>41158</v>
      </c>
      <c r="B218" s="3646" t="s">
        <v>4079</v>
      </c>
      <c r="C218" s="3646">
        <v>45</v>
      </c>
      <c r="D218" s="3646" t="s">
        <v>4107</v>
      </c>
      <c r="E218" s="3646" t="s">
        <v>3459</v>
      </c>
      <c r="F218" s="3646">
        <v>168</v>
      </c>
      <c r="G218" s="3648">
        <v>41168</v>
      </c>
      <c r="H218" s="3646">
        <v>161</v>
      </c>
      <c r="I218" s="3646">
        <v>35031</v>
      </c>
    </row>
    <row r="219" spans="1:9">
      <c r="A219" s="3648">
        <v>41128</v>
      </c>
      <c r="B219" s="3646" t="s">
        <v>4075</v>
      </c>
      <c r="C219" s="3646">
        <v>74</v>
      </c>
      <c r="D219" s="3646" t="s">
        <v>4111</v>
      </c>
      <c r="E219" s="3646" t="s">
        <v>4070</v>
      </c>
      <c r="F219" s="3646">
        <v>315</v>
      </c>
      <c r="G219" s="3648">
        <v>41132</v>
      </c>
      <c r="H219" s="3646">
        <v>300</v>
      </c>
      <c r="I219" s="3646">
        <v>40366</v>
      </c>
    </row>
    <row r="220" spans="1:9">
      <c r="A220" s="3648">
        <v>41127</v>
      </c>
      <c r="B220" s="3646" t="s">
        <v>4071</v>
      </c>
      <c r="C220" s="3646">
        <v>107</v>
      </c>
      <c r="D220" s="3646" t="s">
        <v>4111</v>
      </c>
      <c r="E220" s="3646" t="s">
        <v>4070</v>
      </c>
      <c r="F220" s="3646">
        <v>390</v>
      </c>
      <c r="G220" s="3648">
        <v>41148</v>
      </c>
      <c r="H220" s="3646">
        <v>388</v>
      </c>
      <c r="I220" s="3646">
        <v>36016</v>
      </c>
    </row>
    <row r="221" spans="1:9">
      <c r="A221" s="3648">
        <v>41112</v>
      </c>
      <c r="B221" s="3646" t="s">
        <v>4071</v>
      </c>
      <c r="C221" s="3646">
        <v>63</v>
      </c>
      <c r="D221" s="3646" t="s">
        <v>4111</v>
      </c>
      <c r="E221" s="3646" t="s">
        <v>4100</v>
      </c>
      <c r="F221" s="3646">
        <v>225</v>
      </c>
      <c r="G221" s="3648">
        <v>41120</v>
      </c>
      <c r="H221" s="3646">
        <v>217</v>
      </c>
      <c r="I221" s="3646">
        <v>33933</v>
      </c>
    </row>
    <row r="222" spans="1:9">
      <c r="A222" s="3648">
        <v>41106</v>
      </c>
      <c r="B222" s="3646" t="s">
        <v>4071</v>
      </c>
      <c r="C222" s="3646">
        <v>120</v>
      </c>
      <c r="D222" s="3646" t="s">
        <v>4107</v>
      </c>
      <c r="E222" s="3646" t="s">
        <v>4151</v>
      </c>
      <c r="F222" s="3646">
        <v>430</v>
      </c>
      <c r="G222" s="3648">
        <v>41106</v>
      </c>
      <c r="H222" s="3646">
        <v>423</v>
      </c>
      <c r="I222" s="3646">
        <v>34968</v>
      </c>
    </row>
    <row r="223" spans="1:9">
      <c r="A223" s="3648">
        <v>41086</v>
      </c>
      <c r="B223" s="3646" t="s">
        <v>4138</v>
      </c>
      <c r="C223" s="3646">
        <v>227</v>
      </c>
      <c r="D223" s="3646" t="s">
        <v>4122</v>
      </c>
      <c r="E223" s="3646" t="s">
        <v>4070</v>
      </c>
      <c r="F223" s="3646">
        <v>785</v>
      </c>
      <c r="G223" s="3648">
        <v>41087</v>
      </c>
      <c r="H223" s="3646">
        <v>748</v>
      </c>
      <c r="I223" s="3646">
        <v>32816</v>
      </c>
    </row>
    <row r="224" spans="1:9">
      <c r="A224" s="3648">
        <v>41034</v>
      </c>
      <c r="B224" s="3646" t="s">
        <v>4071</v>
      </c>
      <c r="C224" s="3646">
        <v>50</v>
      </c>
      <c r="D224" s="3646" t="s">
        <v>4110</v>
      </c>
      <c r="E224" s="3646" t="s">
        <v>4139</v>
      </c>
      <c r="F224" s="3646">
        <v>0</v>
      </c>
      <c r="G224" s="3646" t="s">
        <v>4113</v>
      </c>
      <c r="H224" s="3646">
        <v>170</v>
      </c>
      <c r="I224" s="3646">
        <v>33491</v>
      </c>
    </row>
    <row r="225" spans="1:9">
      <c r="A225" s="3648">
        <v>41012</v>
      </c>
      <c r="B225" s="3646" t="s">
        <v>4075</v>
      </c>
      <c r="C225" s="3646">
        <v>77</v>
      </c>
      <c r="D225" s="3646" t="s">
        <v>4110</v>
      </c>
      <c r="E225" s="3646" t="s">
        <v>4070</v>
      </c>
      <c r="F225" s="3646">
        <v>260</v>
      </c>
      <c r="G225" s="3648">
        <v>41012</v>
      </c>
      <c r="H225" s="3646">
        <v>255</v>
      </c>
      <c r="I225" s="3646">
        <v>32794</v>
      </c>
    </row>
    <row r="226" spans="1:9">
      <c r="A226" s="3648">
        <v>41006</v>
      </c>
      <c r="B226" s="3646" t="s">
        <v>4071</v>
      </c>
      <c r="C226" s="3646">
        <v>69</v>
      </c>
      <c r="D226" s="3646" t="s">
        <v>4110</v>
      </c>
      <c r="E226" s="3646" t="s">
        <v>4151</v>
      </c>
      <c r="F226" s="3646">
        <v>260</v>
      </c>
      <c r="G226" s="3648">
        <v>41008</v>
      </c>
      <c r="H226" s="3646">
        <v>258</v>
      </c>
      <c r="I226" s="3646">
        <v>36921</v>
      </c>
    </row>
    <row r="227" spans="1:9">
      <c r="A227" s="3648">
        <v>41002</v>
      </c>
      <c r="B227" s="3646" t="s">
        <v>4071</v>
      </c>
      <c r="C227" s="3646">
        <v>63</v>
      </c>
      <c r="D227" s="3646" t="s">
        <v>4110</v>
      </c>
      <c r="E227" s="3646" t="s">
        <v>3459</v>
      </c>
      <c r="F227" s="3646">
        <v>220</v>
      </c>
      <c r="G227" s="3648">
        <v>41006</v>
      </c>
      <c r="H227" s="3646">
        <v>218</v>
      </c>
      <c r="I227" s="3646">
        <v>34342</v>
      </c>
    </row>
    <row r="228" spans="1:9">
      <c r="A228" s="3648">
        <v>40960</v>
      </c>
      <c r="B228" s="3646" t="s">
        <v>4071</v>
      </c>
      <c r="C228" s="3646">
        <v>69</v>
      </c>
      <c r="D228" s="3646" t="s">
        <v>4111</v>
      </c>
      <c r="E228" s="3646" t="s">
        <v>4151</v>
      </c>
      <c r="F228" s="3646">
        <v>0</v>
      </c>
      <c r="G228" s="3646" t="s">
        <v>4113</v>
      </c>
      <c r="H228" s="3646">
        <v>242</v>
      </c>
      <c r="I228" s="3646">
        <v>34631</v>
      </c>
    </row>
    <row r="229" spans="1:9">
      <c r="A229" s="3648">
        <v>40957</v>
      </c>
      <c r="B229" s="3646" t="s">
        <v>4071</v>
      </c>
      <c r="C229" s="3646">
        <v>53</v>
      </c>
      <c r="D229" s="3646" t="s">
        <v>4146</v>
      </c>
      <c r="E229" s="3646" t="s">
        <v>4070</v>
      </c>
      <c r="F229" s="3646">
        <v>165</v>
      </c>
      <c r="G229" s="3648">
        <v>40959</v>
      </c>
      <c r="H229" s="3646">
        <v>163</v>
      </c>
      <c r="I229" s="3646">
        <v>30565</v>
      </c>
    </row>
    <row r="230" spans="1:9">
      <c r="A230" s="3648">
        <v>40955</v>
      </c>
      <c r="B230" s="3646" t="s">
        <v>4079</v>
      </c>
      <c r="C230" s="3646">
        <v>53</v>
      </c>
      <c r="D230" s="3646" t="s">
        <v>4110</v>
      </c>
      <c r="E230" s="3646" t="s">
        <v>4139</v>
      </c>
      <c r="F230" s="3646">
        <v>0</v>
      </c>
      <c r="G230" s="3646" t="s">
        <v>4113</v>
      </c>
      <c r="H230" s="3646">
        <v>172</v>
      </c>
      <c r="I230" s="3646">
        <v>31980</v>
      </c>
    </row>
    <row r="231" spans="1:9">
      <c r="A231" s="3648">
        <v>40853</v>
      </c>
      <c r="B231" s="3646" t="s">
        <v>4071</v>
      </c>
      <c r="C231" s="3646">
        <v>63</v>
      </c>
      <c r="D231" s="3646" t="s">
        <v>4097</v>
      </c>
      <c r="E231" s="3646" t="s">
        <v>4066</v>
      </c>
      <c r="F231" s="3646">
        <v>0</v>
      </c>
      <c r="G231" s="3646" t="s">
        <v>4113</v>
      </c>
      <c r="H231" s="3646">
        <v>160</v>
      </c>
      <c r="I231" s="3646">
        <v>25197</v>
      </c>
    </row>
  </sheetData>
  <phoneticPr fontId="135" type="noConversion"/>
  <pageMargins left="0.75" right="0.75" top="1" bottom="1" header="0.5" footer="0.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103.29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90" t="s">
        <v>1769</v>
      </c>
      <c r="D4" s="3891"/>
      <c r="E4" s="3892" t="s">
        <v>1770</v>
      </c>
      <c r="F4" s="3893"/>
      <c r="G4" s="3890" t="s">
        <v>1771</v>
      </c>
      <c r="H4" s="3891"/>
      <c r="I4" s="3890" t="s">
        <v>1772</v>
      </c>
      <c r="J4" s="3891"/>
      <c r="K4" s="559" t="s">
        <v>1773</v>
      </c>
      <c r="L4" s="2715"/>
      <c r="M4" s="2716"/>
      <c r="N4" s="2716"/>
      <c r="O4" s="2716"/>
      <c r="P4" s="3894" t="s">
        <v>1774</v>
      </c>
      <c r="Q4" s="3895"/>
      <c r="R4" s="3900" t="s">
        <v>1770</v>
      </c>
      <c r="S4" s="3901"/>
      <c r="T4" s="3900" t="s">
        <v>1771</v>
      </c>
      <c r="U4" s="3901"/>
      <c r="V4" s="3906" t="s">
        <v>1772</v>
      </c>
      <c r="W4" s="3906"/>
      <c r="X4" s="1355"/>
      <c r="Y4" s="3900" t="s">
        <v>1774</v>
      </c>
      <c r="Z4" s="3901"/>
      <c r="AA4" s="3887" t="s">
        <v>1770</v>
      </c>
      <c r="AB4" s="3906" t="s">
        <v>1771</v>
      </c>
      <c r="AC4" s="3887" t="s">
        <v>1772</v>
      </c>
    </row>
    <row r="5" spans="1:29">
      <c r="A5" s="358"/>
      <c r="B5" s="359"/>
      <c r="C5" s="3921" t="s">
        <v>1673</v>
      </c>
      <c r="D5" s="3915"/>
      <c r="E5" s="3923" t="s">
        <v>1674</v>
      </c>
      <c r="F5" s="3924"/>
      <c r="G5" s="3921" t="s">
        <v>1675</v>
      </c>
      <c r="H5" s="3915"/>
      <c r="I5" s="3921" t="s">
        <v>1676</v>
      </c>
      <c r="J5" s="3915"/>
      <c r="K5" s="559"/>
      <c r="L5" s="2715"/>
      <c r="M5" s="2716"/>
      <c r="N5" s="2716"/>
      <c r="O5" s="2716"/>
      <c r="P5" s="3896"/>
      <c r="Q5" s="3897"/>
      <c r="R5" s="3902"/>
      <c r="S5" s="3903"/>
      <c r="T5" s="3902"/>
      <c r="U5" s="3903"/>
      <c r="V5" s="3906"/>
      <c r="W5" s="3906"/>
      <c r="X5" s="1355"/>
      <c r="Y5" s="3902"/>
      <c r="Z5" s="3903"/>
      <c r="AA5" s="3888"/>
      <c r="AB5" s="3906"/>
      <c r="AC5" s="3888"/>
    </row>
    <row r="6" spans="1:29" ht="15" thickBot="1">
      <c r="A6" s="360"/>
      <c r="B6" s="361"/>
      <c r="C6" s="3920" t="s">
        <v>1677</v>
      </c>
      <c r="D6" s="3908"/>
      <c r="E6" s="3922" t="s">
        <v>1677</v>
      </c>
      <c r="F6" s="3917"/>
      <c r="G6" s="3920" t="s">
        <v>1677</v>
      </c>
      <c r="H6" s="3908"/>
      <c r="I6" s="3920" t="s">
        <v>1677</v>
      </c>
      <c r="J6" s="3908"/>
      <c r="K6" s="559" t="s">
        <v>1678</v>
      </c>
      <c r="L6" s="2715"/>
      <c r="M6" s="2716"/>
      <c r="N6" s="2716"/>
      <c r="O6" s="2716"/>
      <c r="P6" s="3898"/>
      <c r="Q6" s="3899"/>
      <c r="R6" s="3902"/>
      <c r="S6" s="3903"/>
      <c r="T6" s="3904"/>
      <c r="U6" s="3905"/>
      <c r="V6" s="3906"/>
      <c r="W6" s="3906"/>
      <c r="X6" s="1355"/>
      <c r="Y6" s="3904"/>
      <c r="Z6" s="3905"/>
      <c r="AA6" s="3889"/>
      <c r="AB6" s="3906"/>
      <c r="AC6" s="3889"/>
    </row>
    <row r="7" spans="1:29" s="108" customFormat="1" ht="15" thickBot="1">
      <c r="A7" s="362" t="s">
        <v>1679</v>
      </c>
      <c r="B7" s="363"/>
      <c r="C7" s="364">
        <f>'数据-取费表'!B2</f>
        <v>41424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911" t="s">
        <v>1680</v>
      </c>
      <c r="Q7" s="3913"/>
      <c r="R7" s="701" t="s">
        <v>14</v>
      </c>
      <c r="S7" s="702">
        <f t="shared" ref="S7:S15" si="0">F7</f>
        <v>0</v>
      </c>
      <c r="T7" s="701" t="s">
        <v>14</v>
      </c>
      <c r="U7" s="702">
        <f t="shared" ref="U7:U15" si="1">H7</f>
        <v>0</v>
      </c>
      <c r="V7" s="701" t="s">
        <v>14</v>
      </c>
      <c r="W7" s="702">
        <f t="shared" ref="W7:W15" si="2">J7</f>
        <v>0</v>
      </c>
      <c r="X7" s="703"/>
      <c r="Y7" s="3911" t="s">
        <v>1680</v>
      </c>
      <c r="Z7" s="391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911" t="s">
        <v>1683</v>
      </c>
      <c r="Q8" s="3912"/>
      <c r="R8" s="701" t="s">
        <v>14</v>
      </c>
      <c r="S8" s="702">
        <f t="shared" si="0"/>
        <v>100</v>
      </c>
      <c r="T8" s="701" t="s">
        <v>14</v>
      </c>
      <c r="U8" s="702">
        <f t="shared" si="1"/>
        <v>100</v>
      </c>
      <c r="V8" s="701" t="s">
        <v>14</v>
      </c>
      <c r="W8" s="702">
        <f t="shared" si="2"/>
        <v>100</v>
      </c>
      <c r="X8" s="703"/>
      <c r="Y8" s="3911" t="s">
        <v>1683</v>
      </c>
      <c r="Z8" s="391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86" t="s">
        <v>1686</v>
      </c>
      <c r="Q9" s="1343" t="str">
        <f t="shared" ref="Q9:Q15" si="6">B9</f>
        <v>用途</v>
      </c>
      <c r="R9" s="701" t="s">
        <v>14</v>
      </c>
      <c r="S9" s="702">
        <f t="shared" si="0"/>
        <v>100</v>
      </c>
      <c r="T9" s="701" t="s">
        <v>14</v>
      </c>
      <c r="U9" s="702">
        <f t="shared" si="1"/>
        <v>100</v>
      </c>
      <c r="V9" s="701" t="s">
        <v>14</v>
      </c>
      <c r="W9" s="702">
        <f t="shared" si="2"/>
        <v>100</v>
      </c>
      <c r="X9" s="703"/>
      <c r="Y9" s="37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86"/>
      <c r="Q10" s="1343" t="str">
        <f t="shared" si="6"/>
        <v>土地使用年限（年）</v>
      </c>
      <c r="R10" s="701" t="s">
        <v>14</v>
      </c>
      <c r="S10" s="702">
        <f t="shared" si="0"/>
        <v>100</v>
      </c>
      <c r="T10" s="701" t="s">
        <v>14</v>
      </c>
      <c r="U10" s="702">
        <f t="shared" si="1"/>
        <v>100</v>
      </c>
      <c r="V10" s="701" t="s">
        <v>14</v>
      </c>
      <c r="W10" s="702">
        <f t="shared" si="2"/>
        <v>100</v>
      </c>
      <c r="X10" s="703"/>
      <c r="Y10" s="37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86"/>
      <c r="Q11" s="1343" t="str">
        <f t="shared" si="6"/>
        <v>容积率</v>
      </c>
      <c r="R11" s="701" t="s">
        <v>14</v>
      </c>
      <c r="S11" s="702" t="e">
        <f t="shared" si="0"/>
        <v>#N/A</v>
      </c>
      <c r="T11" s="701" t="s">
        <v>14</v>
      </c>
      <c r="U11" s="702" t="e">
        <f t="shared" si="1"/>
        <v>#N/A</v>
      </c>
      <c r="V11" s="701" t="s">
        <v>14</v>
      </c>
      <c r="W11" s="702" t="e">
        <f t="shared" si="2"/>
        <v>#N/A</v>
      </c>
      <c r="X11" s="703"/>
      <c r="Y11" s="37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86"/>
      <c r="Q12" s="1343">
        <f t="shared" si="6"/>
        <v>111</v>
      </c>
      <c r="R12" s="701" t="s">
        <v>14</v>
      </c>
      <c r="S12" s="702">
        <f t="shared" si="0"/>
        <v>100</v>
      </c>
      <c r="T12" s="701" t="s">
        <v>14</v>
      </c>
      <c r="U12" s="702">
        <f t="shared" si="1"/>
        <v>100</v>
      </c>
      <c r="V12" s="701" t="s">
        <v>14</v>
      </c>
      <c r="W12" s="702">
        <f t="shared" si="2"/>
        <v>100</v>
      </c>
      <c r="X12" s="703"/>
      <c r="Y12" s="37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86"/>
      <c r="Q13" s="1343">
        <f t="shared" si="6"/>
        <v>111</v>
      </c>
      <c r="R13" s="701" t="s">
        <v>14</v>
      </c>
      <c r="S13" s="702">
        <f t="shared" si="0"/>
        <v>100</v>
      </c>
      <c r="T13" s="701" t="s">
        <v>14</v>
      </c>
      <c r="U13" s="702">
        <f t="shared" si="1"/>
        <v>100</v>
      </c>
      <c r="V13" s="701" t="s">
        <v>14</v>
      </c>
      <c r="W13" s="702">
        <f t="shared" si="2"/>
        <v>100</v>
      </c>
      <c r="X13" s="703"/>
      <c r="Y13" s="375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86"/>
      <c r="Q14" s="1343">
        <f t="shared" si="6"/>
        <v>111</v>
      </c>
      <c r="R14" s="701" t="s">
        <v>14</v>
      </c>
      <c r="S14" s="702">
        <f t="shared" si="0"/>
        <v>100</v>
      </c>
      <c r="T14" s="701" t="s">
        <v>14</v>
      </c>
      <c r="U14" s="702">
        <f t="shared" si="1"/>
        <v>100</v>
      </c>
      <c r="V14" s="701" t="s">
        <v>14</v>
      </c>
      <c r="W14" s="702">
        <f t="shared" si="2"/>
        <v>100</v>
      </c>
      <c r="X14" s="703"/>
      <c r="Y14" s="3750"/>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84" t="s">
        <v>1691</v>
      </c>
      <c r="Q15" s="1352" t="str">
        <f t="shared" si="6"/>
        <v>商业繁华度</v>
      </c>
      <c r="R15" s="705" t="s">
        <v>14</v>
      </c>
      <c r="S15" s="706">
        <f t="shared" si="0"/>
        <v>100</v>
      </c>
      <c r="T15" s="705" t="s">
        <v>14</v>
      </c>
      <c r="U15" s="706">
        <f t="shared" si="1"/>
        <v>100</v>
      </c>
      <c r="V15" s="705" t="s">
        <v>14</v>
      </c>
      <c r="W15" s="706">
        <f t="shared" si="2"/>
        <v>100</v>
      </c>
      <c r="X15" s="1355"/>
      <c r="Y15" s="387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85"/>
      <c r="Q16" s="1352"/>
      <c r="R16" s="705"/>
      <c r="S16" s="706"/>
      <c r="T16" s="705"/>
      <c r="U16" s="706"/>
      <c r="V16" s="705"/>
      <c r="W16" s="706"/>
      <c r="X16" s="1355"/>
      <c r="Y16" s="387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85"/>
      <c r="Q17" s="1352" t="str">
        <f>B17</f>
        <v>交通便捷度</v>
      </c>
      <c r="R17" s="705" t="s">
        <v>14</v>
      </c>
      <c r="S17" s="706">
        <f>F17</f>
        <v>100</v>
      </c>
      <c r="T17" s="705" t="s">
        <v>14</v>
      </c>
      <c r="U17" s="706">
        <f>H17</f>
        <v>100</v>
      </c>
      <c r="V17" s="705" t="s">
        <v>14</v>
      </c>
      <c r="W17" s="706">
        <f>J17</f>
        <v>100</v>
      </c>
      <c r="X17" s="1355"/>
      <c r="Y17" s="38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85"/>
      <c r="Q18" s="1352"/>
      <c r="R18" s="705"/>
      <c r="S18" s="706"/>
      <c r="T18" s="705"/>
      <c r="U18" s="706"/>
      <c r="V18" s="705"/>
      <c r="W18" s="706"/>
      <c r="X18" s="1355"/>
      <c r="Y18" s="387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85"/>
      <c r="Q19" s="1352" t="str">
        <f>B19</f>
        <v>公共配套设施</v>
      </c>
      <c r="R19" s="705" t="s">
        <v>14</v>
      </c>
      <c r="S19" s="706">
        <f>F19</f>
        <v>100</v>
      </c>
      <c r="T19" s="705" t="s">
        <v>14</v>
      </c>
      <c r="U19" s="706">
        <f>H19</f>
        <v>100</v>
      </c>
      <c r="V19" s="705" t="s">
        <v>14</v>
      </c>
      <c r="W19" s="706">
        <f>J19</f>
        <v>100</v>
      </c>
      <c r="X19" s="1355"/>
      <c r="Y19" s="38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85"/>
      <c r="Q20" s="1352"/>
      <c r="R20" s="705"/>
      <c r="S20" s="706"/>
      <c r="T20" s="705"/>
      <c r="U20" s="706"/>
      <c r="V20" s="705"/>
      <c r="W20" s="706"/>
      <c r="X20" s="1355"/>
      <c r="Y20" s="387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85"/>
      <c r="Q21" s="1352" t="str">
        <f>B21</f>
        <v>基础设施水平</v>
      </c>
      <c r="R21" s="705" t="s">
        <v>14</v>
      </c>
      <c r="S21" s="706">
        <f>F21</f>
        <v>100</v>
      </c>
      <c r="T21" s="705" t="s">
        <v>14</v>
      </c>
      <c r="U21" s="706">
        <f>H21</f>
        <v>100</v>
      </c>
      <c r="V21" s="705" t="s">
        <v>14</v>
      </c>
      <c r="W21" s="706">
        <f>J21</f>
        <v>100</v>
      </c>
      <c r="X21" s="1355"/>
      <c r="Y21" s="38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85"/>
      <c r="Q22" s="1352"/>
      <c r="R22" s="705"/>
      <c r="S22" s="706"/>
      <c r="T22" s="705"/>
      <c r="U22" s="706"/>
      <c r="V22" s="705"/>
      <c r="W22" s="706"/>
      <c r="X22" s="1355"/>
      <c r="Y22" s="387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85"/>
      <c r="Q23" s="1352" t="str">
        <f>B23</f>
        <v>自然及人文环境</v>
      </c>
      <c r="R23" s="705" t="s">
        <v>14</v>
      </c>
      <c r="S23" s="706">
        <f>F23</f>
        <v>100</v>
      </c>
      <c r="T23" s="705" t="s">
        <v>14</v>
      </c>
      <c r="U23" s="706">
        <f>H23</f>
        <v>100</v>
      </c>
      <c r="V23" s="705" t="s">
        <v>14</v>
      </c>
      <c r="W23" s="706">
        <f>J23</f>
        <v>100</v>
      </c>
      <c r="X23" s="1355"/>
      <c r="Y23" s="387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85"/>
      <c r="Q24" s="1352"/>
      <c r="R24" s="705"/>
      <c r="S24" s="706"/>
      <c r="T24" s="705"/>
      <c r="U24" s="706"/>
      <c r="V24" s="705"/>
      <c r="W24" s="706"/>
      <c r="X24" s="1355"/>
      <c r="Y24" s="387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85"/>
      <c r="Q25" s="1352" t="str">
        <f t="shared" ref="Q25:Q46" si="11">B25</f>
        <v>临街状况</v>
      </c>
      <c r="R25" s="705" t="s">
        <v>14</v>
      </c>
      <c r="S25" s="706">
        <f>F25</f>
        <v>100</v>
      </c>
      <c r="T25" s="705" t="s">
        <v>14</v>
      </c>
      <c r="U25" s="706">
        <f>H25</f>
        <v>100</v>
      </c>
      <c r="V25" s="705" t="s">
        <v>14</v>
      </c>
      <c r="W25" s="706">
        <f>J25</f>
        <v>100</v>
      </c>
      <c r="X25" s="1355"/>
      <c r="Y25" s="387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85"/>
      <c r="Q26" s="1352" t="str">
        <f t="shared" si="11"/>
        <v>平面位置/可视性</v>
      </c>
      <c r="R26" s="705" t="s">
        <v>14</v>
      </c>
      <c r="S26" s="706">
        <f>F26</f>
        <v>100</v>
      </c>
      <c r="T26" s="705" t="s">
        <v>14</v>
      </c>
      <c r="U26" s="706">
        <f>H26</f>
        <v>100</v>
      </c>
      <c r="V26" s="705" t="s">
        <v>14</v>
      </c>
      <c r="W26" s="706">
        <f>J26</f>
        <v>100</v>
      </c>
      <c r="X26" s="1355"/>
      <c r="Y26" s="387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85"/>
      <c r="Q27" s="1343" t="str">
        <f t="shared" si="11"/>
        <v>人流量</v>
      </c>
      <c r="R27" s="701" t="s">
        <v>14</v>
      </c>
      <c r="S27" s="702">
        <f>F27</f>
        <v>100</v>
      </c>
      <c r="T27" s="701" t="s">
        <v>14</v>
      </c>
      <c r="U27" s="702">
        <f>H27</f>
        <v>100</v>
      </c>
      <c r="V27" s="701" t="s">
        <v>14</v>
      </c>
      <c r="W27" s="702">
        <f>J27</f>
        <v>100</v>
      </c>
      <c r="X27" s="703"/>
      <c r="Y27" s="387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7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85"/>
      <c r="Q29" s="1352">
        <f t="shared" si="11"/>
        <v>111</v>
      </c>
      <c r="R29" s="705" t="s">
        <v>14</v>
      </c>
      <c r="S29" s="706">
        <f t="shared" si="12"/>
        <v>100</v>
      </c>
      <c r="T29" s="705" t="s">
        <v>14</v>
      </c>
      <c r="U29" s="706">
        <f t="shared" si="13"/>
        <v>100</v>
      </c>
      <c r="V29" s="705" t="s">
        <v>14</v>
      </c>
      <c r="W29" s="706">
        <f t="shared" si="14"/>
        <v>100</v>
      </c>
      <c r="X29" s="1355"/>
      <c r="Y29" s="387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85"/>
      <c r="Q30" s="1352">
        <f t="shared" si="11"/>
        <v>111</v>
      </c>
      <c r="R30" s="705" t="s">
        <v>14</v>
      </c>
      <c r="S30" s="706">
        <f t="shared" si="12"/>
        <v>100</v>
      </c>
      <c r="T30" s="705" t="s">
        <v>14</v>
      </c>
      <c r="U30" s="706">
        <f t="shared" si="13"/>
        <v>100</v>
      </c>
      <c r="V30" s="705" t="s">
        <v>14</v>
      </c>
      <c r="W30" s="706">
        <f t="shared" si="14"/>
        <v>100</v>
      </c>
      <c r="X30" s="1355"/>
      <c r="Y30" s="387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85"/>
      <c r="Q31" s="1352">
        <f t="shared" si="11"/>
        <v>111</v>
      </c>
      <c r="R31" s="705" t="s">
        <v>14</v>
      </c>
      <c r="S31" s="706">
        <f t="shared" si="12"/>
        <v>100</v>
      </c>
      <c r="T31" s="705" t="s">
        <v>14</v>
      </c>
      <c r="U31" s="706">
        <f t="shared" si="13"/>
        <v>100</v>
      </c>
      <c r="V31" s="705" t="s">
        <v>14</v>
      </c>
      <c r="W31" s="706">
        <f t="shared" si="14"/>
        <v>100</v>
      </c>
      <c r="X31" s="1355"/>
      <c r="Y31" s="387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79" t="s">
        <v>1695</v>
      </c>
      <c r="Q32" s="1352" t="str">
        <f t="shared" si="11"/>
        <v>商业类型</v>
      </c>
      <c r="R32" s="705" t="s">
        <v>14</v>
      </c>
      <c r="S32" s="706">
        <f t="shared" si="12"/>
        <v>100</v>
      </c>
      <c r="T32" s="705" t="s">
        <v>14</v>
      </c>
      <c r="U32" s="706">
        <f t="shared" si="13"/>
        <v>100</v>
      </c>
      <c r="V32" s="705" t="s">
        <v>14</v>
      </c>
      <c r="W32" s="706">
        <f t="shared" si="14"/>
        <v>100</v>
      </c>
      <c r="X32" s="1355"/>
      <c r="Y32" s="388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80"/>
      <c r="Q33" s="707" t="str">
        <f t="shared" si="11"/>
        <v>项目建筑规模</v>
      </c>
      <c r="R33" s="708" t="s">
        <v>14</v>
      </c>
      <c r="S33" s="709" t="e">
        <f t="shared" si="12"/>
        <v>#N/A</v>
      </c>
      <c r="T33" s="708" t="s">
        <v>14</v>
      </c>
      <c r="U33" s="709" t="e">
        <f t="shared" si="13"/>
        <v>#N/A</v>
      </c>
      <c r="V33" s="708" t="s">
        <v>14</v>
      </c>
      <c r="W33" s="709" t="e">
        <f t="shared" si="14"/>
        <v>#N/A</v>
      </c>
      <c r="X33" s="710"/>
      <c r="Y33" s="388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80"/>
      <c r="Q34" s="1352" t="str">
        <f t="shared" si="11"/>
        <v>建筑结构</v>
      </c>
      <c r="R34" s="705" t="s">
        <v>14</v>
      </c>
      <c r="S34" s="706">
        <f t="shared" si="12"/>
        <v>100</v>
      </c>
      <c r="T34" s="705" t="s">
        <v>14</v>
      </c>
      <c r="U34" s="706">
        <f t="shared" si="13"/>
        <v>100</v>
      </c>
      <c r="V34" s="705" t="s">
        <v>14</v>
      </c>
      <c r="W34" s="706">
        <f t="shared" si="14"/>
        <v>100</v>
      </c>
      <c r="X34" s="1355"/>
      <c r="Y34" s="388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80"/>
      <c r="Q35" s="1352" t="str">
        <f t="shared" si="11"/>
        <v>公共部分装修</v>
      </c>
      <c r="R35" s="705" t="s">
        <v>14</v>
      </c>
      <c r="S35" s="706">
        <f t="shared" si="12"/>
        <v>100</v>
      </c>
      <c r="T35" s="705" t="s">
        <v>14</v>
      </c>
      <c r="U35" s="706">
        <f t="shared" si="13"/>
        <v>100</v>
      </c>
      <c r="V35" s="705" t="s">
        <v>14</v>
      </c>
      <c r="W35" s="706">
        <f t="shared" si="14"/>
        <v>100</v>
      </c>
      <c r="X35" s="1355"/>
      <c r="Y35" s="388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80"/>
      <c r="Q36" s="1352" t="str">
        <f t="shared" si="11"/>
        <v>成新度</v>
      </c>
      <c r="R36" s="705" t="s">
        <v>14</v>
      </c>
      <c r="S36" s="706" t="e">
        <f t="shared" si="12"/>
        <v>#N/A</v>
      </c>
      <c r="T36" s="705" t="s">
        <v>14</v>
      </c>
      <c r="U36" s="706" t="e">
        <f t="shared" si="13"/>
        <v>#N/A</v>
      </c>
      <c r="V36" s="705" t="s">
        <v>14</v>
      </c>
      <c r="W36" s="706" t="e">
        <f t="shared" si="14"/>
        <v>#N/A</v>
      </c>
      <c r="X36" s="1355"/>
      <c r="Y36" s="388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80"/>
      <c r="Q37" s="1343" t="str">
        <f t="shared" si="11"/>
        <v>市政基础设施</v>
      </c>
      <c r="R37" s="701" t="s">
        <v>14</v>
      </c>
      <c r="S37" s="702">
        <f t="shared" si="12"/>
        <v>100</v>
      </c>
      <c r="T37" s="701" t="s">
        <v>14</v>
      </c>
      <c r="U37" s="702">
        <f t="shared" si="13"/>
        <v>100</v>
      </c>
      <c r="V37" s="701" t="s">
        <v>14</v>
      </c>
      <c r="W37" s="702">
        <f t="shared" si="14"/>
        <v>100</v>
      </c>
      <c r="X37" s="703"/>
      <c r="Y37" s="388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80" t="s">
        <v>1695</v>
      </c>
      <c r="Q38" s="1352" t="str">
        <f t="shared" si="11"/>
        <v>业态</v>
      </c>
      <c r="R38" s="705" t="s">
        <v>14</v>
      </c>
      <c r="S38" s="706">
        <f t="shared" si="12"/>
        <v>100</v>
      </c>
      <c r="T38" s="705" t="s">
        <v>14</v>
      </c>
      <c r="U38" s="706">
        <f t="shared" si="13"/>
        <v>100</v>
      </c>
      <c r="V38" s="705" t="s">
        <v>14</v>
      </c>
      <c r="W38" s="706">
        <f t="shared" si="14"/>
        <v>100</v>
      </c>
      <c r="X38" s="1355"/>
      <c r="Y38" s="388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80"/>
      <c r="Q39" s="1352" t="str">
        <f t="shared" si="11"/>
        <v>层高</v>
      </c>
      <c r="R39" s="705" t="s">
        <v>14</v>
      </c>
      <c r="S39" s="706">
        <f t="shared" si="12"/>
        <v>100</v>
      </c>
      <c r="T39" s="705" t="s">
        <v>14</v>
      </c>
      <c r="U39" s="706">
        <f t="shared" si="13"/>
        <v>100</v>
      </c>
      <c r="V39" s="705" t="s">
        <v>14</v>
      </c>
      <c r="W39" s="706">
        <f t="shared" si="14"/>
        <v>100</v>
      </c>
      <c r="X39" s="1355"/>
      <c r="Y39" s="388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80"/>
      <c r="Q40" s="1352" t="str">
        <f t="shared" si="11"/>
        <v>单套建筑面积</v>
      </c>
      <c r="R40" s="705" t="s">
        <v>14</v>
      </c>
      <c r="S40" s="706">
        <f t="shared" si="12"/>
        <v>100</v>
      </c>
      <c r="T40" s="705" t="s">
        <v>14</v>
      </c>
      <c r="U40" s="706">
        <f t="shared" si="13"/>
        <v>100</v>
      </c>
      <c r="V40" s="705" t="s">
        <v>14</v>
      </c>
      <c r="W40" s="706">
        <f t="shared" si="14"/>
        <v>100</v>
      </c>
      <c r="X40" s="1355"/>
      <c r="Y40" s="388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80"/>
      <c r="Q41" s="707" t="str">
        <f t="shared" si="11"/>
        <v>进深比</v>
      </c>
      <c r="R41" s="708" t="s">
        <v>14</v>
      </c>
      <c r="S41" s="709">
        <f t="shared" si="12"/>
        <v>100</v>
      </c>
      <c r="T41" s="708" t="s">
        <v>14</v>
      </c>
      <c r="U41" s="709">
        <f t="shared" si="13"/>
        <v>100</v>
      </c>
      <c r="V41" s="708" t="s">
        <v>14</v>
      </c>
      <c r="W41" s="709">
        <f t="shared" si="14"/>
        <v>100</v>
      </c>
      <c r="X41" s="710"/>
      <c r="Y41" s="388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80"/>
      <c r="Q42" s="1352" t="str">
        <f t="shared" si="11"/>
        <v>内部装修</v>
      </c>
      <c r="R42" s="705" t="s">
        <v>14</v>
      </c>
      <c r="S42" s="706">
        <f t="shared" si="12"/>
        <v>100</v>
      </c>
      <c r="T42" s="705" t="s">
        <v>14</v>
      </c>
      <c r="U42" s="706">
        <f t="shared" si="13"/>
        <v>100</v>
      </c>
      <c r="V42" s="705" t="s">
        <v>14</v>
      </c>
      <c r="W42" s="706">
        <f t="shared" si="14"/>
        <v>100</v>
      </c>
      <c r="X42" s="1355"/>
      <c r="Y42" s="388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80"/>
      <c r="Q43" s="1352" t="str">
        <f t="shared" si="11"/>
        <v>内部装修维护情况</v>
      </c>
      <c r="R43" s="705" t="s">
        <v>14</v>
      </c>
      <c r="S43" s="706">
        <f t="shared" si="12"/>
        <v>100</v>
      </c>
      <c r="T43" s="705" t="s">
        <v>14</v>
      </c>
      <c r="U43" s="706">
        <f t="shared" si="13"/>
        <v>100</v>
      </c>
      <c r="V43" s="705" t="s">
        <v>14</v>
      </c>
      <c r="W43" s="706">
        <f t="shared" si="14"/>
        <v>100</v>
      </c>
      <c r="X43" s="1355"/>
      <c r="Y43" s="38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80"/>
      <c r="Q44" s="1343">
        <f t="shared" si="11"/>
        <v>111</v>
      </c>
      <c r="R44" s="701" t="s">
        <v>14</v>
      </c>
      <c r="S44" s="702">
        <f t="shared" si="12"/>
        <v>100</v>
      </c>
      <c r="T44" s="701" t="s">
        <v>14</v>
      </c>
      <c r="U44" s="702">
        <f t="shared" si="13"/>
        <v>100</v>
      </c>
      <c r="V44" s="701" t="s">
        <v>14</v>
      </c>
      <c r="W44" s="702">
        <f t="shared" si="14"/>
        <v>100</v>
      </c>
      <c r="X44" s="703"/>
      <c r="Y44" s="38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80"/>
      <c r="Q45" s="1352">
        <f t="shared" si="11"/>
        <v>111</v>
      </c>
      <c r="R45" s="705" t="s">
        <v>14</v>
      </c>
      <c r="S45" s="706">
        <f t="shared" si="12"/>
        <v>100</v>
      </c>
      <c r="T45" s="705" t="s">
        <v>14</v>
      </c>
      <c r="U45" s="706">
        <f t="shared" si="13"/>
        <v>100</v>
      </c>
      <c r="V45" s="705" t="s">
        <v>14</v>
      </c>
      <c r="W45" s="706">
        <f t="shared" si="14"/>
        <v>100</v>
      </c>
      <c r="X45" s="1355"/>
      <c r="Y45" s="388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81"/>
      <c r="Q46" s="1352">
        <f t="shared" si="11"/>
        <v>111</v>
      </c>
      <c r="R46" s="705" t="s">
        <v>14</v>
      </c>
      <c r="S46" s="706">
        <f t="shared" si="12"/>
        <v>100</v>
      </c>
      <c r="T46" s="705" t="s">
        <v>14</v>
      </c>
      <c r="U46" s="706">
        <f t="shared" si="13"/>
        <v>100</v>
      </c>
      <c r="V46" s="705" t="s">
        <v>14</v>
      </c>
      <c r="W46" s="706">
        <f t="shared" si="14"/>
        <v>100</v>
      </c>
      <c r="X46" s="1355"/>
      <c r="Y46" s="388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875" t="str">
        <f>A47</f>
        <v>成交单价（元/平方米）</v>
      </c>
      <c r="Q47" s="3875"/>
      <c r="R47" s="3906">
        <f>E47</f>
        <v>0</v>
      </c>
      <c r="S47" s="3906"/>
      <c r="T47" s="3906">
        <f>G47</f>
        <v>0</v>
      </c>
      <c r="U47" s="3906"/>
      <c r="V47" s="3906">
        <f>I47</f>
        <v>0</v>
      </c>
      <c r="W47" s="390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875" t="str">
        <f>A48</f>
        <v>比较价值（元/平方米）</v>
      </c>
      <c r="Q48" s="3875"/>
      <c r="R48" s="3876" t="e">
        <f>IF(F1="售价",ROUND(PRODUCT(R47,AA7:AA46),0),ROUND(PRODUCT(R47,AA7:AA46),1))</f>
        <v>#DIV/0!</v>
      </c>
      <c r="S48" s="3876"/>
      <c r="T48" s="3876" t="e">
        <f>IF(F1="售价",ROUND(PRODUCT(T47,AB7:AB46),0),ROUND(PRODUCT(T47,AB7:AB46),1))</f>
        <v>#DIV/0!</v>
      </c>
      <c r="U48" s="3876"/>
      <c r="V48" s="3876" t="e">
        <f>IF(F1="售价",ROUND(PRODUCT(V47,AC7:AC46),0),ROUND(PRODUCT(V47,AC7:AC46),1))</f>
        <v>#DIV/0!</v>
      </c>
      <c r="W48" s="387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872" t="str">
        <f>A49</f>
        <v>估价对象XX用房的比较价值（楼面单价，元/平方米）</v>
      </c>
      <c r="Q49" s="3873"/>
      <c r="R49" s="3874" t="e">
        <f>IF(F1="售价",ROUND(IF(D48="简单平均",AVERAGE(R48:V48),R48*F48+T48*H48+V48*J48),0),ROUND(IF(D48="简单平均",AVERAGE(R48:V48),R48*F48+T48*H48+V48*J48),1))</f>
        <v>#DIV/0!</v>
      </c>
      <c r="S49" s="3874"/>
      <c r="T49" s="3874"/>
      <c r="U49" s="3874"/>
      <c r="V49" s="3874"/>
      <c r="W49" s="387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2013-5</v>
      </c>
      <c r="D58" s="1185">
        <f>EDATE(C58,-1)</f>
        <v>41365</v>
      </c>
      <c r="E58" s="1185">
        <f t="shared" ref="E58:N58" si="16">EDATE(D58,-1)</f>
        <v>41334</v>
      </c>
      <c r="F58" s="1185">
        <f t="shared" si="16"/>
        <v>41306</v>
      </c>
      <c r="G58" s="1185">
        <f t="shared" si="16"/>
        <v>41275</v>
      </c>
      <c r="H58" s="1185">
        <f t="shared" si="16"/>
        <v>41244</v>
      </c>
      <c r="I58" s="1185">
        <f t="shared" si="16"/>
        <v>41214</v>
      </c>
      <c r="J58" s="1185">
        <f t="shared" si="16"/>
        <v>41183</v>
      </c>
      <c r="K58" s="1185">
        <f t="shared" si="16"/>
        <v>41153</v>
      </c>
      <c r="L58" s="1185">
        <f t="shared" si="16"/>
        <v>41122</v>
      </c>
      <c r="M58" s="1185">
        <f t="shared" si="16"/>
        <v>41091</v>
      </c>
      <c r="N58" s="1185">
        <f t="shared" si="16"/>
        <v>41061</v>
      </c>
      <c r="O58" s="1185">
        <f>EDATE(N58,-1)</f>
        <v>41030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估价对象为北京市房地产，为所有。根据《国有土地使用证》[]，估价对象（分摊）出让国有建设用地使用权面积为0平方米，建筑面积为103.29平方米。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估价对象为北京市房地产,属开发建设的，该项目尚在开发建设中。根据《国有土地使用证》[]，估价对象（分摊）出让国有建设用地使用权面积为0平方米，规划建筑面积为103.29平方米。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2013年5月30日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103.29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90" t="s">
        <v>1769</v>
      </c>
      <c r="D4" s="3891"/>
      <c r="E4" s="3892" t="s">
        <v>1770</v>
      </c>
      <c r="F4" s="3893"/>
      <c r="G4" s="3890" t="s">
        <v>1771</v>
      </c>
      <c r="H4" s="3891"/>
      <c r="I4" s="3890" t="s">
        <v>1772</v>
      </c>
      <c r="J4" s="3891"/>
      <c r="K4" s="559" t="s">
        <v>1773</v>
      </c>
      <c r="L4" s="2715"/>
      <c r="M4" s="2716"/>
      <c r="N4" s="2716"/>
      <c r="O4" s="2716"/>
      <c r="P4" s="3931" t="s">
        <v>1774</v>
      </c>
      <c r="Q4" s="3932"/>
      <c r="R4" s="3935" t="s">
        <v>1770</v>
      </c>
      <c r="S4" s="3936"/>
      <c r="T4" s="3935" t="s">
        <v>1771</v>
      </c>
      <c r="U4" s="3936"/>
      <c r="V4" s="3937" t="s">
        <v>1772</v>
      </c>
      <c r="W4" s="3937"/>
      <c r="X4" s="1958"/>
      <c r="Y4" s="3935" t="s">
        <v>1774</v>
      </c>
      <c r="Z4" s="3936"/>
      <c r="AA4" s="3939" t="s">
        <v>1770</v>
      </c>
      <c r="AB4" s="3939" t="s">
        <v>1771</v>
      </c>
      <c r="AC4" s="3928" t="s">
        <v>1772</v>
      </c>
    </row>
    <row r="5" spans="1:29">
      <c r="A5" s="358"/>
      <c r="B5" s="359"/>
      <c r="C5" s="3921" t="s">
        <v>1673</v>
      </c>
      <c r="D5" s="3915"/>
      <c r="E5" s="3923" t="s">
        <v>1674</v>
      </c>
      <c r="F5" s="3924"/>
      <c r="G5" s="3921" t="s">
        <v>1675</v>
      </c>
      <c r="H5" s="3915"/>
      <c r="I5" s="3921" t="s">
        <v>1676</v>
      </c>
      <c r="J5" s="3915"/>
      <c r="K5" s="559"/>
      <c r="L5" s="2715"/>
      <c r="M5" s="2716"/>
      <c r="N5" s="2716"/>
      <c r="O5" s="2716"/>
      <c r="P5" s="3933"/>
      <c r="Q5" s="3897"/>
      <c r="R5" s="3902"/>
      <c r="S5" s="3903"/>
      <c r="T5" s="3902"/>
      <c r="U5" s="3903"/>
      <c r="V5" s="3906"/>
      <c r="W5" s="3906"/>
      <c r="X5" s="1355"/>
      <c r="Y5" s="3902"/>
      <c r="Z5" s="3903"/>
      <c r="AA5" s="3888"/>
      <c r="AB5" s="3888"/>
      <c r="AC5" s="3929"/>
    </row>
    <row r="6" spans="1:29" ht="15" thickBot="1">
      <c r="A6" s="360"/>
      <c r="B6" s="361"/>
      <c r="C6" s="3920" t="s">
        <v>1677</v>
      </c>
      <c r="D6" s="3908"/>
      <c r="E6" s="3922" t="s">
        <v>1677</v>
      </c>
      <c r="F6" s="3917"/>
      <c r="G6" s="3920" t="s">
        <v>1677</v>
      </c>
      <c r="H6" s="3908"/>
      <c r="I6" s="3920" t="s">
        <v>1677</v>
      </c>
      <c r="J6" s="3908"/>
      <c r="K6" s="559" t="s">
        <v>1678</v>
      </c>
      <c r="L6" s="2715"/>
      <c r="M6" s="2716"/>
      <c r="N6" s="2716"/>
      <c r="O6" s="2716"/>
      <c r="P6" s="3934"/>
      <c r="Q6" s="3899"/>
      <c r="R6" s="3902"/>
      <c r="S6" s="3903"/>
      <c r="T6" s="3904"/>
      <c r="U6" s="3905"/>
      <c r="V6" s="3906"/>
      <c r="W6" s="3906"/>
      <c r="X6" s="1355"/>
      <c r="Y6" s="3904"/>
      <c r="Z6" s="3905"/>
      <c r="AA6" s="3889"/>
      <c r="AB6" s="3889"/>
      <c r="AC6" s="3930"/>
    </row>
    <row r="7" spans="1:29" s="108" customFormat="1" ht="15" thickBot="1">
      <c r="A7" s="362" t="s">
        <v>1679</v>
      </c>
      <c r="B7" s="363"/>
      <c r="C7" s="364">
        <f>'数据-取费表'!B2</f>
        <v>41424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38" t="s">
        <v>1680</v>
      </c>
      <c r="Q7" s="3913"/>
      <c r="R7" s="701" t="s">
        <v>14</v>
      </c>
      <c r="S7" s="702">
        <f t="shared" ref="S7:S15" si="0">F7</f>
        <v>0</v>
      </c>
      <c r="T7" s="701" t="s">
        <v>14</v>
      </c>
      <c r="U7" s="702">
        <f t="shared" ref="U7:U15" si="1">H7</f>
        <v>0</v>
      </c>
      <c r="V7" s="701" t="s">
        <v>14</v>
      </c>
      <c r="W7" s="702">
        <f t="shared" ref="W7:W15" si="2">J7</f>
        <v>0</v>
      </c>
      <c r="X7" s="703"/>
      <c r="Y7" s="3911" t="s">
        <v>1680</v>
      </c>
      <c r="Z7" s="391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38" t="s">
        <v>1683</v>
      </c>
      <c r="Q8" s="3912"/>
      <c r="R8" s="701" t="s">
        <v>14</v>
      </c>
      <c r="S8" s="702">
        <f t="shared" si="0"/>
        <v>100</v>
      </c>
      <c r="T8" s="701" t="s">
        <v>14</v>
      </c>
      <c r="U8" s="702">
        <f t="shared" si="1"/>
        <v>100</v>
      </c>
      <c r="V8" s="701" t="s">
        <v>14</v>
      </c>
      <c r="W8" s="702">
        <f t="shared" si="2"/>
        <v>100</v>
      </c>
      <c r="X8" s="703"/>
      <c r="Y8" s="3911" t="s">
        <v>1683</v>
      </c>
      <c r="Z8" s="391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86" t="s">
        <v>1686</v>
      </c>
      <c r="Q9" s="1343" t="str">
        <f t="shared" ref="Q9:Q15" si="6">B9</f>
        <v>用途</v>
      </c>
      <c r="R9" s="701" t="s">
        <v>14</v>
      </c>
      <c r="S9" s="702">
        <f t="shared" si="0"/>
        <v>100</v>
      </c>
      <c r="T9" s="701" t="s">
        <v>14</v>
      </c>
      <c r="U9" s="702">
        <f t="shared" si="1"/>
        <v>100</v>
      </c>
      <c r="V9" s="701" t="s">
        <v>14</v>
      </c>
      <c r="W9" s="702">
        <f t="shared" si="2"/>
        <v>100</v>
      </c>
      <c r="X9" s="703"/>
      <c r="Y9" s="375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86"/>
      <c r="Q10" s="1343" t="str">
        <f t="shared" si="6"/>
        <v>土地使用年限（年）</v>
      </c>
      <c r="R10" s="701" t="s">
        <v>14</v>
      </c>
      <c r="S10" s="702">
        <f t="shared" si="0"/>
        <v>100</v>
      </c>
      <c r="T10" s="701" t="s">
        <v>14</v>
      </c>
      <c r="U10" s="702">
        <f t="shared" si="1"/>
        <v>100</v>
      </c>
      <c r="V10" s="701" t="s">
        <v>14</v>
      </c>
      <c r="W10" s="702">
        <f t="shared" si="2"/>
        <v>100</v>
      </c>
      <c r="X10" s="703"/>
      <c r="Y10" s="37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86"/>
      <c r="Q11" s="1343" t="str">
        <f t="shared" si="6"/>
        <v>容积率</v>
      </c>
      <c r="R11" s="701" t="s">
        <v>14</v>
      </c>
      <c r="S11" s="702">
        <f t="shared" si="0"/>
        <v>100</v>
      </c>
      <c r="T11" s="701" t="s">
        <v>14</v>
      </c>
      <c r="U11" s="702">
        <f t="shared" si="1"/>
        <v>100</v>
      </c>
      <c r="V11" s="701" t="s">
        <v>14</v>
      </c>
      <c r="W11" s="702">
        <f t="shared" si="2"/>
        <v>100</v>
      </c>
      <c r="X11" s="703"/>
      <c r="Y11" s="37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86"/>
      <c r="Q12" s="1343">
        <f t="shared" si="6"/>
        <v>111</v>
      </c>
      <c r="R12" s="701" t="s">
        <v>14</v>
      </c>
      <c r="S12" s="702">
        <f t="shared" si="0"/>
        <v>100</v>
      </c>
      <c r="T12" s="701" t="s">
        <v>14</v>
      </c>
      <c r="U12" s="702">
        <f t="shared" si="1"/>
        <v>100</v>
      </c>
      <c r="V12" s="701" t="s">
        <v>14</v>
      </c>
      <c r="W12" s="702">
        <f t="shared" si="2"/>
        <v>100</v>
      </c>
      <c r="X12" s="703"/>
      <c r="Y12" s="37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86"/>
      <c r="Q13" s="1343">
        <f t="shared" si="6"/>
        <v>111</v>
      </c>
      <c r="R13" s="701" t="s">
        <v>14</v>
      </c>
      <c r="S13" s="702">
        <f t="shared" si="0"/>
        <v>100</v>
      </c>
      <c r="T13" s="701" t="s">
        <v>14</v>
      </c>
      <c r="U13" s="702">
        <f t="shared" si="1"/>
        <v>100</v>
      </c>
      <c r="V13" s="701" t="s">
        <v>14</v>
      </c>
      <c r="W13" s="702">
        <f t="shared" si="2"/>
        <v>100</v>
      </c>
      <c r="X13" s="703"/>
      <c r="Y13" s="375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86"/>
      <c r="Q14" s="1343">
        <f t="shared" si="6"/>
        <v>111</v>
      </c>
      <c r="R14" s="701" t="s">
        <v>14</v>
      </c>
      <c r="S14" s="702">
        <f t="shared" si="0"/>
        <v>100</v>
      </c>
      <c r="T14" s="701" t="s">
        <v>14</v>
      </c>
      <c r="U14" s="702">
        <f t="shared" si="1"/>
        <v>100</v>
      </c>
      <c r="V14" s="701" t="s">
        <v>14</v>
      </c>
      <c r="W14" s="702">
        <f t="shared" si="2"/>
        <v>100</v>
      </c>
      <c r="X14" s="703"/>
      <c r="Y14" s="3750"/>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84" t="s">
        <v>1691</v>
      </c>
      <c r="Q15" s="1352" t="str">
        <f t="shared" si="6"/>
        <v>办公集聚程度</v>
      </c>
      <c r="R15" s="705" t="s">
        <v>14</v>
      </c>
      <c r="S15" s="706">
        <f t="shared" si="0"/>
        <v>100</v>
      </c>
      <c r="T15" s="705" t="s">
        <v>14</v>
      </c>
      <c r="U15" s="706">
        <f t="shared" si="1"/>
        <v>100</v>
      </c>
      <c r="V15" s="705" t="s">
        <v>14</v>
      </c>
      <c r="W15" s="706">
        <f t="shared" si="2"/>
        <v>100</v>
      </c>
      <c r="X15" s="1355"/>
      <c r="Y15" s="387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85"/>
      <c r="Q16" s="1352"/>
      <c r="R16" s="705"/>
      <c r="S16" s="706"/>
      <c r="T16" s="705"/>
      <c r="U16" s="706"/>
      <c r="V16" s="705"/>
      <c r="W16" s="706"/>
      <c r="X16" s="1355"/>
      <c r="Y16" s="387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85"/>
      <c r="Q17" s="1352" t="str">
        <f>B17</f>
        <v>交通便捷度</v>
      </c>
      <c r="R17" s="705" t="s">
        <v>14</v>
      </c>
      <c r="S17" s="706">
        <f>F17</f>
        <v>100</v>
      </c>
      <c r="T17" s="705" t="s">
        <v>14</v>
      </c>
      <c r="U17" s="706">
        <f>H17</f>
        <v>100</v>
      </c>
      <c r="V17" s="705" t="s">
        <v>14</v>
      </c>
      <c r="W17" s="706">
        <f>J17</f>
        <v>100</v>
      </c>
      <c r="X17" s="1355"/>
      <c r="Y17" s="387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85"/>
      <c r="Q18" s="1352"/>
      <c r="R18" s="705"/>
      <c r="S18" s="706"/>
      <c r="T18" s="705"/>
      <c r="U18" s="706"/>
      <c r="V18" s="705"/>
      <c r="W18" s="706"/>
      <c r="X18" s="1355"/>
      <c r="Y18" s="387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85"/>
      <c r="Q19" s="1352" t="str">
        <f>B19</f>
        <v>公共配套设施</v>
      </c>
      <c r="R19" s="705" t="s">
        <v>14</v>
      </c>
      <c r="S19" s="706">
        <f>F19</f>
        <v>100</v>
      </c>
      <c r="T19" s="705" t="s">
        <v>14</v>
      </c>
      <c r="U19" s="706">
        <f>H19</f>
        <v>100</v>
      </c>
      <c r="V19" s="705" t="s">
        <v>14</v>
      </c>
      <c r="W19" s="706">
        <f>J19</f>
        <v>100</v>
      </c>
      <c r="X19" s="1355"/>
      <c r="Y19" s="387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85"/>
      <c r="Q20" s="1352"/>
      <c r="R20" s="705"/>
      <c r="S20" s="706"/>
      <c r="T20" s="705"/>
      <c r="U20" s="706"/>
      <c r="V20" s="705"/>
      <c r="W20" s="706"/>
      <c r="X20" s="1355"/>
      <c r="Y20" s="387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85"/>
      <c r="Q21" s="1352" t="str">
        <f>B21</f>
        <v>基础设施水平</v>
      </c>
      <c r="R21" s="705" t="s">
        <v>14</v>
      </c>
      <c r="S21" s="706">
        <f>F21</f>
        <v>100</v>
      </c>
      <c r="T21" s="705" t="s">
        <v>14</v>
      </c>
      <c r="U21" s="706">
        <f>H21</f>
        <v>100</v>
      </c>
      <c r="V21" s="705" t="s">
        <v>14</v>
      </c>
      <c r="W21" s="706">
        <f>J21</f>
        <v>100</v>
      </c>
      <c r="X21" s="1355"/>
      <c r="Y21" s="387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85"/>
      <c r="Q22" s="1352"/>
      <c r="R22" s="705"/>
      <c r="S22" s="706"/>
      <c r="T22" s="705"/>
      <c r="U22" s="706"/>
      <c r="V22" s="705"/>
      <c r="W22" s="706"/>
      <c r="X22" s="1355"/>
      <c r="Y22" s="387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85"/>
      <c r="Q23" s="1352" t="str">
        <f>B23</f>
        <v>环境质量</v>
      </c>
      <c r="R23" s="705" t="s">
        <v>14</v>
      </c>
      <c r="S23" s="706">
        <f>F23</f>
        <v>100</v>
      </c>
      <c r="T23" s="705" t="s">
        <v>14</v>
      </c>
      <c r="U23" s="706">
        <f>H23</f>
        <v>100</v>
      </c>
      <c r="V23" s="705" t="s">
        <v>14</v>
      </c>
      <c r="W23" s="706">
        <f>J23</f>
        <v>100</v>
      </c>
      <c r="X23" s="1355"/>
      <c r="Y23" s="387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85"/>
      <c r="Q24" s="1352"/>
      <c r="R24" s="705"/>
      <c r="S24" s="706"/>
      <c r="T24" s="705"/>
      <c r="U24" s="706"/>
      <c r="V24" s="705"/>
      <c r="W24" s="706"/>
      <c r="X24" s="1355"/>
      <c r="Y24" s="387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85"/>
      <c r="Q25" s="1352" t="str">
        <f>B25</f>
        <v>毗邻道路的类型与等级</v>
      </c>
      <c r="R25" s="705" t="s">
        <v>14</v>
      </c>
      <c r="S25" s="706">
        <f>F25</f>
        <v>100</v>
      </c>
      <c r="T25" s="705" t="s">
        <v>14</v>
      </c>
      <c r="U25" s="706">
        <f>H25</f>
        <v>100</v>
      </c>
      <c r="V25" s="705" t="s">
        <v>14</v>
      </c>
      <c r="W25" s="706">
        <f>J25</f>
        <v>100</v>
      </c>
      <c r="X25" s="1355"/>
      <c r="Y25" s="387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85"/>
      <c r="Q26" s="1352"/>
      <c r="R26" s="705"/>
      <c r="S26" s="706"/>
      <c r="T26" s="705"/>
      <c r="U26" s="706"/>
      <c r="V26" s="705"/>
      <c r="W26" s="706"/>
      <c r="X26" s="1355"/>
      <c r="Y26" s="387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85"/>
      <c r="Q27" s="1352" t="str">
        <f t="shared" ref="Q27:Q47" si="11">B27</f>
        <v>楼层</v>
      </c>
      <c r="R27" s="705" t="s">
        <v>14</v>
      </c>
      <c r="S27" s="706">
        <f>F27</f>
        <v>100</v>
      </c>
      <c r="T27" s="705" t="s">
        <v>14</v>
      </c>
      <c r="U27" s="706">
        <f>H27</f>
        <v>100</v>
      </c>
      <c r="V27" s="705" t="s">
        <v>14</v>
      </c>
      <c r="W27" s="706">
        <f>J27</f>
        <v>100</v>
      </c>
      <c r="X27" s="1355"/>
      <c r="Y27" s="387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85"/>
      <c r="Q28" s="1343" t="str">
        <f t="shared" si="11"/>
        <v>朝向</v>
      </c>
      <c r="R28" s="701" t="s">
        <v>14</v>
      </c>
      <c r="S28" s="702">
        <f>F28</f>
        <v>100</v>
      </c>
      <c r="T28" s="701" t="s">
        <v>14</v>
      </c>
      <c r="U28" s="702">
        <f>H28</f>
        <v>100</v>
      </c>
      <c r="V28" s="701" t="s">
        <v>14</v>
      </c>
      <c r="W28" s="702">
        <f>J28</f>
        <v>100</v>
      </c>
      <c r="X28" s="703"/>
      <c r="Y28" s="387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85"/>
      <c r="Q29" s="1352">
        <f t="shared" si="11"/>
        <v>111</v>
      </c>
      <c r="R29" s="705" t="s">
        <v>14</v>
      </c>
      <c r="S29" s="706">
        <f t="shared" ref="S29:S47" si="12">F29</f>
        <v>100</v>
      </c>
      <c r="T29" s="705" t="s">
        <v>14</v>
      </c>
      <c r="U29" s="706">
        <f t="shared" ref="U29:U47" si="13">H29</f>
        <v>100</v>
      </c>
      <c r="V29" s="705" t="s">
        <v>14</v>
      </c>
      <c r="W29" s="706">
        <f t="shared" ref="W29:W47" si="14">J29</f>
        <v>100</v>
      </c>
      <c r="X29" s="1355"/>
      <c r="Y29" s="387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85"/>
      <c r="Q30" s="1352">
        <f t="shared" si="11"/>
        <v>111</v>
      </c>
      <c r="R30" s="705" t="s">
        <v>14</v>
      </c>
      <c r="S30" s="706">
        <f t="shared" si="12"/>
        <v>100</v>
      </c>
      <c r="T30" s="705" t="s">
        <v>14</v>
      </c>
      <c r="U30" s="706">
        <f t="shared" si="13"/>
        <v>100</v>
      </c>
      <c r="V30" s="705" t="s">
        <v>14</v>
      </c>
      <c r="W30" s="706">
        <f t="shared" si="14"/>
        <v>100</v>
      </c>
      <c r="X30" s="1355"/>
      <c r="Y30" s="387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85"/>
      <c r="Q31" s="1352">
        <f t="shared" si="11"/>
        <v>111</v>
      </c>
      <c r="R31" s="705" t="s">
        <v>14</v>
      </c>
      <c r="S31" s="706">
        <f t="shared" si="12"/>
        <v>100</v>
      </c>
      <c r="T31" s="705" t="s">
        <v>14</v>
      </c>
      <c r="U31" s="706">
        <f t="shared" si="13"/>
        <v>100</v>
      </c>
      <c r="V31" s="705" t="s">
        <v>14</v>
      </c>
      <c r="W31" s="706">
        <f t="shared" si="14"/>
        <v>100</v>
      </c>
      <c r="X31" s="1355"/>
      <c r="Y31" s="387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85"/>
      <c r="Q32" s="1352">
        <f t="shared" si="11"/>
        <v>111</v>
      </c>
      <c r="R32" s="705" t="s">
        <v>14</v>
      </c>
      <c r="S32" s="706">
        <f t="shared" si="12"/>
        <v>100</v>
      </c>
      <c r="T32" s="705" t="s">
        <v>14</v>
      </c>
      <c r="U32" s="706">
        <f t="shared" si="13"/>
        <v>100</v>
      </c>
      <c r="V32" s="705" t="s">
        <v>14</v>
      </c>
      <c r="W32" s="706">
        <f t="shared" si="14"/>
        <v>100</v>
      </c>
      <c r="X32" s="1355"/>
      <c r="Y32" s="387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79" t="s">
        <v>1695</v>
      </c>
      <c r="Q33" s="1352" t="str">
        <f t="shared" si="11"/>
        <v>建筑类型</v>
      </c>
      <c r="R33" s="705" t="s">
        <v>14</v>
      </c>
      <c r="S33" s="706">
        <f t="shared" si="12"/>
        <v>100</v>
      </c>
      <c r="T33" s="705" t="s">
        <v>14</v>
      </c>
      <c r="U33" s="706">
        <f t="shared" si="13"/>
        <v>100</v>
      </c>
      <c r="V33" s="705" t="s">
        <v>14</v>
      </c>
      <c r="W33" s="706">
        <f t="shared" si="14"/>
        <v>100</v>
      </c>
      <c r="X33" s="1355"/>
      <c r="Y33" s="388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80"/>
      <c r="Q34" s="707" t="str">
        <f t="shared" si="11"/>
        <v>项目建筑规模</v>
      </c>
      <c r="R34" s="708" t="s">
        <v>14</v>
      </c>
      <c r="S34" s="709" t="e">
        <f t="shared" si="12"/>
        <v>#N/A</v>
      </c>
      <c r="T34" s="708" t="s">
        <v>14</v>
      </c>
      <c r="U34" s="709" t="e">
        <f t="shared" si="13"/>
        <v>#N/A</v>
      </c>
      <c r="V34" s="708" t="s">
        <v>14</v>
      </c>
      <c r="W34" s="709" t="e">
        <f t="shared" si="14"/>
        <v>#N/A</v>
      </c>
      <c r="X34" s="710"/>
      <c r="Y34" s="388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80"/>
      <c r="Q35" s="1352" t="str">
        <f t="shared" si="11"/>
        <v>建筑结构</v>
      </c>
      <c r="R35" s="705" t="s">
        <v>14</v>
      </c>
      <c r="S35" s="706">
        <f t="shared" si="12"/>
        <v>100</v>
      </c>
      <c r="T35" s="705" t="s">
        <v>14</v>
      </c>
      <c r="U35" s="706">
        <f t="shared" si="13"/>
        <v>100</v>
      </c>
      <c r="V35" s="705" t="s">
        <v>14</v>
      </c>
      <c r="W35" s="706">
        <f t="shared" si="14"/>
        <v>100</v>
      </c>
      <c r="X35" s="1355"/>
      <c r="Y35" s="388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80"/>
      <c r="Q36" s="1352" t="str">
        <f t="shared" si="11"/>
        <v>公共部分装修</v>
      </c>
      <c r="R36" s="705" t="s">
        <v>14</v>
      </c>
      <c r="S36" s="706">
        <f t="shared" si="12"/>
        <v>100</v>
      </c>
      <c r="T36" s="705" t="s">
        <v>14</v>
      </c>
      <c r="U36" s="706">
        <f t="shared" si="13"/>
        <v>100</v>
      </c>
      <c r="V36" s="705" t="s">
        <v>14</v>
      </c>
      <c r="W36" s="706">
        <f t="shared" si="14"/>
        <v>100</v>
      </c>
      <c r="X36" s="1355"/>
      <c r="Y36" s="388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80"/>
      <c r="Q37" s="1352" t="str">
        <f t="shared" si="11"/>
        <v>成新度</v>
      </c>
      <c r="R37" s="705" t="s">
        <v>14</v>
      </c>
      <c r="S37" s="706" t="e">
        <f t="shared" si="12"/>
        <v>#N/A</v>
      </c>
      <c r="T37" s="705" t="s">
        <v>14</v>
      </c>
      <c r="U37" s="706" t="e">
        <f t="shared" si="13"/>
        <v>#N/A</v>
      </c>
      <c r="V37" s="705" t="s">
        <v>14</v>
      </c>
      <c r="W37" s="706" t="e">
        <f t="shared" si="14"/>
        <v>#N/A</v>
      </c>
      <c r="X37" s="1355"/>
      <c r="Y37" s="388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80"/>
      <c r="Q38" s="1343" t="str">
        <f t="shared" si="11"/>
        <v>写字楼等级</v>
      </c>
      <c r="R38" s="701" t="s">
        <v>14</v>
      </c>
      <c r="S38" s="702">
        <f t="shared" si="12"/>
        <v>100</v>
      </c>
      <c r="T38" s="701" t="s">
        <v>14</v>
      </c>
      <c r="U38" s="702">
        <f t="shared" si="13"/>
        <v>100</v>
      </c>
      <c r="V38" s="701" t="s">
        <v>14</v>
      </c>
      <c r="W38" s="702">
        <f t="shared" si="14"/>
        <v>100</v>
      </c>
      <c r="X38" s="703"/>
      <c r="Y38" s="388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80" t="s">
        <v>1695</v>
      </c>
      <c r="Q39" s="1352" t="str">
        <f t="shared" si="11"/>
        <v>物业管理</v>
      </c>
      <c r="R39" s="705" t="s">
        <v>14</v>
      </c>
      <c r="S39" s="706">
        <f t="shared" si="12"/>
        <v>100</v>
      </c>
      <c r="T39" s="705" t="s">
        <v>14</v>
      </c>
      <c r="U39" s="706">
        <f t="shared" si="13"/>
        <v>100</v>
      </c>
      <c r="V39" s="705" t="s">
        <v>14</v>
      </c>
      <c r="W39" s="706">
        <f t="shared" si="14"/>
        <v>100</v>
      </c>
      <c r="X39" s="1355"/>
      <c r="Y39" s="388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80"/>
      <c r="Q40" s="1352" t="str">
        <f t="shared" si="11"/>
        <v>市政基础设施</v>
      </c>
      <c r="R40" s="705" t="s">
        <v>14</v>
      </c>
      <c r="S40" s="706">
        <f t="shared" si="12"/>
        <v>100</v>
      </c>
      <c r="T40" s="705" t="s">
        <v>14</v>
      </c>
      <c r="U40" s="706">
        <f t="shared" si="13"/>
        <v>100</v>
      </c>
      <c r="V40" s="705" t="s">
        <v>14</v>
      </c>
      <c r="W40" s="706">
        <f t="shared" si="14"/>
        <v>100</v>
      </c>
      <c r="X40" s="1355"/>
      <c r="Y40" s="388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80"/>
      <c r="Q41" s="1352" t="str">
        <f t="shared" si="11"/>
        <v>层高</v>
      </c>
      <c r="R41" s="705" t="s">
        <v>14</v>
      </c>
      <c r="S41" s="706">
        <f t="shared" si="12"/>
        <v>100</v>
      </c>
      <c r="T41" s="705" t="s">
        <v>14</v>
      </c>
      <c r="U41" s="706">
        <f t="shared" si="13"/>
        <v>100</v>
      </c>
      <c r="V41" s="705" t="s">
        <v>14</v>
      </c>
      <c r="W41" s="706">
        <f t="shared" si="14"/>
        <v>100</v>
      </c>
      <c r="X41" s="1355"/>
      <c r="Y41" s="388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80"/>
      <c r="Q42" s="707" t="str">
        <f t="shared" si="11"/>
        <v>单套建筑面积</v>
      </c>
      <c r="R42" s="708" t="s">
        <v>14</v>
      </c>
      <c r="S42" s="709">
        <f t="shared" si="12"/>
        <v>100</v>
      </c>
      <c r="T42" s="708" t="s">
        <v>14</v>
      </c>
      <c r="U42" s="709">
        <f t="shared" si="13"/>
        <v>100</v>
      </c>
      <c r="V42" s="708" t="s">
        <v>14</v>
      </c>
      <c r="W42" s="709">
        <f t="shared" si="14"/>
        <v>100</v>
      </c>
      <c r="X42" s="710"/>
      <c r="Y42" s="388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80"/>
      <c r="Q43" s="1352" t="str">
        <f t="shared" si="11"/>
        <v>内部装修</v>
      </c>
      <c r="R43" s="705" t="s">
        <v>14</v>
      </c>
      <c r="S43" s="706">
        <f t="shared" si="12"/>
        <v>100</v>
      </c>
      <c r="T43" s="705" t="s">
        <v>14</v>
      </c>
      <c r="U43" s="706">
        <f t="shared" si="13"/>
        <v>100</v>
      </c>
      <c r="V43" s="705" t="s">
        <v>14</v>
      </c>
      <c r="W43" s="706">
        <f t="shared" si="14"/>
        <v>100</v>
      </c>
      <c r="X43" s="1355"/>
      <c r="Y43" s="388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80"/>
      <c r="Q44" s="1352" t="str">
        <f t="shared" si="11"/>
        <v>内部装修维护情况</v>
      </c>
      <c r="R44" s="705" t="s">
        <v>14</v>
      </c>
      <c r="S44" s="706">
        <f t="shared" si="12"/>
        <v>100</v>
      </c>
      <c r="T44" s="705" t="s">
        <v>14</v>
      </c>
      <c r="U44" s="706">
        <f t="shared" si="13"/>
        <v>100</v>
      </c>
      <c r="V44" s="705" t="s">
        <v>14</v>
      </c>
      <c r="W44" s="706">
        <f t="shared" si="14"/>
        <v>100</v>
      </c>
      <c r="X44" s="1355"/>
      <c r="Y44" s="38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80"/>
      <c r="Q45" s="1343">
        <f t="shared" si="11"/>
        <v>111</v>
      </c>
      <c r="R45" s="701" t="s">
        <v>14</v>
      </c>
      <c r="S45" s="702">
        <f t="shared" si="12"/>
        <v>100</v>
      </c>
      <c r="T45" s="701" t="s">
        <v>14</v>
      </c>
      <c r="U45" s="702">
        <f t="shared" si="13"/>
        <v>100</v>
      </c>
      <c r="V45" s="701" t="s">
        <v>14</v>
      </c>
      <c r="W45" s="702">
        <f t="shared" si="14"/>
        <v>100</v>
      </c>
      <c r="X45" s="703"/>
      <c r="Y45" s="38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80"/>
      <c r="Q46" s="1352">
        <f t="shared" si="11"/>
        <v>111</v>
      </c>
      <c r="R46" s="705" t="s">
        <v>14</v>
      </c>
      <c r="S46" s="706">
        <f t="shared" si="12"/>
        <v>100</v>
      </c>
      <c r="T46" s="705" t="s">
        <v>14</v>
      </c>
      <c r="U46" s="706">
        <f t="shared" si="13"/>
        <v>100</v>
      </c>
      <c r="V46" s="705" t="s">
        <v>14</v>
      </c>
      <c r="W46" s="706">
        <f t="shared" si="14"/>
        <v>100</v>
      </c>
      <c r="X46" s="1355"/>
      <c r="Y46" s="388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81"/>
      <c r="Q47" s="1352">
        <f t="shared" si="11"/>
        <v>111</v>
      </c>
      <c r="R47" s="705" t="s">
        <v>14</v>
      </c>
      <c r="S47" s="706">
        <f t="shared" si="12"/>
        <v>100</v>
      </c>
      <c r="T47" s="705" t="s">
        <v>14</v>
      </c>
      <c r="U47" s="706">
        <f t="shared" si="13"/>
        <v>100</v>
      </c>
      <c r="V47" s="705" t="s">
        <v>14</v>
      </c>
      <c r="W47" s="706">
        <f t="shared" si="14"/>
        <v>100</v>
      </c>
      <c r="X47" s="1355"/>
      <c r="Y47" s="388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886" t="str">
        <f>A48</f>
        <v>成交单价（元/平方米）</v>
      </c>
      <c r="Q48" s="3875"/>
      <c r="R48" s="3876">
        <f>E48</f>
        <v>0</v>
      </c>
      <c r="S48" s="3876"/>
      <c r="T48" s="3876">
        <f>G48</f>
        <v>0</v>
      </c>
      <c r="U48" s="3876"/>
      <c r="V48" s="3876">
        <f>I48</f>
        <v>0</v>
      </c>
      <c r="W48" s="387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886" t="str">
        <f>A49</f>
        <v>比较价值（元/平方米）</v>
      </c>
      <c r="Q49" s="3875"/>
      <c r="R49" s="3876" t="e">
        <f>IF(F1="售价",ROUND(PRODUCT(R48,AA7:AA47),0),ROUND(PRODUCT(R48,AA7:AA47),1))</f>
        <v>#DIV/0!</v>
      </c>
      <c r="S49" s="3876"/>
      <c r="T49" s="3876" t="e">
        <f>IF(F1="售价",ROUND(PRODUCT(T48,AB7:AB47),0),ROUND(PRODUCT(T48,AB7:AB47),1))</f>
        <v>#DIV/0!</v>
      </c>
      <c r="U49" s="3876"/>
      <c r="V49" s="3876" t="e">
        <f>IF(F1="售价",ROUND(PRODUCT(V48,AC7:AC47),0),ROUND(PRODUCT(V48,AC7:AC47),1))</f>
        <v>#DIV/0!</v>
      </c>
      <c r="W49" s="387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925" t="str">
        <f>A50</f>
        <v>估价对象XX用房的比较价值（楼面单价，元/平方米）</v>
      </c>
      <c r="Q50" s="3926"/>
      <c r="R50" s="3927" t="e">
        <f>IF(F1="售价",ROUND(IF(D49="简单平均",AVERAGE(R49:V49),R49*F49+T49*H49+V49*J49),0),ROUND(IF(D49="简单平均",AVERAGE(R49:V49),R49*F49+T49*H49+V49*J49),1))</f>
        <v>#DIV/0!</v>
      </c>
      <c r="S50" s="3927"/>
      <c r="T50" s="3927"/>
      <c r="U50" s="3927"/>
      <c r="V50" s="3927"/>
      <c r="W50" s="39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2013-5</v>
      </c>
      <c r="D59" s="1185">
        <f>EDATE(C59,-1)</f>
        <v>41365</v>
      </c>
      <c r="E59" s="1185">
        <f>EDATE(D59,-1)</f>
        <v>41334</v>
      </c>
      <c r="F59" s="1185">
        <f t="shared" ref="F59:O59" si="16">EDATE(E59,-1)</f>
        <v>41306</v>
      </c>
      <c r="G59" s="1185">
        <f t="shared" si="16"/>
        <v>41275</v>
      </c>
      <c r="H59" s="1185">
        <f t="shared" si="16"/>
        <v>41244</v>
      </c>
      <c r="I59" s="1185">
        <f t="shared" si="16"/>
        <v>41214</v>
      </c>
      <c r="J59" s="1185">
        <f t="shared" si="16"/>
        <v>41183</v>
      </c>
      <c r="K59" s="1185">
        <f t="shared" si="16"/>
        <v>41153</v>
      </c>
      <c r="L59" s="1185">
        <f t="shared" si="16"/>
        <v>41122</v>
      </c>
      <c r="M59" s="1185">
        <f t="shared" si="16"/>
        <v>41091</v>
      </c>
      <c r="N59" s="1185">
        <f t="shared" si="16"/>
        <v>41061</v>
      </c>
      <c r="O59" s="1185">
        <f t="shared" si="16"/>
        <v>41030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103.29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90" t="s">
        <v>1769</v>
      </c>
      <c r="D4" s="3891"/>
      <c r="E4" s="3892" t="s">
        <v>1770</v>
      </c>
      <c r="F4" s="3893"/>
      <c r="G4" s="3890" t="s">
        <v>1771</v>
      </c>
      <c r="H4" s="3891"/>
      <c r="I4" s="3890" t="s">
        <v>1772</v>
      </c>
      <c r="J4" s="3891"/>
      <c r="K4" s="559" t="s">
        <v>1773</v>
      </c>
      <c r="L4" s="913"/>
      <c r="M4" s="914"/>
      <c r="N4" s="914"/>
      <c r="O4" s="914"/>
      <c r="P4" s="3894" t="s">
        <v>1774</v>
      </c>
      <c r="Q4" s="3895"/>
      <c r="R4" s="3900" t="s">
        <v>1770</v>
      </c>
      <c r="S4" s="3901"/>
      <c r="T4" s="3900" t="s">
        <v>1771</v>
      </c>
      <c r="U4" s="3901"/>
      <c r="V4" s="3906" t="s">
        <v>1772</v>
      </c>
      <c r="W4" s="3906"/>
      <c r="X4" s="1355"/>
      <c r="Y4" s="3900" t="s">
        <v>1774</v>
      </c>
      <c r="Z4" s="3901"/>
      <c r="AA4" s="3887" t="s">
        <v>1770</v>
      </c>
      <c r="AB4" s="3888" t="s">
        <v>1771</v>
      </c>
      <c r="AC4" s="3887" t="s">
        <v>1772</v>
      </c>
    </row>
    <row r="5" spans="1:29">
      <c r="A5" s="358"/>
      <c r="B5" s="359"/>
      <c r="C5" s="3921" t="s">
        <v>1673</v>
      </c>
      <c r="D5" s="3915"/>
      <c r="E5" s="3923" t="s">
        <v>1674</v>
      </c>
      <c r="F5" s="3924"/>
      <c r="G5" s="3921" t="s">
        <v>1675</v>
      </c>
      <c r="H5" s="3915"/>
      <c r="I5" s="3921" t="s">
        <v>1676</v>
      </c>
      <c r="J5" s="3915"/>
      <c r="K5" s="559"/>
      <c r="L5" s="913"/>
      <c r="M5" s="914"/>
      <c r="N5" s="914"/>
      <c r="O5" s="914"/>
      <c r="P5" s="3896"/>
      <c r="Q5" s="3897"/>
      <c r="R5" s="3902"/>
      <c r="S5" s="3903"/>
      <c r="T5" s="3902"/>
      <c r="U5" s="3903"/>
      <c r="V5" s="3906"/>
      <c r="W5" s="3906"/>
      <c r="X5" s="1355"/>
      <c r="Y5" s="3902"/>
      <c r="Z5" s="3903"/>
      <c r="AA5" s="3888"/>
      <c r="AB5" s="3888"/>
      <c r="AC5" s="3888"/>
    </row>
    <row r="6" spans="1:29" ht="15" thickBot="1">
      <c r="A6" s="360"/>
      <c r="B6" s="361"/>
      <c r="C6" s="3920" t="s">
        <v>1677</v>
      </c>
      <c r="D6" s="3908"/>
      <c r="E6" s="3922" t="s">
        <v>1677</v>
      </c>
      <c r="F6" s="3917"/>
      <c r="G6" s="3920" t="s">
        <v>1677</v>
      </c>
      <c r="H6" s="3908"/>
      <c r="I6" s="3920" t="s">
        <v>1677</v>
      </c>
      <c r="J6" s="3908"/>
      <c r="K6" s="559" t="s">
        <v>1678</v>
      </c>
      <c r="L6" s="913"/>
      <c r="M6" s="914"/>
      <c r="N6" s="914"/>
      <c r="O6" s="914"/>
      <c r="P6" s="3898"/>
      <c r="Q6" s="3899"/>
      <c r="R6" s="3902"/>
      <c r="S6" s="3903"/>
      <c r="T6" s="3904"/>
      <c r="U6" s="3905"/>
      <c r="V6" s="3906"/>
      <c r="W6" s="3906"/>
      <c r="X6" s="1355"/>
      <c r="Y6" s="3904"/>
      <c r="Z6" s="3905"/>
      <c r="AA6" s="3889"/>
      <c r="AB6" s="3889"/>
      <c r="AC6" s="3889"/>
    </row>
    <row r="7" spans="1:29" s="108" customFormat="1" ht="15" thickBot="1">
      <c r="A7" s="362" t="s">
        <v>1679</v>
      </c>
      <c r="B7" s="363"/>
      <c r="C7" s="364">
        <f>'数据-取费表'!B2</f>
        <v>41424</v>
      </c>
      <c r="D7" s="365">
        <v>100</v>
      </c>
      <c r="E7" s="366"/>
      <c r="F7" s="367">
        <f>SUMIF(52:52,YEAR(E7)&amp;"-"&amp;MONTH(E7),53:53)</f>
        <v>0</v>
      </c>
      <c r="G7" s="366"/>
      <c r="H7" s="365">
        <f>SUMIF(52:52,YEAR(G7)&amp;"-"&amp;MONTH(G7),53:53)</f>
        <v>0</v>
      </c>
      <c r="I7" s="366"/>
      <c r="J7" s="365">
        <f>SUMIF(52:52,YEAR(I7)&amp;"-"&amp;MONTH(I7),53:53)</f>
        <v>0</v>
      </c>
      <c r="K7" s="560"/>
      <c r="L7" s="915"/>
      <c r="M7" s="916"/>
      <c r="N7" s="916"/>
      <c r="O7" s="916"/>
      <c r="P7" s="3911" t="s">
        <v>1680</v>
      </c>
      <c r="Q7" s="3913"/>
      <c r="R7" s="701" t="s">
        <v>14</v>
      </c>
      <c r="S7" s="702">
        <f t="shared" ref="S7:S15" si="0">F7</f>
        <v>0</v>
      </c>
      <c r="T7" s="701" t="s">
        <v>14</v>
      </c>
      <c r="U7" s="702">
        <f t="shared" ref="U7:U15" si="1">H7</f>
        <v>0</v>
      </c>
      <c r="V7" s="701" t="s">
        <v>14</v>
      </c>
      <c r="W7" s="702">
        <f t="shared" ref="W7:W15" si="2">J7</f>
        <v>0</v>
      </c>
      <c r="X7" s="703"/>
      <c r="Y7" s="3911" t="s">
        <v>1680</v>
      </c>
      <c r="Z7" s="391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11" t="s">
        <v>1683</v>
      </c>
      <c r="Q8" s="3912"/>
      <c r="R8" s="701" t="s">
        <v>14</v>
      </c>
      <c r="S8" s="702">
        <f t="shared" si="0"/>
        <v>100</v>
      </c>
      <c r="T8" s="701" t="s">
        <v>14</v>
      </c>
      <c r="U8" s="702">
        <f t="shared" si="1"/>
        <v>100</v>
      </c>
      <c r="V8" s="701" t="s">
        <v>14</v>
      </c>
      <c r="W8" s="702">
        <f t="shared" si="2"/>
        <v>100</v>
      </c>
      <c r="X8" s="703"/>
      <c r="Y8" s="3911" t="s">
        <v>1683</v>
      </c>
      <c r="Z8" s="391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75" t="s">
        <v>1686</v>
      </c>
      <c r="Q9" s="1343" t="str">
        <f t="shared" ref="Q9:Q15" si="6">B9</f>
        <v>用途</v>
      </c>
      <c r="R9" s="701" t="s">
        <v>14</v>
      </c>
      <c r="S9" s="702">
        <f t="shared" si="0"/>
        <v>100</v>
      </c>
      <c r="T9" s="701" t="s">
        <v>14</v>
      </c>
      <c r="U9" s="702">
        <f t="shared" si="1"/>
        <v>100</v>
      </c>
      <c r="V9" s="701" t="s">
        <v>14</v>
      </c>
      <c r="W9" s="702">
        <f t="shared" si="2"/>
        <v>100</v>
      </c>
      <c r="X9" s="703"/>
      <c r="Y9" s="375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75"/>
      <c r="Q10" s="1343" t="str">
        <f t="shared" si="6"/>
        <v>土地使用年限（年）</v>
      </c>
      <c r="R10" s="701" t="s">
        <v>14</v>
      </c>
      <c r="S10" s="702">
        <f t="shared" si="0"/>
        <v>100</v>
      </c>
      <c r="T10" s="701" t="s">
        <v>14</v>
      </c>
      <c r="U10" s="702">
        <f t="shared" si="1"/>
        <v>100</v>
      </c>
      <c r="V10" s="701" t="s">
        <v>14</v>
      </c>
      <c r="W10" s="702">
        <f t="shared" si="2"/>
        <v>100</v>
      </c>
      <c r="X10" s="703"/>
      <c r="Y10" s="37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75"/>
      <c r="Q11" s="1343" t="str">
        <f t="shared" si="6"/>
        <v>容积率</v>
      </c>
      <c r="R11" s="701" t="s">
        <v>14</v>
      </c>
      <c r="S11" s="702">
        <f t="shared" si="0"/>
        <v>100</v>
      </c>
      <c r="T11" s="701" t="s">
        <v>14</v>
      </c>
      <c r="U11" s="702">
        <f t="shared" si="1"/>
        <v>100</v>
      </c>
      <c r="V11" s="701" t="s">
        <v>14</v>
      </c>
      <c r="W11" s="702">
        <f t="shared" si="2"/>
        <v>100</v>
      </c>
      <c r="X11" s="703"/>
      <c r="Y11" s="37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75"/>
      <c r="Q12" s="1343">
        <f t="shared" si="6"/>
        <v>111</v>
      </c>
      <c r="R12" s="701" t="s">
        <v>14</v>
      </c>
      <c r="S12" s="702">
        <f t="shared" si="0"/>
        <v>100</v>
      </c>
      <c r="T12" s="701" t="s">
        <v>14</v>
      </c>
      <c r="U12" s="702">
        <f t="shared" si="1"/>
        <v>100</v>
      </c>
      <c r="V12" s="701" t="s">
        <v>14</v>
      </c>
      <c r="W12" s="702">
        <f t="shared" si="2"/>
        <v>100</v>
      </c>
      <c r="X12" s="703"/>
      <c r="Y12" s="37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75"/>
      <c r="Q13" s="1343">
        <f t="shared" si="6"/>
        <v>111</v>
      </c>
      <c r="R13" s="701" t="s">
        <v>14</v>
      </c>
      <c r="S13" s="702">
        <f t="shared" si="0"/>
        <v>100</v>
      </c>
      <c r="T13" s="701" t="s">
        <v>14</v>
      </c>
      <c r="U13" s="702">
        <f t="shared" si="1"/>
        <v>100</v>
      </c>
      <c r="V13" s="701" t="s">
        <v>14</v>
      </c>
      <c r="W13" s="702">
        <f t="shared" si="2"/>
        <v>100</v>
      </c>
      <c r="X13" s="703"/>
      <c r="Y13" s="375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75"/>
      <c r="Q14" s="1343">
        <f t="shared" si="6"/>
        <v>111</v>
      </c>
      <c r="R14" s="701" t="s">
        <v>14</v>
      </c>
      <c r="S14" s="702">
        <f t="shared" si="0"/>
        <v>100</v>
      </c>
      <c r="T14" s="701" t="s">
        <v>14</v>
      </c>
      <c r="U14" s="702">
        <f t="shared" si="1"/>
        <v>100</v>
      </c>
      <c r="V14" s="701" t="s">
        <v>14</v>
      </c>
      <c r="W14" s="702">
        <f t="shared" si="2"/>
        <v>100</v>
      </c>
      <c r="X14" s="703"/>
      <c r="Y14" s="3750"/>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77" t="s">
        <v>1691</v>
      </c>
      <c r="Q15" s="1352" t="str">
        <f t="shared" si="6"/>
        <v>产业集聚程度</v>
      </c>
      <c r="R15" s="705" t="s">
        <v>14</v>
      </c>
      <c r="S15" s="706">
        <f t="shared" si="0"/>
        <v>100</v>
      </c>
      <c r="T15" s="705" t="s">
        <v>14</v>
      </c>
      <c r="U15" s="706">
        <f t="shared" si="1"/>
        <v>100</v>
      </c>
      <c r="V15" s="705" t="s">
        <v>14</v>
      </c>
      <c r="W15" s="706">
        <f t="shared" si="2"/>
        <v>100</v>
      </c>
      <c r="X15" s="1355"/>
      <c r="Y15" s="387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78"/>
      <c r="Q16" s="1352"/>
      <c r="R16" s="705"/>
      <c r="S16" s="706"/>
      <c r="T16" s="705"/>
      <c r="U16" s="706"/>
      <c r="V16" s="705"/>
      <c r="W16" s="706"/>
      <c r="X16" s="1355"/>
      <c r="Y16" s="387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78"/>
      <c r="Q17" s="1352" t="str">
        <f>B17</f>
        <v>交通便捷度</v>
      </c>
      <c r="R17" s="705" t="s">
        <v>14</v>
      </c>
      <c r="S17" s="706">
        <f>F17</f>
        <v>100</v>
      </c>
      <c r="T17" s="705" t="s">
        <v>14</v>
      </c>
      <c r="U17" s="706">
        <f>H17</f>
        <v>100</v>
      </c>
      <c r="V17" s="705" t="s">
        <v>14</v>
      </c>
      <c r="W17" s="706">
        <f>J17</f>
        <v>100</v>
      </c>
      <c r="X17" s="1355"/>
      <c r="Y17" s="38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78"/>
      <c r="Q18" s="1352"/>
      <c r="R18" s="705"/>
      <c r="S18" s="706"/>
      <c r="T18" s="705"/>
      <c r="U18" s="706"/>
      <c r="V18" s="705"/>
      <c r="W18" s="706"/>
      <c r="X18" s="1355"/>
      <c r="Y18" s="387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78"/>
      <c r="Q19" s="1352" t="str">
        <f>B19</f>
        <v>公共配套设施</v>
      </c>
      <c r="R19" s="705" t="s">
        <v>14</v>
      </c>
      <c r="S19" s="706">
        <f>F19</f>
        <v>100</v>
      </c>
      <c r="T19" s="705" t="s">
        <v>14</v>
      </c>
      <c r="U19" s="706">
        <f>H19</f>
        <v>100</v>
      </c>
      <c r="V19" s="705" t="s">
        <v>14</v>
      </c>
      <c r="W19" s="706">
        <f>J19</f>
        <v>100</v>
      </c>
      <c r="X19" s="1355"/>
      <c r="Y19" s="38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78"/>
      <c r="Q20" s="1352"/>
      <c r="R20" s="705"/>
      <c r="S20" s="706"/>
      <c r="T20" s="705"/>
      <c r="U20" s="706"/>
      <c r="V20" s="705"/>
      <c r="W20" s="706"/>
      <c r="X20" s="1355"/>
      <c r="Y20" s="387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78"/>
      <c r="Q21" s="1352" t="str">
        <f>B21</f>
        <v>基础设施水平</v>
      </c>
      <c r="R21" s="705" t="s">
        <v>14</v>
      </c>
      <c r="S21" s="706">
        <f>F21</f>
        <v>100</v>
      </c>
      <c r="T21" s="705" t="s">
        <v>14</v>
      </c>
      <c r="U21" s="706">
        <f>H21</f>
        <v>100</v>
      </c>
      <c r="V21" s="705" t="s">
        <v>14</v>
      </c>
      <c r="W21" s="706">
        <f>J21</f>
        <v>100</v>
      </c>
      <c r="X21" s="1355"/>
      <c r="Y21" s="38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78"/>
      <c r="Q22" s="1352"/>
      <c r="R22" s="705"/>
      <c r="S22" s="706"/>
      <c r="T22" s="705"/>
      <c r="U22" s="706"/>
      <c r="V22" s="705"/>
      <c r="W22" s="706"/>
      <c r="X22" s="1355"/>
      <c r="Y22" s="387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78"/>
      <c r="Q23" s="1352" t="str">
        <f>B23</f>
        <v>环境质量</v>
      </c>
      <c r="R23" s="705" t="s">
        <v>14</v>
      </c>
      <c r="S23" s="706">
        <f>F23</f>
        <v>100</v>
      </c>
      <c r="T23" s="705" t="s">
        <v>14</v>
      </c>
      <c r="U23" s="706">
        <f>H23</f>
        <v>100</v>
      </c>
      <c r="V23" s="705" t="s">
        <v>14</v>
      </c>
      <c r="W23" s="706">
        <f>J23</f>
        <v>100</v>
      </c>
      <c r="X23" s="1355"/>
      <c r="Y23" s="38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78"/>
      <c r="Q24" s="1352"/>
      <c r="R24" s="705"/>
      <c r="S24" s="706"/>
      <c r="T24" s="705"/>
      <c r="U24" s="706"/>
      <c r="V24" s="705"/>
      <c r="W24" s="706"/>
      <c r="X24" s="1355"/>
      <c r="Y24" s="38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78"/>
      <c r="Q25" s="1352">
        <f>B25</f>
        <v>111</v>
      </c>
      <c r="R25" s="705" t="s">
        <v>14</v>
      </c>
      <c r="S25" s="706">
        <f>F25</f>
        <v>100</v>
      </c>
      <c r="T25" s="705" t="s">
        <v>14</v>
      </c>
      <c r="U25" s="706">
        <f>H25</f>
        <v>100</v>
      </c>
      <c r="V25" s="705" t="s">
        <v>14</v>
      </c>
      <c r="W25" s="706">
        <f>J25</f>
        <v>100</v>
      </c>
      <c r="X25" s="1355"/>
      <c r="Y25" s="38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78"/>
      <c r="Q26" s="1352">
        <f t="shared" ref="Q26:Q40" si="11">B26</f>
        <v>111</v>
      </c>
      <c r="R26" s="705" t="s">
        <v>14</v>
      </c>
      <c r="S26" s="706">
        <f>F26</f>
        <v>100</v>
      </c>
      <c r="T26" s="705" t="s">
        <v>14</v>
      </c>
      <c r="U26" s="706">
        <f>H26</f>
        <v>100</v>
      </c>
      <c r="V26" s="705" t="s">
        <v>14</v>
      </c>
      <c r="W26" s="706">
        <f>J26</f>
        <v>100</v>
      </c>
      <c r="X26" s="1355"/>
      <c r="Y26" s="38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78"/>
      <c r="Q27" s="1343">
        <f t="shared" si="11"/>
        <v>111</v>
      </c>
      <c r="R27" s="701" t="s">
        <v>14</v>
      </c>
      <c r="S27" s="702">
        <f>F27</f>
        <v>100</v>
      </c>
      <c r="T27" s="701" t="s">
        <v>14</v>
      </c>
      <c r="U27" s="702">
        <f>H27</f>
        <v>100</v>
      </c>
      <c r="V27" s="701" t="s">
        <v>14</v>
      </c>
      <c r="W27" s="702">
        <f>J27</f>
        <v>100</v>
      </c>
      <c r="X27" s="703"/>
      <c r="Y27" s="387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78"/>
      <c r="Q28" s="1352">
        <f t="shared" si="11"/>
        <v>111</v>
      </c>
      <c r="R28" s="705" t="s">
        <v>14</v>
      </c>
      <c r="S28" s="706">
        <f t="shared" ref="S28:S40" si="12">F28</f>
        <v>100</v>
      </c>
      <c r="T28" s="705" t="s">
        <v>14</v>
      </c>
      <c r="U28" s="706">
        <f t="shared" ref="U28:U40" si="13">H28</f>
        <v>100</v>
      </c>
      <c r="V28" s="705" t="s">
        <v>14</v>
      </c>
      <c r="W28" s="706">
        <f t="shared" ref="W28:W40" si="14">J28</f>
        <v>100</v>
      </c>
      <c r="X28" s="1355"/>
      <c r="Y28" s="387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40" t="s">
        <v>1695</v>
      </c>
      <c r="Q29" s="1352" t="str">
        <f t="shared" si="11"/>
        <v>建筑类型</v>
      </c>
      <c r="R29" s="705" t="s">
        <v>14</v>
      </c>
      <c r="S29" s="706">
        <f t="shared" si="12"/>
        <v>100</v>
      </c>
      <c r="T29" s="705" t="s">
        <v>14</v>
      </c>
      <c r="U29" s="706">
        <f t="shared" si="13"/>
        <v>100</v>
      </c>
      <c r="V29" s="705" t="s">
        <v>14</v>
      </c>
      <c r="W29" s="706">
        <f t="shared" si="14"/>
        <v>100</v>
      </c>
      <c r="X29" s="1355"/>
      <c r="Y29" s="388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82"/>
      <c r="Q30" s="707" t="str">
        <f t="shared" si="11"/>
        <v>项目建筑规模</v>
      </c>
      <c r="R30" s="708" t="s">
        <v>14</v>
      </c>
      <c r="S30" s="709" t="e">
        <f t="shared" si="12"/>
        <v>#N/A</v>
      </c>
      <c r="T30" s="708" t="s">
        <v>14</v>
      </c>
      <c r="U30" s="709" t="e">
        <f t="shared" si="13"/>
        <v>#N/A</v>
      </c>
      <c r="V30" s="708" t="s">
        <v>14</v>
      </c>
      <c r="W30" s="709" t="e">
        <f t="shared" si="14"/>
        <v>#N/A</v>
      </c>
      <c r="X30" s="710"/>
      <c r="Y30" s="388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82"/>
      <c r="Q31" s="1352" t="str">
        <f t="shared" si="11"/>
        <v>建筑结构</v>
      </c>
      <c r="R31" s="705" t="s">
        <v>14</v>
      </c>
      <c r="S31" s="706">
        <f t="shared" si="12"/>
        <v>100</v>
      </c>
      <c r="T31" s="705" t="s">
        <v>14</v>
      </c>
      <c r="U31" s="706">
        <f t="shared" si="13"/>
        <v>100</v>
      </c>
      <c r="V31" s="705" t="s">
        <v>14</v>
      </c>
      <c r="W31" s="706">
        <f t="shared" si="14"/>
        <v>100</v>
      </c>
      <c r="X31" s="1355"/>
      <c r="Y31" s="388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2"/>
      <c r="Q32" s="1352" t="str">
        <f t="shared" si="11"/>
        <v>公共部分装修</v>
      </c>
      <c r="R32" s="705" t="s">
        <v>14</v>
      </c>
      <c r="S32" s="706">
        <f t="shared" si="12"/>
        <v>100</v>
      </c>
      <c r="T32" s="705" t="s">
        <v>14</v>
      </c>
      <c r="U32" s="706">
        <f t="shared" si="13"/>
        <v>100</v>
      </c>
      <c r="V32" s="705" t="s">
        <v>14</v>
      </c>
      <c r="W32" s="706">
        <f t="shared" si="14"/>
        <v>100</v>
      </c>
      <c r="X32" s="1355"/>
      <c r="Y32" s="388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82"/>
      <c r="Q33" s="1352" t="str">
        <f t="shared" si="11"/>
        <v>成新度</v>
      </c>
      <c r="R33" s="705" t="s">
        <v>14</v>
      </c>
      <c r="S33" s="706" t="e">
        <f t="shared" si="12"/>
        <v>#N/A</v>
      </c>
      <c r="T33" s="705" t="s">
        <v>14</v>
      </c>
      <c r="U33" s="706" t="e">
        <f t="shared" si="13"/>
        <v>#N/A</v>
      </c>
      <c r="V33" s="705" t="s">
        <v>14</v>
      </c>
      <c r="W33" s="706" t="e">
        <f t="shared" si="14"/>
        <v>#N/A</v>
      </c>
      <c r="X33" s="1355"/>
      <c r="Y33" s="388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2"/>
      <c r="Q34" s="1343" t="str">
        <f t="shared" si="11"/>
        <v>物业管理</v>
      </c>
      <c r="R34" s="701" t="s">
        <v>14</v>
      </c>
      <c r="S34" s="702">
        <f t="shared" si="12"/>
        <v>100</v>
      </c>
      <c r="T34" s="701" t="s">
        <v>14</v>
      </c>
      <c r="U34" s="702">
        <f t="shared" si="13"/>
        <v>100</v>
      </c>
      <c r="V34" s="701" t="s">
        <v>14</v>
      </c>
      <c r="W34" s="702">
        <f t="shared" si="14"/>
        <v>100</v>
      </c>
      <c r="X34" s="703"/>
      <c r="Y34" s="388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2" t="s">
        <v>1695</v>
      </c>
      <c r="Q35" s="1352" t="str">
        <f t="shared" si="11"/>
        <v>市政基础设施</v>
      </c>
      <c r="R35" s="705" t="s">
        <v>14</v>
      </c>
      <c r="S35" s="706">
        <f t="shared" si="12"/>
        <v>100</v>
      </c>
      <c r="T35" s="705" t="s">
        <v>14</v>
      </c>
      <c r="U35" s="706">
        <f t="shared" si="13"/>
        <v>100</v>
      </c>
      <c r="V35" s="705" t="s">
        <v>14</v>
      </c>
      <c r="W35" s="706">
        <f t="shared" si="14"/>
        <v>100</v>
      </c>
      <c r="X35" s="1355"/>
      <c r="Y35" s="388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82"/>
      <c r="Q36" s="1352" t="str">
        <f t="shared" si="11"/>
        <v>内部装修</v>
      </c>
      <c r="R36" s="705" t="s">
        <v>14</v>
      </c>
      <c r="S36" s="706">
        <f t="shared" si="12"/>
        <v>100</v>
      </c>
      <c r="T36" s="705" t="s">
        <v>14</v>
      </c>
      <c r="U36" s="706">
        <f t="shared" si="13"/>
        <v>100</v>
      </c>
      <c r="V36" s="705" t="s">
        <v>14</v>
      </c>
      <c r="W36" s="706">
        <f t="shared" si="14"/>
        <v>100</v>
      </c>
      <c r="X36" s="1355"/>
      <c r="Y36" s="388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2"/>
      <c r="Q37" s="1352" t="str">
        <f t="shared" si="11"/>
        <v>内部装修状况</v>
      </c>
      <c r="R37" s="705" t="s">
        <v>14</v>
      </c>
      <c r="S37" s="706">
        <f t="shared" si="12"/>
        <v>100</v>
      </c>
      <c r="T37" s="705" t="s">
        <v>14</v>
      </c>
      <c r="U37" s="706">
        <f t="shared" si="13"/>
        <v>100</v>
      </c>
      <c r="V37" s="705" t="s">
        <v>14</v>
      </c>
      <c r="W37" s="706">
        <f t="shared" si="14"/>
        <v>100</v>
      </c>
      <c r="X37" s="1355"/>
      <c r="Y37" s="38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82"/>
      <c r="Q38" s="707">
        <f t="shared" si="11"/>
        <v>111</v>
      </c>
      <c r="R38" s="708" t="s">
        <v>14</v>
      </c>
      <c r="S38" s="709">
        <f t="shared" si="12"/>
        <v>100</v>
      </c>
      <c r="T38" s="708" t="s">
        <v>14</v>
      </c>
      <c r="U38" s="709">
        <f t="shared" si="13"/>
        <v>100</v>
      </c>
      <c r="V38" s="708" t="s">
        <v>14</v>
      </c>
      <c r="W38" s="709">
        <f t="shared" si="14"/>
        <v>100</v>
      </c>
      <c r="X38" s="710"/>
      <c r="Y38" s="38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2"/>
      <c r="Q39" s="1352">
        <f t="shared" si="11"/>
        <v>111</v>
      </c>
      <c r="R39" s="705" t="s">
        <v>14</v>
      </c>
      <c r="S39" s="706">
        <f t="shared" si="12"/>
        <v>100</v>
      </c>
      <c r="T39" s="705" t="s">
        <v>14</v>
      </c>
      <c r="U39" s="706">
        <f t="shared" si="13"/>
        <v>100</v>
      </c>
      <c r="V39" s="705" t="s">
        <v>14</v>
      </c>
      <c r="W39" s="706">
        <f t="shared" si="14"/>
        <v>100</v>
      </c>
      <c r="X39" s="1355"/>
      <c r="Y39" s="388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3"/>
      <c r="Q40" s="1352">
        <f t="shared" si="11"/>
        <v>111</v>
      </c>
      <c r="R40" s="705" t="s">
        <v>14</v>
      </c>
      <c r="S40" s="706">
        <f t="shared" si="12"/>
        <v>100</v>
      </c>
      <c r="T40" s="705" t="s">
        <v>14</v>
      </c>
      <c r="U40" s="706">
        <f t="shared" si="13"/>
        <v>100</v>
      </c>
      <c r="V40" s="705" t="s">
        <v>14</v>
      </c>
      <c r="W40" s="706">
        <f t="shared" si="14"/>
        <v>100</v>
      </c>
      <c r="X40" s="1355"/>
      <c r="Y40" s="388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75" t="str">
        <f>A41</f>
        <v>成交单价（元/平方米）</v>
      </c>
      <c r="Q41" s="3875"/>
      <c r="R41" s="3876">
        <f>E41</f>
        <v>0</v>
      </c>
      <c r="S41" s="3876"/>
      <c r="T41" s="3876">
        <f>G41</f>
        <v>0</v>
      </c>
      <c r="U41" s="3876"/>
      <c r="V41" s="3876">
        <f>I41</f>
        <v>0</v>
      </c>
      <c r="W41" s="387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875" t="str">
        <f>A42</f>
        <v>比较价值（元/平方米）</v>
      </c>
      <c r="Q42" s="3875"/>
      <c r="R42" s="3876" t="e">
        <f>IF(F1="售价",ROUND(PRODUCT(R41,AA7:AA40),0),ROUND(PRODUCT(R41,AA7:AA40),1))</f>
        <v>#DIV/0!</v>
      </c>
      <c r="S42" s="3876"/>
      <c r="T42" s="3876" t="e">
        <f>IF(F1="售价",ROUND(PRODUCT(T41,AB7:AB40),0),ROUND(PRODUCT(T41,AB7:AB40),1))</f>
        <v>#DIV/0!</v>
      </c>
      <c r="U42" s="3876"/>
      <c r="V42" s="3876" t="e">
        <f>IF(F1="售价",ROUND(PRODUCT(V41,AC7:AC40),0),ROUND(PRODUCT(V41,AC7:AC40),1))</f>
        <v>#DIV/0!</v>
      </c>
      <c r="W42" s="387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72" t="str">
        <f>A43</f>
        <v>估价对象XX用房的比较价值（楼面单价，元/平方米）</v>
      </c>
      <c r="Q43" s="3873"/>
      <c r="R43" s="3874" t="e">
        <f>IF(F1="售价",ROUND(IF(D42="简单平均",AVERAGE(R42:V42),R42*F42+T42*H42+V42*J42),0),ROUND(IF(D42="简单平均",AVERAGE(R42:V42),R42*F42+T42*H42+V42*J42),1))</f>
        <v>#DIV/0!</v>
      </c>
      <c r="S43" s="3874"/>
      <c r="T43" s="3874"/>
      <c r="U43" s="3874"/>
      <c r="V43" s="3874"/>
      <c r="W43" s="387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2013-5</v>
      </c>
      <c r="D52" s="1185">
        <f>EDATE(C52,-1)</f>
        <v>41365</v>
      </c>
      <c r="E52" s="1185">
        <f t="shared" ref="E52:O52" si="16">EDATE(D52,-1)</f>
        <v>41334</v>
      </c>
      <c r="F52" s="1185">
        <f t="shared" si="16"/>
        <v>41306</v>
      </c>
      <c r="G52" s="1185">
        <f t="shared" si="16"/>
        <v>41275</v>
      </c>
      <c r="H52" s="1185">
        <f t="shared" si="16"/>
        <v>41244</v>
      </c>
      <c r="I52" s="1185">
        <f t="shared" si="16"/>
        <v>41214</v>
      </c>
      <c r="J52" s="1185">
        <f t="shared" si="16"/>
        <v>41183</v>
      </c>
      <c r="K52" s="1185">
        <f t="shared" si="16"/>
        <v>41153</v>
      </c>
      <c r="L52" s="1185">
        <f t="shared" si="16"/>
        <v>41122</v>
      </c>
      <c r="M52" s="1185">
        <f t="shared" si="16"/>
        <v>41091</v>
      </c>
      <c r="N52" s="1185">
        <f t="shared" si="16"/>
        <v>41061</v>
      </c>
      <c r="O52" s="1185">
        <f t="shared" si="16"/>
        <v>41030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90" t="s">
        <v>1769</v>
      </c>
      <c r="D4" s="3891"/>
      <c r="E4" s="3892" t="s">
        <v>1770</v>
      </c>
      <c r="F4" s="3893"/>
      <c r="G4" s="3890" t="s">
        <v>1771</v>
      </c>
      <c r="H4" s="3891"/>
      <c r="I4" s="3890" t="s">
        <v>1772</v>
      </c>
      <c r="J4" s="3891"/>
      <c r="K4" s="559" t="s">
        <v>1773</v>
      </c>
      <c r="L4" s="2715"/>
      <c r="M4" s="2716"/>
      <c r="N4" s="2716"/>
      <c r="O4" s="2716"/>
      <c r="P4" s="3894" t="s">
        <v>1774</v>
      </c>
      <c r="Q4" s="3895"/>
      <c r="R4" s="3900" t="s">
        <v>1770</v>
      </c>
      <c r="S4" s="3901"/>
      <c r="T4" s="3900" t="s">
        <v>1771</v>
      </c>
      <c r="U4" s="3901"/>
      <c r="V4" s="3906" t="s">
        <v>1772</v>
      </c>
      <c r="W4" s="3906"/>
      <c r="X4" s="1355"/>
      <c r="Y4" s="3900" t="s">
        <v>1774</v>
      </c>
      <c r="Z4" s="3901"/>
      <c r="AA4" s="3887" t="s">
        <v>1770</v>
      </c>
      <c r="AB4" s="3888" t="s">
        <v>1771</v>
      </c>
      <c r="AC4" s="3887" t="s">
        <v>1772</v>
      </c>
    </row>
    <row r="5" spans="1:29">
      <c r="A5" s="358"/>
      <c r="B5" s="359"/>
      <c r="C5" s="3921" t="s">
        <v>1673</v>
      </c>
      <c r="D5" s="3915"/>
      <c r="E5" s="3923" t="s">
        <v>1674</v>
      </c>
      <c r="F5" s="3924"/>
      <c r="G5" s="3921" t="s">
        <v>1675</v>
      </c>
      <c r="H5" s="3915"/>
      <c r="I5" s="3921" t="s">
        <v>1676</v>
      </c>
      <c r="J5" s="3915"/>
      <c r="K5" s="559"/>
      <c r="L5" s="2715"/>
      <c r="M5" s="2716"/>
      <c r="N5" s="2716"/>
      <c r="O5" s="2716"/>
      <c r="P5" s="3896"/>
      <c r="Q5" s="3897"/>
      <c r="R5" s="3902"/>
      <c r="S5" s="3903"/>
      <c r="T5" s="3902"/>
      <c r="U5" s="3903"/>
      <c r="V5" s="3906"/>
      <c r="W5" s="3906"/>
      <c r="X5" s="1355"/>
      <c r="Y5" s="3902"/>
      <c r="Z5" s="3903"/>
      <c r="AA5" s="3888"/>
      <c r="AB5" s="3888"/>
      <c r="AC5" s="3888"/>
    </row>
    <row r="6" spans="1:29" ht="15" thickBot="1">
      <c r="A6" s="360"/>
      <c r="B6" s="361"/>
      <c r="C6" s="3920" t="s">
        <v>1677</v>
      </c>
      <c r="D6" s="3908"/>
      <c r="E6" s="3922" t="s">
        <v>1677</v>
      </c>
      <c r="F6" s="3917"/>
      <c r="G6" s="3920" t="s">
        <v>1677</v>
      </c>
      <c r="H6" s="3908"/>
      <c r="I6" s="3920" t="s">
        <v>1677</v>
      </c>
      <c r="J6" s="3908"/>
      <c r="K6" s="559" t="s">
        <v>1678</v>
      </c>
      <c r="L6" s="2715"/>
      <c r="M6" s="2716"/>
      <c r="N6" s="2716"/>
      <c r="O6" s="2716"/>
      <c r="P6" s="3898"/>
      <c r="Q6" s="3899"/>
      <c r="R6" s="3902"/>
      <c r="S6" s="3903"/>
      <c r="T6" s="3904"/>
      <c r="U6" s="3905"/>
      <c r="V6" s="3906"/>
      <c r="W6" s="3906"/>
      <c r="X6" s="1355"/>
      <c r="Y6" s="3904"/>
      <c r="Z6" s="3905"/>
      <c r="AA6" s="3889"/>
      <c r="AB6" s="3889"/>
      <c r="AC6" s="3889"/>
    </row>
    <row r="7" spans="1:29" s="108" customFormat="1" ht="15" thickBot="1">
      <c r="A7" s="362" t="s">
        <v>1679</v>
      </c>
      <c r="B7" s="363"/>
      <c r="C7" s="364">
        <f>'数据-取费表'!B2</f>
        <v>41424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911" t="s">
        <v>1680</v>
      </c>
      <c r="Q7" s="3913"/>
      <c r="R7" s="701" t="s">
        <v>14</v>
      </c>
      <c r="S7" s="702">
        <f t="shared" ref="S7:S14" si="0">F7</f>
        <v>0</v>
      </c>
      <c r="T7" s="701" t="s">
        <v>14</v>
      </c>
      <c r="U7" s="702">
        <f t="shared" ref="U7:U14" si="1">H7</f>
        <v>0</v>
      </c>
      <c r="V7" s="701" t="s">
        <v>14</v>
      </c>
      <c r="W7" s="702">
        <f t="shared" ref="W7:W14" si="2">J7</f>
        <v>0</v>
      </c>
      <c r="X7" s="703"/>
      <c r="Y7" s="3911" t="s">
        <v>1680</v>
      </c>
      <c r="Z7" s="391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911" t="s">
        <v>1683</v>
      </c>
      <c r="Q8" s="3912"/>
      <c r="R8" s="701" t="s">
        <v>14</v>
      </c>
      <c r="S8" s="702">
        <f t="shared" si="0"/>
        <v>100</v>
      </c>
      <c r="T8" s="701" t="s">
        <v>14</v>
      </c>
      <c r="U8" s="702">
        <f t="shared" si="1"/>
        <v>100</v>
      </c>
      <c r="V8" s="701" t="s">
        <v>14</v>
      </c>
      <c r="W8" s="702">
        <f t="shared" si="2"/>
        <v>100</v>
      </c>
      <c r="X8" s="703"/>
      <c r="Y8" s="3911" t="s">
        <v>1683</v>
      </c>
      <c r="Z8" s="391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75" t="s">
        <v>1686</v>
      </c>
      <c r="Q9" s="1343" t="str">
        <f t="shared" ref="Q9:Q14" si="6">B9</f>
        <v>用途</v>
      </c>
      <c r="R9" s="701" t="s">
        <v>14</v>
      </c>
      <c r="S9" s="702">
        <f t="shared" si="0"/>
        <v>100</v>
      </c>
      <c r="T9" s="701" t="s">
        <v>14</v>
      </c>
      <c r="U9" s="702">
        <f t="shared" si="1"/>
        <v>100</v>
      </c>
      <c r="V9" s="701" t="s">
        <v>14</v>
      </c>
      <c r="W9" s="702">
        <f t="shared" si="2"/>
        <v>100</v>
      </c>
      <c r="X9" s="703"/>
      <c r="Y9" s="375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75"/>
      <c r="Q10" s="1343" t="str">
        <f t="shared" si="6"/>
        <v>土地使用年限（年）</v>
      </c>
      <c r="R10" s="701" t="s">
        <v>14</v>
      </c>
      <c r="S10" s="702">
        <f t="shared" si="0"/>
        <v>100</v>
      </c>
      <c r="T10" s="701" t="s">
        <v>14</v>
      </c>
      <c r="U10" s="702">
        <f t="shared" si="1"/>
        <v>100</v>
      </c>
      <c r="V10" s="701" t="s">
        <v>14</v>
      </c>
      <c r="W10" s="702">
        <f t="shared" si="2"/>
        <v>100</v>
      </c>
      <c r="X10" s="703"/>
      <c r="Y10" s="37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75"/>
      <c r="Q11" s="1343">
        <f t="shared" si="6"/>
        <v>111</v>
      </c>
      <c r="R11" s="701" t="s">
        <v>14</v>
      </c>
      <c r="S11" s="702">
        <f t="shared" si="0"/>
        <v>100</v>
      </c>
      <c r="T11" s="701" t="s">
        <v>14</v>
      </c>
      <c r="U11" s="702">
        <f t="shared" si="1"/>
        <v>100</v>
      </c>
      <c r="V11" s="701" t="s">
        <v>14</v>
      </c>
      <c r="W11" s="702">
        <f t="shared" si="2"/>
        <v>100</v>
      </c>
      <c r="X11" s="703"/>
      <c r="Y11" s="37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75"/>
      <c r="Q12" s="1343">
        <f t="shared" si="6"/>
        <v>111</v>
      </c>
      <c r="R12" s="701" t="s">
        <v>14</v>
      </c>
      <c r="S12" s="702">
        <f t="shared" si="0"/>
        <v>100</v>
      </c>
      <c r="T12" s="701" t="s">
        <v>14</v>
      </c>
      <c r="U12" s="702">
        <f t="shared" si="1"/>
        <v>100</v>
      </c>
      <c r="V12" s="701" t="s">
        <v>14</v>
      </c>
      <c r="W12" s="702">
        <f t="shared" si="2"/>
        <v>100</v>
      </c>
      <c r="X12" s="703"/>
      <c r="Y12" s="375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75"/>
      <c r="Q13" s="1343">
        <f t="shared" si="6"/>
        <v>111</v>
      </c>
      <c r="R13" s="701" t="s">
        <v>14</v>
      </c>
      <c r="S13" s="702">
        <f t="shared" si="0"/>
        <v>100</v>
      </c>
      <c r="T13" s="701" t="s">
        <v>14</v>
      </c>
      <c r="U13" s="702">
        <f t="shared" si="1"/>
        <v>100</v>
      </c>
      <c r="V13" s="701" t="s">
        <v>14</v>
      </c>
      <c r="W13" s="702">
        <f t="shared" si="2"/>
        <v>100</v>
      </c>
      <c r="X13" s="703"/>
      <c r="Y13" s="3750"/>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77" t="s">
        <v>1691</v>
      </c>
      <c r="Q14" s="1352" t="str">
        <f t="shared" si="6"/>
        <v>交通便捷度</v>
      </c>
      <c r="R14" s="705" t="s">
        <v>14</v>
      </c>
      <c r="S14" s="706">
        <f t="shared" si="0"/>
        <v>100</v>
      </c>
      <c r="T14" s="705" t="s">
        <v>14</v>
      </c>
      <c r="U14" s="706">
        <f t="shared" si="1"/>
        <v>100</v>
      </c>
      <c r="V14" s="705" t="s">
        <v>14</v>
      </c>
      <c r="W14" s="706">
        <f t="shared" si="2"/>
        <v>100</v>
      </c>
      <c r="X14" s="1355"/>
      <c r="Y14" s="387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78"/>
      <c r="Q15" s="1352"/>
      <c r="R15" s="705"/>
      <c r="S15" s="706"/>
      <c r="T15" s="705"/>
      <c r="U15" s="706"/>
      <c r="V15" s="705"/>
      <c r="W15" s="706"/>
      <c r="X15" s="1355"/>
      <c r="Y15" s="387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78"/>
      <c r="Q16" s="1352" t="str">
        <f>B16</f>
        <v>公共配套设施</v>
      </c>
      <c r="R16" s="705" t="s">
        <v>14</v>
      </c>
      <c r="S16" s="706">
        <f>F16</f>
        <v>100</v>
      </c>
      <c r="T16" s="705" t="s">
        <v>14</v>
      </c>
      <c r="U16" s="706">
        <f>H16</f>
        <v>100</v>
      </c>
      <c r="V16" s="705" t="s">
        <v>14</v>
      </c>
      <c r="W16" s="706">
        <f>J16</f>
        <v>100</v>
      </c>
      <c r="X16" s="1355"/>
      <c r="Y16" s="38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78"/>
      <c r="Q17" s="1352"/>
      <c r="R17" s="705"/>
      <c r="S17" s="706"/>
      <c r="T17" s="705"/>
      <c r="U17" s="706"/>
      <c r="V17" s="705"/>
      <c r="W17" s="706"/>
      <c r="X17" s="1355"/>
      <c r="Y17" s="387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78"/>
      <c r="Q18" s="1352" t="str">
        <f>B18</f>
        <v>基础设施水平</v>
      </c>
      <c r="R18" s="705" t="s">
        <v>14</v>
      </c>
      <c r="S18" s="706">
        <f>F18</f>
        <v>100</v>
      </c>
      <c r="T18" s="705" t="s">
        <v>14</v>
      </c>
      <c r="U18" s="706">
        <f>H18</f>
        <v>100</v>
      </c>
      <c r="V18" s="705" t="s">
        <v>14</v>
      </c>
      <c r="W18" s="706">
        <f>J18</f>
        <v>100</v>
      </c>
      <c r="X18" s="1355"/>
      <c r="Y18" s="38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78"/>
      <c r="Q19" s="1352"/>
      <c r="R19" s="705"/>
      <c r="S19" s="706"/>
      <c r="T19" s="705"/>
      <c r="U19" s="706"/>
      <c r="V19" s="705"/>
      <c r="W19" s="706"/>
      <c r="X19" s="1355"/>
      <c r="Y19" s="387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78"/>
      <c r="Q20" s="1352" t="str">
        <f>B20</f>
        <v>自然及人文环境</v>
      </c>
      <c r="R20" s="705" t="s">
        <v>14</v>
      </c>
      <c r="S20" s="706">
        <f>F20</f>
        <v>100</v>
      </c>
      <c r="T20" s="705" t="s">
        <v>14</v>
      </c>
      <c r="U20" s="706">
        <f>H20</f>
        <v>100</v>
      </c>
      <c r="V20" s="705" t="s">
        <v>14</v>
      </c>
      <c r="W20" s="706">
        <f>J20</f>
        <v>100</v>
      </c>
      <c r="X20" s="1355"/>
      <c r="Y20" s="38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78"/>
      <c r="Q21" s="1352"/>
      <c r="R21" s="705"/>
      <c r="S21" s="706"/>
      <c r="T21" s="705"/>
      <c r="U21" s="706"/>
      <c r="V21" s="705"/>
      <c r="W21" s="706"/>
      <c r="X21" s="1355"/>
      <c r="Y21" s="387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78"/>
      <c r="Q22" s="1352" t="str">
        <f>B22</f>
        <v>楼层</v>
      </c>
      <c r="R22" s="705" t="s">
        <v>14</v>
      </c>
      <c r="S22" s="706">
        <f>F22</f>
        <v>100</v>
      </c>
      <c r="T22" s="705" t="s">
        <v>14</v>
      </c>
      <c r="U22" s="706">
        <f>H22</f>
        <v>100</v>
      </c>
      <c r="V22" s="705" t="s">
        <v>14</v>
      </c>
      <c r="W22" s="706">
        <f>J22</f>
        <v>100</v>
      </c>
      <c r="X22" s="1355"/>
      <c r="Y22" s="38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78"/>
      <c r="Q23" s="1352">
        <f>B23</f>
        <v>111</v>
      </c>
      <c r="R23" s="705" t="s">
        <v>14</v>
      </c>
      <c r="S23" s="706">
        <f>F23</f>
        <v>100</v>
      </c>
      <c r="T23" s="705" t="s">
        <v>14</v>
      </c>
      <c r="U23" s="706">
        <f>H23</f>
        <v>100</v>
      </c>
      <c r="V23" s="705" t="s">
        <v>14</v>
      </c>
      <c r="W23" s="706">
        <f>J23</f>
        <v>100</v>
      </c>
      <c r="X23" s="1355"/>
      <c r="Y23" s="38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78"/>
      <c r="Q24" s="1352">
        <f t="shared" ref="Q24:Q36" si="11">B24</f>
        <v>111</v>
      </c>
      <c r="R24" s="705" t="s">
        <v>14</v>
      </c>
      <c r="S24" s="706">
        <f>F24</f>
        <v>100</v>
      </c>
      <c r="T24" s="705" t="s">
        <v>14</v>
      </c>
      <c r="U24" s="706">
        <f>H24</f>
        <v>100</v>
      </c>
      <c r="V24" s="705" t="s">
        <v>14</v>
      </c>
      <c r="W24" s="706">
        <f>J24</f>
        <v>100</v>
      </c>
      <c r="X24" s="1355"/>
      <c r="Y24" s="387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78"/>
      <c r="Q25" s="1343">
        <f t="shared" si="11"/>
        <v>111</v>
      </c>
      <c r="R25" s="701" t="s">
        <v>14</v>
      </c>
      <c r="S25" s="702">
        <f>F25</f>
        <v>100</v>
      </c>
      <c r="T25" s="701" t="s">
        <v>14</v>
      </c>
      <c r="U25" s="702">
        <f>H25</f>
        <v>100</v>
      </c>
      <c r="V25" s="701" t="s">
        <v>14</v>
      </c>
      <c r="W25" s="702">
        <f>J25</f>
        <v>100</v>
      </c>
      <c r="X25" s="703"/>
      <c r="Y25" s="387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4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8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82"/>
      <c r="Q27" s="707" t="str">
        <f t="shared" si="11"/>
        <v>项目停车位配比</v>
      </c>
      <c r="R27" s="708" t="s">
        <v>14</v>
      </c>
      <c r="S27" s="709">
        <f t="shared" si="12"/>
        <v>100</v>
      </c>
      <c r="T27" s="708" t="s">
        <v>14</v>
      </c>
      <c r="U27" s="709">
        <f t="shared" si="13"/>
        <v>100</v>
      </c>
      <c r="V27" s="708" t="s">
        <v>14</v>
      </c>
      <c r="W27" s="709">
        <f t="shared" si="14"/>
        <v>100</v>
      </c>
      <c r="X27" s="710"/>
      <c r="Y27" s="388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82"/>
      <c r="Q28" s="1352" t="str">
        <f t="shared" si="11"/>
        <v>公共部分装修</v>
      </c>
      <c r="R28" s="705" t="s">
        <v>14</v>
      </c>
      <c r="S28" s="706">
        <f t="shared" si="12"/>
        <v>100</v>
      </c>
      <c r="T28" s="705" t="s">
        <v>14</v>
      </c>
      <c r="U28" s="706">
        <f t="shared" si="13"/>
        <v>100</v>
      </c>
      <c r="V28" s="705" t="s">
        <v>14</v>
      </c>
      <c r="W28" s="706">
        <f t="shared" si="14"/>
        <v>100</v>
      </c>
      <c r="X28" s="1355"/>
      <c r="Y28" s="388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82"/>
      <c r="Q29" s="1352" t="str">
        <f t="shared" si="11"/>
        <v>成新率</v>
      </c>
      <c r="R29" s="705" t="s">
        <v>14</v>
      </c>
      <c r="S29" s="706" t="e">
        <f t="shared" si="12"/>
        <v>#N/A</v>
      </c>
      <c r="T29" s="705" t="s">
        <v>14</v>
      </c>
      <c r="U29" s="706" t="e">
        <f t="shared" si="13"/>
        <v>#N/A</v>
      </c>
      <c r="V29" s="705" t="s">
        <v>14</v>
      </c>
      <c r="W29" s="706" t="e">
        <f t="shared" si="14"/>
        <v>#N/A</v>
      </c>
      <c r="X29" s="1355"/>
      <c r="Y29" s="388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82"/>
      <c r="Q30" s="1352" t="str">
        <f t="shared" si="11"/>
        <v>物业等级</v>
      </c>
      <c r="R30" s="705" t="s">
        <v>14</v>
      </c>
      <c r="S30" s="706">
        <f t="shared" si="12"/>
        <v>100</v>
      </c>
      <c r="T30" s="705" t="s">
        <v>14</v>
      </c>
      <c r="U30" s="706">
        <f t="shared" si="13"/>
        <v>100</v>
      </c>
      <c r="V30" s="705" t="s">
        <v>14</v>
      </c>
      <c r="W30" s="706">
        <f t="shared" si="14"/>
        <v>100</v>
      </c>
      <c r="X30" s="1355"/>
      <c r="Y30" s="388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82"/>
      <c r="Q31" s="1343" t="str">
        <f t="shared" si="11"/>
        <v>停车位面积</v>
      </c>
      <c r="R31" s="701" t="s">
        <v>14</v>
      </c>
      <c r="S31" s="702" t="e">
        <f t="shared" si="12"/>
        <v>#N/A</v>
      </c>
      <c r="T31" s="701" t="s">
        <v>14</v>
      </c>
      <c r="U31" s="702" t="e">
        <f t="shared" si="13"/>
        <v>#N/A</v>
      </c>
      <c r="V31" s="701" t="s">
        <v>14</v>
      </c>
      <c r="W31" s="702" t="e">
        <f t="shared" si="14"/>
        <v>#N/A</v>
      </c>
      <c r="X31" s="703"/>
      <c r="Y31" s="388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82" t="s">
        <v>1695</v>
      </c>
      <c r="Q32" s="1352" t="str">
        <f t="shared" si="11"/>
        <v>车位类型</v>
      </c>
      <c r="R32" s="705" t="s">
        <v>14</v>
      </c>
      <c r="S32" s="706">
        <f t="shared" si="12"/>
        <v>100</v>
      </c>
      <c r="T32" s="705" t="s">
        <v>14</v>
      </c>
      <c r="U32" s="706">
        <f t="shared" si="13"/>
        <v>100</v>
      </c>
      <c r="V32" s="705" t="s">
        <v>14</v>
      </c>
      <c r="W32" s="706">
        <f t="shared" si="14"/>
        <v>100</v>
      </c>
      <c r="X32" s="1355"/>
      <c r="Y32" s="388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82"/>
      <c r="Q33" s="1352" t="str">
        <f t="shared" si="11"/>
        <v>是否直接入户</v>
      </c>
      <c r="R33" s="705" t="s">
        <v>14</v>
      </c>
      <c r="S33" s="706">
        <f t="shared" si="12"/>
        <v>100</v>
      </c>
      <c r="T33" s="705" t="s">
        <v>14</v>
      </c>
      <c r="U33" s="706">
        <f t="shared" si="13"/>
        <v>100</v>
      </c>
      <c r="V33" s="705" t="s">
        <v>14</v>
      </c>
      <c r="W33" s="706">
        <f t="shared" si="14"/>
        <v>100</v>
      </c>
      <c r="X33" s="1355"/>
      <c r="Y33" s="38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82"/>
      <c r="Q34" s="1352">
        <f t="shared" si="11"/>
        <v>111</v>
      </c>
      <c r="R34" s="705" t="s">
        <v>14</v>
      </c>
      <c r="S34" s="706">
        <f t="shared" si="12"/>
        <v>100</v>
      </c>
      <c r="T34" s="705" t="s">
        <v>14</v>
      </c>
      <c r="U34" s="706">
        <f t="shared" si="13"/>
        <v>100</v>
      </c>
      <c r="V34" s="705" t="s">
        <v>14</v>
      </c>
      <c r="W34" s="706">
        <f t="shared" si="14"/>
        <v>100</v>
      </c>
      <c r="X34" s="1355"/>
      <c r="Y34" s="38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82"/>
      <c r="Q35" s="707">
        <f t="shared" si="11"/>
        <v>111</v>
      </c>
      <c r="R35" s="708" t="s">
        <v>14</v>
      </c>
      <c r="S35" s="709">
        <f t="shared" si="12"/>
        <v>100</v>
      </c>
      <c r="T35" s="708" t="s">
        <v>14</v>
      </c>
      <c r="U35" s="709">
        <f t="shared" si="13"/>
        <v>100</v>
      </c>
      <c r="V35" s="708" t="s">
        <v>14</v>
      </c>
      <c r="W35" s="709">
        <f t="shared" si="14"/>
        <v>100</v>
      </c>
      <c r="X35" s="710"/>
      <c r="Y35" s="388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82"/>
      <c r="Q36" s="1352">
        <f t="shared" si="11"/>
        <v>111</v>
      </c>
      <c r="R36" s="705" t="s">
        <v>14</v>
      </c>
      <c r="S36" s="706">
        <f t="shared" si="12"/>
        <v>100</v>
      </c>
      <c r="T36" s="705" t="s">
        <v>14</v>
      </c>
      <c r="U36" s="706">
        <f t="shared" si="13"/>
        <v>100</v>
      </c>
      <c r="V36" s="705" t="s">
        <v>14</v>
      </c>
      <c r="W36" s="706">
        <f t="shared" si="14"/>
        <v>100</v>
      </c>
      <c r="X36" s="1355"/>
      <c r="Y36" s="3882"/>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875" t="str">
        <f>A37</f>
        <v>成交单价</v>
      </c>
      <c r="Q37" s="3875"/>
      <c r="R37" s="3876">
        <f>E37</f>
        <v>0</v>
      </c>
      <c r="S37" s="3876"/>
      <c r="T37" s="3876">
        <f>G37</f>
        <v>0</v>
      </c>
      <c r="U37" s="3876"/>
      <c r="V37" s="3876">
        <f>I37</f>
        <v>0</v>
      </c>
      <c r="W37" s="387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875" t="str">
        <f>A38</f>
        <v>比较价值（元/平方米）</v>
      </c>
      <c r="Q38" s="3875"/>
      <c r="R38" s="3876" t="e">
        <f>IF(F1="售价",ROUND(PRODUCT(R37,AA7:AA36),0),ROUND(PRODUCT(R37,AA7:AA36),1))</f>
        <v>#DIV/0!</v>
      </c>
      <c r="S38" s="3876"/>
      <c r="T38" s="3876" t="e">
        <f>IF(F1="售价",ROUND(PRODUCT(T37,AB7:AB36),0),ROUND(PRODUCT(T37,AB7:AB36),1))</f>
        <v>#DIV/0!</v>
      </c>
      <c r="U38" s="3876"/>
      <c r="V38" s="3876" t="e">
        <f>IF(F1="售价",ROUND(PRODUCT(V37,AC7:AC36),0),ROUND(PRODUCT(V37,AC7:AC36),1))</f>
        <v>#DIV/0!</v>
      </c>
      <c r="W38" s="387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872" t="str">
        <f>A39</f>
        <v>估价对象XX用房的比较价值（楼面单价，元/平方米）</v>
      </c>
      <c r="Q39" s="3873"/>
      <c r="R39" s="3941" t="e">
        <f>IF(F1="售价",ROUND(IF(D38="简单平均",AVERAGE(R38:W38),R38*F38+T38*H38+V38*J38),0),ROUND(IF(D38="简单平均",AVERAGE(R38:V38),R38*F38+T38*H38+V38*J38),1))</f>
        <v>#DIV/0!</v>
      </c>
      <c r="S39" s="3941"/>
      <c r="T39" s="3941"/>
      <c r="U39" s="3941"/>
      <c r="V39" s="3941"/>
      <c r="W39" s="39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2013-5</v>
      </c>
      <c r="D48" s="1185">
        <f>EDATE(C48,-1)</f>
        <v>41365</v>
      </c>
      <c r="E48" s="1185">
        <f t="shared" ref="E48:O48" si="16">EDATE(D48,-1)</f>
        <v>41334</v>
      </c>
      <c r="F48" s="1185">
        <f t="shared" si="16"/>
        <v>41306</v>
      </c>
      <c r="G48" s="1185">
        <f t="shared" si="16"/>
        <v>41275</v>
      </c>
      <c r="H48" s="1185">
        <f t="shared" si="16"/>
        <v>41244</v>
      </c>
      <c r="I48" s="1185">
        <f t="shared" si="16"/>
        <v>41214</v>
      </c>
      <c r="J48" s="1185">
        <f t="shared" si="16"/>
        <v>41183</v>
      </c>
      <c r="K48" s="1185">
        <f t="shared" si="16"/>
        <v>41153</v>
      </c>
      <c r="L48" s="1185">
        <f t="shared" si="16"/>
        <v>41122</v>
      </c>
      <c r="M48" s="1185">
        <f t="shared" si="16"/>
        <v>41091</v>
      </c>
      <c r="N48" s="1185">
        <f t="shared" si="16"/>
        <v>41061</v>
      </c>
      <c r="O48" s="1185">
        <f t="shared" si="16"/>
        <v>41030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90" t="s">
        <v>1769</v>
      </c>
      <c r="D4" s="3891"/>
      <c r="E4" s="3892" t="s">
        <v>1770</v>
      </c>
      <c r="F4" s="3893"/>
      <c r="G4" s="3890" t="s">
        <v>1771</v>
      </c>
      <c r="H4" s="3891"/>
      <c r="I4" s="3890" t="s">
        <v>1772</v>
      </c>
      <c r="J4" s="3891"/>
      <c r="K4" s="559" t="s">
        <v>1773</v>
      </c>
      <c r="L4" s="2715"/>
      <c r="M4" s="2716"/>
      <c r="N4" s="2716"/>
      <c r="O4" s="2716"/>
      <c r="P4" s="3894" t="s">
        <v>1774</v>
      </c>
      <c r="Q4" s="3895"/>
      <c r="R4" s="3900" t="s">
        <v>1770</v>
      </c>
      <c r="S4" s="3901"/>
      <c r="T4" s="3900" t="s">
        <v>1771</v>
      </c>
      <c r="U4" s="3901"/>
      <c r="V4" s="3906" t="s">
        <v>1772</v>
      </c>
      <c r="W4" s="3906"/>
      <c r="X4" s="1355"/>
      <c r="Y4" s="3900" t="s">
        <v>1774</v>
      </c>
      <c r="Z4" s="3901"/>
      <c r="AA4" s="3887" t="s">
        <v>1770</v>
      </c>
      <c r="AB4" s="3888" t="s">
        <v>1771</v>
      </c>
      <c r="AC4" s="3887" t="s">
        <v>1772</v>
      </c>
    </row>
    <row r="5" spans="1:29">
      <c r="A5" s="358"/>
      <c r="B5" s="359"/>
      <c r="C5" s="3921" t="s">
        <v>1673</v>
      </c>
      <c r="D5" s="3915"/>
      <c r="E5" s="3923" t="s">
        <v>1674</v>
      </c>
      <c r="F5" s="3924"/>
      <c r="G5" s="3921" t="s">
        <v>1675</v>
      </c>
      <c r="H5" s="3915"/>
      <c r="I5" s="3921" t="s">
        <v>1676</v>
      </c>
      <c r="J5" s="3915"/>
      <c r="K5" s="559"/>
      <c r="L5" s="2715"/>
      <c r="M5" s="2716"/>
      <c r="N5" s="2716"/>
      <c r="O5" s="2716"/>
      <c r="P5" s="3896"/>
      <c r="Q5" s="3897"/>
      <c r="R5" s="3902"/>
      <c r="S5" s="3903"/>
      <c r="T5" s="3902"/>
      <c r="U5" s="3903"/>
      <c r="V5" s="3906"/>
      <c r="W5" s="3906"/>
      <c r="X5" s="1355"/>
      <c r="Y5" s="3902"/>
      <c r="Z5" s="3903"/>
      <c r="AA5" s="3888"/>
      <c r="AB5" s="3888"/>
      <c r="AC5" s="3888"/>
    </row>
    <row r="6" spans="1:29" ht="15" thickBot="1">
      <c r="A6" s="360"/>
      <c r="B6" s="361"/>
      <c r="C6" s="3920" t="s">
        <v>1677</v>
      </c>
      <c r="D6" s="3908"/>
      <c r="E6" s="3922" t="s">
        <v>1677</v>
      </c>
      <c r="F6" s="3917"/>
      <c r="G6" s="3920" t="s">
        <v>1677</v>
      </c>
      <c r="H6" s="3908"/>
      <c r="I6" s="3920" t="s">
        <v>1677</v>
      </c>
      <c r="J6" s="3908"/>
      <c r="K6" s="559" t="s">
        <v>1678</v>
      </c>
      <c r="L6" s="2715"/>
      <c r="M6" s="2716"/>
      <c r="N6" s="2716"/>
      <c r="O6" s="2716"/>
      <c r="P6" s="3898"/>
      <c r="Q6" s="3899"/>
      <c r="R6" s="3902"/>
      <c r="S6" s="3903"/>
      <c r="T6" s="3904"/>
      <c r="U6" s="3905"/>
      <c r="V6" s="3906"/>
      <c r="W6" s="3906"/>
      <c r="X6" s="1355"/>
      <c r="Y6" s="3904"/>
      <c r="Z6" s="3905"/>
      <c r="AA6" s="3889"/>
      <c r="AB6" s="3889"/>
      <c r="AC6" s="3889"/>
    </row>
    <row r="7" spans="1:29" s="108" customFormat="1" ht="15" thickBot="1">
      <c r="A7" s="362" t="s">
        <v>1679</v>
      </c>
      <c r="B7" s="363"/>
      <c r="C7" s="364">
        <f>'数据-取费表'!B2</f>
        <v>41424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911" t="s">
        <v>1680</v>
      </c>
      <c r="Q7" s="3913"/>
      <c r="R7" s="701" t="s">
        <v>14</v>
      </c>
      <c r="S7" s="702">
        <f t="shared" ref="S7:S14" si="0">F7</f>
        <v>0</v>
      </c>
      <c r="T7" s="701" t="s">
        <v>14</v>
      </c>
      <c r="U7" s="702">
        <f t="shared" ref="U7:U14" si="1">H7</f>
        <v>0</v>
      </c>
      <c r="V7" s="701" t="s">
        <v>14</v>
      </c>
      <c r="W7" s="702">
        <f t="shared" ref="W7:W14" si="2">J7</f>
        <v>0</v>
      </c>
      <c r="X7" s="703"/>
      <c r="Y7" s="3911" t="s">
        <v>1680</v>
      </c>
      <c r="Z7" s="391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911" t="s">
        <v>1683</v>
      </c>
      <c r="Q8" s="3912"/>
      <c r="R8" s="701" t="s">
        <v>14</v>
      </c>
      <c r="S8" s="702">
        <f t="shared" si="0"/>
        <v>100</v>
      </c>
      <c r="T8" s="701" t="s">
        <v>14</v>
      </c>
      <c r="U8" s="702">
        <f t="shared" si="1"/>
        <v>100</v>
      </c>
      <c r="V8" s="701" t="s">
        <v>14</v>
      </c>
      <c r="W8" s="702">
        <f t="shared" si="2"/>
        <v>100</v>
      </c>
      <c r="X8" s="703"/>
      <c r="Y8" s="3911" t="s">
        <v>1683</v>
      </c>
      <c r="Z8" s="391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75" t="s">
        <v>1686</v>
      </c>
      <c r="Q9" s="1343" t="str">
        <f t="shared" ref="Q9:Q14" si="6">B9</f>
        <v>用途</v>
      </c>
      <c r="R9" s="701" t="s">
        <v>14</v>
      </c>
      <c r="S9" s="702">
        <f t="shared" si="0"/>
        <v>100</v>
      </c>
      <c r="T9" s="701" t="s">
        <v>14</v>
      </c>
      <c r="U9" s="702">
        <f t="shared" si="1"/>
        <v>100</v>
      </c>
      <c r="V9" s="701" t="s">
        <v>14</v>
      </c>
      <c r="W9" s="702">
        <f t="shared" si="2"/>
        <v>100</v>
      </c>
      <c r="X9" s="703"/>
      <c r="Y9" s="375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75"/>
      <c r="Q10" s="1343" t="str">
        <f t="shared" si="6"/>
        <v>土地使用年限（年）</v>
      </c>
      <c r="R10" s="701" t="s">
        <v>14</v>
      </c>
      <c r="S10" s="702">
        <f t="shared" si="0"/>
        <v>100</v>
      </c>
      <c r="T10" s="701" t="s">
        <v>14</v>
      </c>
      <c r="U10" s="702">
        <f t="shared" si="1"/>
        <v>100</v>
      </c>
      <c r="V10" s="701" t="s">
        <v>14</v>
      </c>
      <c r="W10" s="702">
        <f t="shared" si="2"/>
        <v>100</v>
      </c>
      <c r="X10" s="703"/>
      <c r="Y10" s="37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75"/>
      <c r="Q11" s="1343">
        <f t="shared" si="6"/>
        <v>111</v>
      </c>
      <c r="R11" s="701" t="s">
        <v>14</v>
      </c>
      <c r="S11" s="702">
        <f t="shared" si="0"/>
        <v>100</v>
      </c>
      <c r="T11" s="701" t="s">
        <v>14</v>
      </c>
      <c r="U11" s="702">
        <f t="shared" si="1"/>
        <v>100</v>
      </c>
      <c r="V11" s="701" t="s">
        <v>14</v>
      </c>
      <c r="W11" s="702">
        <f t="shared" si="2"/>
        <v>100</v>
      </c>
      <c r="X11" s="703"/>
      <c r="Y11" s="37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75"/>
      <c r="Q12" s="1343">
        <f t="shared" si="6"/>
        <v>111</v>
      </c>
      <c r="R12" s="701" t="s">
        <v>14</v>
      </c>
      <c r="S12" s="702">
        <f t="shared" si="0"/>
        <v>100</v>
      </c>
      <c r="T12" s="701" t="s">
        <v>14</v>
      </c>
      <c r="U12" s="702">
        <f t="shared" si="1"/>
        <v>100</v>
      </c>
      <c r="V12" s="701" t="s">
        <v>14</v>
      </c>
      <c r="W12" s="702">
        <f t="shared" si="2"/>
        <v>100</v>
      </c>
      <c r="X12" s="703"/>
      <c r="Y12" s="375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75"/>
      <c r="Q13" s="1343">
        <f t="shared" si="6"/>
        <v>111</v>
      </c>
      <c r="R13" s="701" t="s">
        <v>14</v>
      </c>
      <c r="S13" s="702">
        <f t="shared" si="0"/>
        <v>100</v>
      </c>
      <c r="T13" s="701" t="s">
        <v>14</v>
      </c>
      <c r="U13" s="702">
        <f t="shared" si="1"/>
        <v>100</v>
      </c>
      <c r="V13" s="701" t="s">
        <v>14</v>
      </c>
      <c r="W13" s="702">
        <f t="shared" si="2"/>
        <v>100</v>
      </c>
      <c r="X13" s="703"/>
      <c r="Y13" s="3750"/>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77" t="s">
        <v>1691</v>
      </c>
      <c r="Q14" s="1352" t="str">
        <f t="shared" si="6"/>
        <v>交通便捷度</v>
      </c>
      <c r="R14" s="705" t="s">
        <v>14</v>
      </c>
      <c r="S14" s="706">
        <f t="shared" si="0"/>
        <v>100</v>
      </c>
      <c r="T14" s="705" t="s">
        <v>14</v>
      </c>
      <c r="U14" s="706">
        <f t="shared" si="1"/>
        <v>100</v>
      </c>
      <c r="V14" s="705" t="s">
        <v>14</v>
      </c>
      <c r="W14" s="706">
        <f t="shared" si="2"/>
        <v>100</v>
      </c>
      <c r="X14" s="1355"/>
      <c r="Y14" s="387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78"/>
      <c r="Q15" s="1352"/>
      <c r="R15" s="705"/>
      <c r="S15" s="706"/>
      <c r="T15" s="705"/>
      <c r="U15" s="706"/>
      <c r="V15" s="705"/>
      <c r="W15" s="706"/>
      <c r="X15" s="1355"/>
      <c r="Y15" s="387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78"/>
      <c r="Q16" s="1352" t="str">
        <f>B16</f>
        <v>公共配套设施</v>
      </c>
      <c r="R16" s="705" t="s">
        <v>14</v>
      </c>
      <c r="S16" s="706">
        <f>F16</f>
        <v>100</v>
      </c>
      <c r="T16" s="705" t="s">
        <v>14</v>
      </c>
      <c r="U16" s="706">
        <f>H16</f>
        <v>100</v>
      </c>
      <c r="V16" s="705" t="s">
        <v>14</v>
      </c>
      <c r="W16" s="706">
        <f>J16</f>
        <v>100</v>
      </c>
      <c r="X16" s="1355"/>
      <c r="Y16" s="38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78"/>
      <c r="Q17" s="1352"/>
      <c r="R17" s="705"/>
      <c r="S17" s="706"/>
      <c r="T17" s="705"/>
      <c r="U17" s="706"/>
      <c r="V17" s="705"/>
      <c r="W17" s="706"/>
      <c r="X17" s="1355"/>
      <c r="Y17" s="387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78"/>
      <c r="Q18" s="1352" t="str">
        <f>B18</f>
        <v>基础设施水平</v>
      </c>
      <c r="R18" s="705" t="s">
        <v>14</v>
      </c>
      <c r="S18" s="706">
        <f>F18</f>
        <v>100</v>
      </c>
      <c r="T18" s="705" t="s">
        <v>14</v>
      </c>
      <c r="U18" s="706">
        <f>H18</f>
        <v>100</v>
      </c>
      <c r="V18" s="705" t="s">
        <v>14</v>
      </c>
      <c r="W18" s="706">
        <f>J18</f>
        <v>100</v>
      </c>
      <c r="X18" s="1355"/>
      <c r="Y18" s="38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78"/>
      <c r="Q19" s="1352"/>
      <c r="R19" s="705"/>
      <c r="S19" s="706"/>
      <c r="T19" s="705"/>
      <c r="U19" s="706"/>
      <c r="V19" s="705"/>
      <c r="W19" s="706"/>
      <c r="X19" s="1355"/>
      <c r="Y19" s="387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78"/>
      <c r="Q20" s="1352" t="str">
        <f>B20</f>
        <v>自然及人文环境</v>
      </c>
      <c r="R20" s="705" t="s">
        <v>14</v>
      </c>
      <c r="S20" s="706">
        <f>F20</f>
        <v>100</v>
      </c>
      <c r="T20" s="705" t="s">
        <v>14</v>
      </c>
      <c r="U20" s="706">
        <f>H20</f>
        <v>100</v>
      </c>
      <c r="V20" s="705" t="s">
        <v>14</v>
      </c>
      <c r="W20" s="706">
        <f>J20</f>
        <v>100</v>
      </c>
      <c r="X20" s="1355"/>
      <c r="Y20" s="38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78"/>
      <c r="Q21" s="1352"/>
      <c r="R21" s="705"/>
      <c r="S21" s="706"/>
      <c r="T21" s="705"/>
      <c r="U21" s="706"/>
      <c r="V21" s="705"/>
      <c r="W21" s="706"/>
      <c r="X21" s="1355"/>
      <c r="Y21" s="387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78"/>
      <c r="Q22" s="1352" t="str">
        <f>B22</f>
        <v>楼层</v>
      </c>
      <c r="R22" s="705" t="s">
        <v>14</v>
      </c>
      <c r="S22" s="706">
        <f>F22</f>
        <v>100</v>
      </c>
      <c r="T22" s="705" t="s">
        <v>14</v>
      </c>
      <c r="U22" s="706">
        <f>H22</f>
        <v>100</v>
      </c>
      <c r="V22" s="705" t="s">
        <v>14</v>
      </c>
      <c r="W22" s="706">
        <f>J22</f>
        <v>100</v>
      </c>
      <c r="X22" s="1355"/>
      <c r="Y22" s="38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78"/>
      <c r="Q23" s="1352">
        <f>B23</f>
        <v>111</v>
      </c>
      <c r="R23" s="705" t="s">
        <v>14</v>
      </c>
      <c r="S23" s="706">
        <f>F23</f>
        <v>100</v>
      </c>
      <c r="T23" s="705" t="s">
        <v>14</v>
      </c>
      <c r="U23" s="706">
        <f>H23</f>
        <v>100</v>
      </c>
      <c r="V23" s="705" t="s">
        <v>14</v>
      </c>
      <c r="W23" s="706">
        <f>J23</f>
        <v>100</v>
      </c>
      <c r="X23" s="1355"/>
      <c r="Y23" s="38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78"/>
      <c r="Q24" s="1352">
        <f t="shared" ref="Q24:Q34" si="11">B24</f>
        <v>111</v>
      </c>
      <c r="R24" s="705" t="s">
        <v>14</v>
      </c>
      <c r="S24" s="706">
        <f>F24</f>
        <v>100</v>
      </c>
      <c r="T24" s="705" t="s">
        <v>14</v>
      </c>
      <c r="U24" s="706">
        <f>H24</f>
        <v>100</v>
      </c>
      <c r="V24" s="705" t="s">
        <v>14</v>
      </c>
      <c r="W24" s="706">
        <f>J24</f>
        <v>100</v>
      </c>
      <c r="X24" s="1355"/>
      <c r="Y24" s="387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78"/>
      <c r="Q25" s="1343">
        <f t="shared" si="11"/>
        <v>111</v>
      </c>
      <c r="R25" s="701" t="s">
        <v>14</v>
      </c>
      <c r="S25" s="702">
        <f>F25</f>
        <v>100</v>
      </c>
      <c r="T25" s="701" t="s">
        <v>14</v>
      </c>
      <c r="U25" s="702">
        <f>H25</f>
        <v>100</v>
      </c>
      <c r="V25" s="701" t="s">
        <v>14</v>
      </c>
      <c r="W25" s="702">
        <f>J25</f>
        <v>100</v>
      </c>
      <c r="X25" s="703"/>
      <c r="Y25" s="387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4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8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82"/>
      <c r="Q27" s="707" t="str">
        <f t="shared" si="11"/>
        <v>成新率</v>
      </c>
      <c r="R27" s="708" t="s">
        <v>14</v>
      </c>
      <c r="S27" s="709" t="e">
        <f t="shared" si="12"/>
        <v>#N/A</v>
      </c>
      <c r="T27" s="708" t="s">
        <v>14</v>
      </c>
      <c r="U27" s="709" t="e">
        <f t="shared" si="13"/>
        <v>#N/A</v>
      </c>
      <c r="V27" s="708" t="s">
        <v>14</v>
      </c>
      <c r="W27" s="709" t="e">
        <f t="shared" si="14"/>
        <v>#N/A</v>
      </c>
      <c r="X27" s="710"/>
      <c r="Y27" s="388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82"/>
      <c r="Q28" s="1352" t="str">
        <f t="shared" si="11"/>
        <v>物业等级</v>
      </c>
      <c r="R28" s="705" t="s">
        <v>14</v>
      </c>
      <c r="S28" s="706">
        <f t="shared" si="12"/>
        <v>100</v>
      </c>
      <c r="T28" s="705" t="s">
        <v>14</v>
      </c>
      <c r="U28" s="706">
        <f t="shared" si="13"/>
        <v>100</v>
      </c>
      <c r="V28" s="705" t="s">
        <v>14</v>
      </c>
      <c r="W28" s="706">
        <f t="shared" si="14"/>
        <v>100</v>
      </c>
      <c r="X28" s="1355"/>
      <c r="Y28" s="388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82"/>
      <c r="Q29" s="1352" t="str">
        <f t="shared" si="11"/>
        <v>有无电梯</v>
      </c>
      <c r="R29" s="705" t="s">
        <v>14</v>
      </c>
      <c r="S29" s="706">
        <f t="shared" si="12"/>
        <v>100</v>
      </c>
      <c r="T29" s="705" t="s">
        <v>14</v>
      </c>
      <c r="U29" s="706">
        <f t="shared" si="13"/>
        <v>100</v>
      </c>
      <c r="V29" s="705" t="s">
        <v>14</v>
      </c>
      <c r="W29" s="706">
        <f t="shared" si="14"/>
        <v>100</v>
      </c>
      <c r="X29" s="1355"/>
      <c r="Y29" s="388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82"/>
      <c r="Q30" s="1352" t="str">
        <f t="shared" si="11"/>
        <v>建筑面积</v>
      </c>
      <c r="R30" s="705" t="s">
        <v>14</v>
      </c>
      <c r="S30" s="706" t="e">
        <f t="shared" si="12"/>
        <v>#N/A</v>
      </c>
      <c r="T30" s="705" t="s">
        <v>14</v>
      </c>
      <c r="U30" s="706" t="e">
        <f t="shared" si="13"/>
        <v>#N/A</v>
      </c>
      <c r="V30" s="705" t="s">
        <v>14</v>
      </c>
      <c r="W30" s="706" t="e">
        <f t="shared" si="14"/>
        <v>#N/A</v>
      </c>
      <c r="X30" s="1355"/>
      <c r="Y30" s="388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82"/>
      <c r="Q31" s="1343" t="str">
        <f t="shared" si="11"/>
        <v>是否封闭</v>
      </c>
      <c r="R31" s="701" t="s">
        <v>14</v>
      </c>
      <c r="S31" s="702">
        <f t="shared" si="12"/>
        <v>100</v>
      </c>
      <c r="T31" s="701" t="s">
        <v>14</v>
      </c>
      <c r="U31" s="702">
        <f t="shared" si="13"/>
        <v>100</v>
      </c>
      <c r="V31" s="701" t="s">
        <v>14</v>
      </c>
      <c r="W31" s="702">
        <f t="shared" si="14"/>
        <v>100</v>
      </c>
      <c r="X31" s="703"/>
      <c r="Y31" s="38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82" t="s">
        <v>1695</v>
      </c>
      <c r="Q32" s="1352">
        <f t="shared" si="11"/>
        <v>111</v>
      </c>
      <c r="R32" s="705" t="s">
        <v>14</v>
      </c>
      <c r="S32" s="706">
        <f t="shared" si="12"/>
        <v>100</v>
      </c>
      <c r="T32" s="705" t="s">
        <v>14</v>
      </c>
      <c r="U32" s="706">
        <f t="shared" si="13"/>
        <v>100</v>
      </c>
      <c r="V32" s="705" t="s">
        <v>14</v>
      </c>
      <c r="W32" s="706">
        <f t="shared" si="14"/>
        <v>100</v>
      </c>
      <c r="X32" s="1355"/>
      <c r="Y32" s="388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82"/>
      <c r="Q33" s="1352">
        <f t="shared" si="11"/>
        <v>111</v>
      </c>
      <c r="R33" s="705" t="s">
        <v>14</v>
      </c>
      <c r="S33" s="706">
        <f t="shared" si="12"/>
        <v>100</v>
      </c>
      <c r="T33" s="705" t="s">
        <v>14</v>
      </c>
      <c r="U33" s="706">
        <f t="shared" si="13"/>
        <v>100</v>
      </c>
      <c r="V33" s="705" t="s">
        <v>14</v>
      </c>
      <c r="W33" s="706">
        <f t="shared" si="14"/>
        <v>100</v>
      </c>
      <c r="X33" s="1355"/>
      <c r="Y33" s="388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82"/>
      <c r="Q34" s="1352">
        <f t="shared" si="11"/>
        <v>111</v>
      </c>
      <c r="R34" s="705" t="s">
        <v>14</v>
      </c>
      <c r="S34" s="706">
        <f t="shared" si="12"/>
        <v>100</v>
      </c>
      <c r="T34" s="705" t="s">
        <v>14</v>
      </c>
      <c r="U34" s="706">
        <f t="shared" si="13"/>
        <v>100</v>
      </c>
      <c r="V34" s="705" t="s">
        <v>14</v>
      </c>
      <c r="W34" s="706">
        <f t="shared" si="14"/>
        <v>100</v>
      </c>
      <c r="X34" s="1355"/>
      <c r="Y34" s="388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875" t="str">
        <f>A35</f>
        <v>成交单价（元/平方米）</v>
      </c>
      <c r="Q35" s="3875"/>
      <c r="R35" s="3876">
        <f>E35</f>
        <v>0</v>
      </c>
      <c r="S35" s="3876"/>
      <c r="T35" s="3876">
        <f>G35</f>
        <v>0</v>
      </c>
      <c r="U35" s="3876"/>
      <c r="V35" s="3876">
        <f>I35</f>
        <v>0</v>
      </c>
      <c r="W35" s="387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875" t="str">
        <f>A36</f>
        <v>比较价值（元/平方米）</v>
      </c>
      <c r="Q36" s="3875"/>
      <c r="R36" s="3876" t="e">
        <f>IF(F1="售价",ROUND(PRODUCT(R35,AA7:AA34),0),ROUND(PRODUCT(R35,AA7:AA34),1))</f>
        <v>#DIV/0!</v>
      </c>
      <c r="S36" s="3876"/>
      <c r="T36" s="3876" t="e">
        <f>IF(F1="售价",ROUND(PRODUCT(T35,AB7:AB34),0),ROUND(PRODUCT(T35,AB7:AB34),1))</f>
        <v>#DIV/0!</v>
      </c>
      <c r="U36" s="3876"/>
      <c r="V36" s="3876" t="e">
        <f>IF(F1="售价",ROUND(PRODUCT(V35,AC7:AC34),0),ROUND(PRODUCT(V35,AC7:AC34),1))</f>
        <v>#DIV/0!</v>
      </c>
      <c r="W36" s="387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872" t="str">
        <f>A37</f>
        <v>估价对象XX用房的比较价值（楼面单价，元/平方米）</v>
      </c>
      <c r="Q37" s="3873"/>
      <c r="R37" s="3941" t="e">
        <f>IF(F1="售价",ROUND(IF(D36="简单平均",AVERAGE(R36:W36),R36*F36+T36*H36+V36*J36),0),ROUND(IF(D36="简单平均",AVERAGE(R36:V36),R36*F36+T36*H36+V36*J36),1))</f>
        <v>#DIV/0!</v>
      </c>
      <c r="S37" s="3941"/>
      <c r="T37" s="3941"/>
      <c r="U37" s="3941"/>
      <c r="V37" s="3941"/>
      <c r="W37" s="39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2013-5</v>
      </c>
      <c r="D46" s="1185">
        <f>EDATE(C46,-1)</f>
        <v>41365</v>
      </c>
      <c r="E46" s="1185">
        <f t="shared" ref="E46:O46" si="16">EDATE(D46,-1)</f>
        <v>41334</v>
      </c>
      <c r="F46" s="1185">
        <f t="shared" si="16"/>
        <v>41306</v>
      </c>
      <c r="G46" s="1185">
        <f t="shared" si="16"/>
        <v>41275</v>
      </c>
      <c r="H46" s="1185">
        <f t="shared" si="16"/>
        <v>41244</v>
      </c>
      <c r="I46" s="1185">
        <f t="shared" si="16"/>
        <v>41214</v>
      </c>
      <c r="J46" s="1185">
        <f t="shared" si="16"/>
        <v>41183</v>
      </c>
      <c r="K46" s="1185">
        <f t="shared" si="16"/>
        <v>41153</v>
      </c>
      <c r="L46" s="1185">
        <f t="shared" si="16"/>
        <v>41122</v>
      </c>
      <c r="M46" s="1185">
        <f t="shared" si="16"/>
        <v>41091</v>
      </c>
      <c r="N46" s="1185">
        <f t="shared" si="16"/>
        <v>41061</v>
      </c>
      <c r="O46" s="1185">
        <f t="shared" si="16"/>
        <v>41030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90" t="s">
        <v>1769</v>
      </c>
      <c r="D4" s="3891"/>
      <c r="E4" s="3892" t="s">
        <v>1770</v>
      </c>
      <c r="F4" s="3893"/>
      <c r="G4" s="3890" t="s">
        <v>1771</v>
      </c>
      <c r="H4" s="3891"/>
      <c r="I4" s="3890" t="s">
        <v>1772</v>
      </c>
      <c r="J4" s="3891"/>
      <c r="K4" s="559" t="s">
        <v>1773</v>
      </c>
      <c r="L4" s="2715"/>
      <c r="M4" s="2716"/>
      <c r="N4" s="2716"/>
      <c r="O4" s="2716"/>
      <c r="P4" s="3894" t="s">
        <v>1774</v>
      </c>
      <c r="Q4" s="3895"/>
      <c r="R4" s="3900" t="s">
        <v>1770</v>
      </c>
      <c r="S4" s="3901"/>
      <c r="T4" s="3900" t="s">
        <v>1771</v>
      </c>
      <c r="U4" s="3901"/>
      <c r="V4" s="3906" t="s">
        <v>1772</v>
      </c>
      <c r="W4" s="3906"/>
      <c r="X4" s="1355"/>
      <c r="Y4" s="3900" t="s">
        <v>1774</v>
      </c>
      <c r="Z4" s="3901"/>
      <c r="AA4" s="3887" t="s">
        <v>1770</v>
      </c>
      <c r="AB4" s="3888" t="s">
        <v>1771</v>
      </c>
      <c r="AC4" s="3887" t="s">
        <v>1772</v>
      </c>
    </row>
    <row r="5" spans="1:30">
      <c r="A5" s="358"/>
      <c r="B5" s="359"/>
      <c r="C5" s="3921" t="s">
        <v>1673</v>
      </c>
      <c r="D5" s="3915"/>
      <c r="E5" s="3923" t="s">
        <v>1674</v>
      </c>
      <c r="F5" s="3924"/>
      <c r="G5" s="3921" t="s">
        <v>1675</v>
      </c>
      <c r="H5" s="3915"/>
      <c r="I5" s="3921" t="s">
        <v>1676</v>
      </c>
      <c r="J5" s="3915"/>
      <c r="K5" s="559"/>
      <c r="L5" s="2715"/>
      <c r="M5" s="2716"/>
      <c r="N5" s="2716"/>
      <c r="O5" s="2716"/>
      <c r="P5" s="3896"/>
      <c r="Q5" s="3897"/>
      <c r="R5" s="3902"/>
      <c r="S5" s="3903"/>
      <c r="T5" s="3902"/>
      <c r="U5" s="3903"/>
      <c r="V5" s="3906"/>
      <c r="W5" s="3906"/>
      <c r="X5" s="1355"/>
      <c r="Y5" s="3902"/>
      <c r="Z5" s="3903"/>
      <c r="AA5" s="3888"/>
      <c r="AB5" s="3888"/>
      <c r="AC5" s="3888"/>
    </row>
    <row r="6" spans="1:30" ht="15" thickBot="1">
      <c r="A6" s="360"/>
      <c r="B6" s="361"/>
      <c r="C6" s="3920" t="s">
        <v>1677</v>
      </c>
      <c r="D6" s="3908"/>
      <c r="E6" s="3922" t="s">
        <v>1677</v>
      </c>
      <c r="F6" s="3917"/>
      <c r="G6" s="3920" t="s">
        <v>1677</v>
      </c>
      <c r="H6" s="3908"/>
      <c r="I6" s="3920" t="s">
        <v>1677</v>
      </c>
      <c r="J6" s="3908"/>
      <c r="K6" s="559" t="s">
        <v>1678</v>
      </c>
      <c r="L6" s="2715"/>
      <c r="M6" s="2716"/>
      <c r="N6" s="2716"/>
      <c r="O6" s="2716"/>
      <c r="P6" s="3898"/>
      <c r="Q6" s="3899"/>
      <c r="R6" s="3902"/>
      <c r="S6" s="3903"/>
      <c r="T6" s="3904"/>
      <c r="U6" s="3905"/>
      <c r="V6" s="3906"/>
      <c r="W6" s="3906"/>
      <c r="X6" s="1355"/>
      <c r="Y6" s="3904"/>
      <c r="Z6" s="3905"/>
      <c r="AA6" s="3889"/>
      <c r="AB6" s="3889"/>
      <c r="AC6" s="3889"/>
    </row>
    <row r="7" spans="1:30" s="108" customFormat="1" ht="15" thickBot="1">
      <c r="A7" s="362" t="s">
        <v>1679</v>
      </c>
      <c r="B7" s="363"/>
      <c r="C7" s="364">
        <f>'数据-取费表'!B2</f>
        <v>41424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911" t="s">
        <v>1680</v>
      </c>
      <c r="Q7" s="3913"/>
      <c r="R7" s="701" t="s">
        <v>14</v>
      </c>
      <c r="S7" s="702">
        <f t="shared" ref="S7:S15" si="0">F7</f>
        <v>0</v>
      </c>
      <c r="T7" s="701" t="s">
        <v>14</v>
      </c>
      <c r="U7" s="702">
        <f t="shared" ref="U7:U15" si="1">H7</f>
        <v>0</v>
      </c>
      <c r="V7" s="701" t="s">
        <v>14</v>
      </c>
      <c r="W7" s="702">
        <f t="shared" ref="W7:W15" si="2">J7</f>
        <v>0</v>
      </c>
      <c r="X7" s="703"/>
      <c r="Y7" s="3911" t="s">
        <v>1680</v>
      </c>
      <c r="Z7" s="391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911" t="s">
        <v>1683</v>
      </c>
      <c r="Q8" s="3912"/>
      <c r="R8" s="701" t="s">
        <v>14</v>
      </c>
      <c r="S8" s="702">
        <f t="shared" si="0"/>
        <v>0</v>
      </c>
      <c r="T8" s="701" t="s">
        <v>14</v>
      </c>
      <c r="U8" s="702">
        <f t="shared" si="1"/>
        <v>0</v>
      </c>
      <c r="V8" s="701" t="s">
        <v>14</v>
      </c>
      <c r="W8" s="702">
        <f t="shared" si="2"/>
        <v>0</v>
      </c>
      <c r="X8" s="703"/>
      <c r="Y8" s="3911" t="s">
        <v>1683</v>
      </c>
      <c r="Z8" s="391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75" t="s">
        <v>1686</v>
      </c>
      <c r="Q9" s="1343" t="str">
        <f t="shared" ref="Q9:Q15" si="6">B9</f>
        <v>用途</v>
      </c>
      <c r="R9" s="701" t="s">
        <v>14</v>
      </c>
      <c r="S9" s="702">
        <f t="shared" si="0"/>
        <v>100</v>
      </c>
      <c r="T9" s="701" t="s">
        <v>14</v>
      </c>
      <c r="U9" s="702">
        <f t="shared" si="1"/>
        <v>100</v>
      </c>
      <c r="V9" s="701" t="s">
        <v>14</v>
      </c>
      <c r="W9" s="702">
        <f t="shared" si="2"/>
        <v>100</v>
      </c>
      <c r="X9" s="703"/>
      <c r="Y9" s="375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75"/>
      <c r="Q10" s="1343" t="str">
        <f t="shared" si="6"/>
        <v>土地使用年限（年）</v>
      </c>
      <c r="R10" s="701" t="s">
        <v>14</v>
      </c>
      <c r="S10" s="702" t="e">
        <f t="shared" si="0"/>
        <v>#DIV/0!</v>
      </c>
      <c r="T10" s="701" t="s">
        <v>14</v>
      </c>
      <c r="U10" s="702" t="e">
        <f t="shared" si="1"/>
        <v>#DIV/0!</v>
      </c>
      <c r="V10" s="701" t="s">
        <v>14</v>
      </c>
      <c r="W10" s="702" t="e">
        <f t="shared" si="2"/>
        <v>#DIV/0!</v>
      </c>
      <c r="X10" s="703"/>
      <c r="Y10" s="375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75"/>
      <c r="Q11" s="1343" t="str">
        <f t="shared" si="6"/>
        <v>容积率</v>
      </c>
      <c r="R11" s="701" t="s">
        <v>14</v>
      </c>
      <c r="S11" s="702" t="e">
        <f t="shared" si="0"/>
        <v>#N/A</v>
      </c>
      <c r="T11" s="701" t="s">
        <v>14</v>
      </c>
      <c r="U11" s="702" t="e">
        <f t="shared" si="1"/>
        <v>#N/A</v>
      </c>
      <c r="V11" s="701" t="s">
        <v>14</v>
      </c>
      <c r="W11" s="702" t="e">
        <f t="shared" si="2"/>
        <v>#N/A</v>
      </c>
      <c r="X11" s="703"/>
      <c r="Y11" s="375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75"/>
      <c r="Q12" s="1343" t="str">
        <f t="shared" si="6"/>
        <v>配建</v>
      </c>
      <c r="R12" s="701" t="s">
        <v>14</v>
      </c>
      <c r="S12" s="702">
        <f t="shared" si="0"/>
        <v>100</v>
      </c>
      <c r="T12" s="701" t="s">
        <v>14</v>
      </c>
      <c r="U12" s="702">
        <f t="shared" si="1"/>
        <v>100</v>
      </c>
      <c r="V12" s="701" t="s">
        <v>14</v>
      </c>
      <c r="W12" s="702">
        <f t="shared" si="2"/>
        <v>100</v>
      </c>
      <c r="X12" s="703"/>
      <c r="Y12" s="37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75"/>
      <c r="Q13" s="1343">
        <f t="shared" si="6"/>
        <v>111</v>
      </c>
      <c r="R13" s="701" t="s">
        <v>14</v>
      </c>
      <c r="S13" s="702">
        <f t="shared" si="0"/>
        <v>100</v>
      </c>
      <c r="T13" s="701" t="s">
        <v>14</v>
      </c>
      <c r="U13" s="702">
        <f t="shared" si="1"/>
        <v>100</v>
      </c>
      <c r="V13" s="701" t="s">
        <v>14</v>
      </c>
      <c r="W13" s="702">
        <f t="shared" si="2"/>
        <v>100</v>
      </c>
      <c r="X13" s="703"/>
      <c r="Y13" s="375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75"/>
      <c r="Q14" s="1343">
        <f t="shared" si="6"/>
        <v>111</v>
      </c>
      <c r="R14" s="701" t="s">
        <v>14</v>
      </c>
      <c r="S14" s="702">
        <f t="shared" si="0"/>
        <v>100</v>
      </c>
      <c r="T14" s="701" t="s">
        <v>14</v>
      </c>
      <c r="U14" s="702">
        <f t="shared" si="1"/>
        <v>100</v>
      </c>
      <c r="V14" s="701" t="s">
        <v>14</v>
      </c>
      <c r="W14" s="702">
        <f t="shared" si="2"/>
        <v>100</v>
      </c>
      <c r="X14" s="703"/>
      <c r="Y14" s="375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77" t="s">
        <v>1691</v>
      </c>
      <c r="Q15" s="1352" t="str">
        <f t="shared" si="6"/>
        <v>居住社区成熟度</v>
      </c>
      <c r="R15" s="705" t="s">
        <v>14</v>
      </c>
      <c r="S15" s="706">
        <f t="shared" si="0"/>
        <v>100</v>
      </c>
      <c r="T15" s="705" t="s">
        <v>14</v>
      </c>
      <c r="U15" s="706">
        <f t="shared" si="1"/>
        <v>100</v>
      </c>
      <c r="V15" s="705" t="s">
        <v>14</v>
      </c>
      <c r="W15" s="706">
        <f t="shared" si="2"/>
        <v>100</v>
      </c>
      <c r="X15" s="1355"/>
      <c r="Y15" s="387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78"/>
      <c r="Q16" s="1352"/>
      <c r="R16" s="705"/>
      <c r="S16" s="706"/>
      <c r="T16" s="705"/>
      <c r="U16" s="706"/>
      <c r="V16" s="705"/>
      <c r="W16" s="706"/>
      <c r="X16" s="1355"/>
      <c r="Y16" s="387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78"/>
      <c r="Q17" s="1352" t="str">
        <f>B17</f>
        <v>商业繁华度</v>
      </c>
      <c r="R17" s="705" t="s">
        <v>14</v>
      </c>
      <c r="S17" s="706">
        <f>F17</f>
        <v>100</v>
      </c>
      <c r="T17" s="705" t="s">
        <v>14</v>
      </c>
      <c r="U17" s="706">
        <f>H17</f>
        <v>100</v>
      </c>
      <c r="V17" s="705" t="s">
        <v>14</v>
      </c>
      <c r="W17" s="706">
        <f>J17</f>
        <v>100</v>
      </c>
      <c r="X17" s="1355"/>
      <c r="Y17" s="38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78"/>
      <c r="Q18" s="1352"/>
      <c r="R18" s="705"/>
      <c r="S18" s="706"/>
      <c r="T18" s="705"/>
      <c r="U18" s="706"/>
      <c r="V18" s="705"/>
      <c r="W18" s="706"/>
      <c r="X18" s="1355"/>
      <c r="Y18" s="387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78"/>
      <c r="Q19" s="1352" t="str">
        <f>B19</f>
        <v>办公集聚程度</v>
      </c>
      <c r="R19" s="705" t="s">
        <v>14</v>
      </c>
      <c r="S19" s="706">
        <f>F19</f>
        <v>100</v>
      </c>
      <c r="T19" s="705" t="s">
        <v>14</v>
      </c>
      <c r="U19" s="706">
        <f>H19</f>
        <v>100</v>
      </c>
      <c r="V19" s="705" t="s">
        <v>14</v>
      </c>
      <c r="W19" s="706">
        <f>J19</f>
        <v>100</v>
      </c>
      <c r="X19" s="1355"/>
      <c r="Y19" s="38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78"/>
      <c r="Q20" s="1352"/>
      <c r="R20" s="705"/>
      <c r="S20" s="706"/>
      <c r="T20" s="705"/>
      <c r="U20" s="706"/>
      <c r="V20" s="705"/>
      <c r="W20" s="706"/>
      <c r="X20" s="1355"/>
      <c r="Y20" s="387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78"/>
      <c r="Q21" s="1352" t="str">
        <f>B21</f>
        <v>交通便捷度</v>
      </c>
      <c r="R21" s="705" t="s">
        <v>14</v>
      </c>
      <c r="S21" s="706">
        <f>F21</f>
        <v>100</v>
      </c>
      <c r="T21" s="705" t="s">
        <v>14</v>
      </c>
      <c r="U21" s="706">
        <f>H21</f>
        <v>100</v>
      </c>
      <c r="V21" s="705" t="s">
        <v>14</v>
      </c>
      <c r="W21" s="706">
        <f>J21</f>
        <v>100</v>
      </c>
      <c r="X21" s="1355"/>
      <c r="Y21" s="38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78"/>
      <c r="Q22" s="1352"/>
      <c r="R22" s="705"/>
      <c r="S22" s="706"/>
      <c r="T22" s="705"/>
      <c r="U22" s="706"/>
      <c r="V22" s="705"/>
      <c r="W22" s="706"/>
      <c r="X22" s="1355"/>
      <c r="Y22" s="387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78"/>
      <c r="Q23" s="1352" t="str">
        <f t="shared" ref="Q23:Q37" si="8">B23</f>
        <v>区域土地利用方向</v>
      </c>
      <c r="R23" s="705" t="s">
        <v>14</v>
      </c>
      <c r="S23" s="706">
        <f>F23</f>
        <v>100</v>
      </c>
      <c r="T23" s="705" t="s">
        <v>14</v>
      </c>
      <c r="U23" s="706">
        <f>H23</f>
        <v>100</v>
      </c>
      <c r="V23" s="705" t="s">
        <v>14</v>
      </c>
      <c r="W23" s="706">
        <f>J23</f>
        <v>100</v>
      </c>
      <c r="X23" s="1355"/>
      <c r="Y23" s="38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78"/>
      <c r="Q24" s="1352"/>
      <c r="R24" s="705"/>
      <c r="S24" s="706"/>
      <c r="T24" s="705"/>
      <c r="U24" s="706"/>
      <c r="V24" s="705"/>
      <c r="W24" s="706"/>
      <c r="X24" s="1355"/>
      <c r="Y24" s="387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78"/>
      <c r="Q25" s="1352" t="str">
        <f t="shared" si="8"/>
        <v>自然及人文环境状况</v>
      </c>
      <c r="R25" s="705" t="s">
        <v>14</v>
      </c>
      <c r="S25" s="706">
        <f>F25</f>
        <v>100</v>
      </c>
      <c r="T25" s="705" t="s">
        <v>14</v>
      </c>
      <c r="U25" s="706">
        <f>H25</f>
        <v>100</v>
      </c>
      <c r="V25" s="705" t="s">
        <v>14</v>
      </c>
      <c r="W25" s="706">
        <f>J25</f>
        <v>100</v>
      </c>
      <c r="X25" s="1355"/>
      <c r="Y25" s="38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78"/>
      <c r="Q26" s="1352"/>
      <c r="R26" s="705"/>
      <c r="S26" s="706"/>
      <c r="T26" s="705"/>
      <c r="U26" s="706"/>
      <c r="V26" s="705"/>
      <c r="W26" s="706"/>
      <c r="X26" s="1355"/>
      <c r="Y26" s="387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78"/>
      <c r="Q27" s="1343" t="str">
        <f t="shared" si="8"/>
        <v>公共配套设施</v>
      </c>
      <c r="R27" s="701" t="s">
        <v>14</v>
      </c>
      <c r="S27" s="702">
        <f>F27</f>
        <v>100</v>
      </c>
      <c r="T27" s="701" t="s">
        <v>14</v>
      </c>
      <c r="U27" s="702">
        <f>H27</f>
        <v>100</v>
      </c>
      <c r="V27" s="701" t="s">
        <v>14</v>
      </c>
      <c r="W27" s="702">
        <f>J27</f>
        <v>100</v>
      </c>
      <c r="X27" s="703"/>
      <c r="Y27" s="387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78"/>
      <c r="Q28" s="1343"/>
      <c r="R28" s="701"/>
      <c r="S28" s="702"/>
      <c r="T28" s="701"/>
      <c r="U28" s="702"/>
      <c r="V28" s="701"/>
      <c r="W28" s="702"/>
      <c r="X28" s="703"/>
      <c r="Y28" s="387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78"/>
      <c r="Q29" s="1343" t="str">
        <f t="shared" ref="Q29" si="9">B29</f>
        <v>基础设施水平</v>
      </c>
      <c r="R29" s="701" t="s">
        <v>14</v>
      </c>
      <c r="S29" s="702">
        <f>F29</f>
        <v>100</v>
      </c>
      <c r="T29" s="701" t="s">
        <v>14</v>
      </c>
      <c r="U29" s="702">
        <f>H29</f>
        <v>100</v>
      </c>
      <c r="V29" s="701" t="s">
        <v>14</v>
      </c>
      <c r="W29" s="702">
        <f>J29</f>
        <v>100</v>
      </c>
      <c r="X29" s="703"/>
      <c r="Y29" s="387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78"/>
      <c r="Q30" s="1343"/>
      <c r="R30" s="701"/>
      <c r="S30" s="702"/>
      <c r="T30" s="701"/>
      <c r="U30" s="702"/>
      <c r="V30" s="701"/>
      <c r="W30" s="702"/>
      <c r="X30" s="703"/>
      <c r="Y30" s="387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7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78"/>
      <c r="Q32" s="1352" t="str">
        <f t="shared" si="8"/>
        <v>毗邻道路的类型与等级</v>
      </c>
      <c r="R32" s="705" t="s">
        <v>14</v>
      </c>
      <c r="S32" s="706">
        <f t="shared" si="10"/>
        <v>100</v>
      </c>
      <c r="T32" s="705" t="s">
        <v>14</v>
      </c>
      <c r="U32" s="706">
        <f t="shared" si="11"/>
        <v>100</v>
      </c>
      <c r="V32" s="705" t="s">
        <v>14</v>
      </c>
      <c r="W32" s="706">
        <f t="shared" si="12"/>
        <v>100</v>
      </c>
      <c r="X32" s="1355"/>
      <c r="Y32" s="38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78"/>
      <c r="Q33" s="1352"/>
      <c r="R33" s="705"/>
      <c r="S33" s="706"/>
      <c r="T33" s="705"/>
      <c r="U33" s="706"/>
      <c r="V33" s="705"/>
      <c r="W33" s="706"/>
      <c r="X33" s="1355"/>
      <c r="Y33" s="387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78"/>
      <c r="Q34" s="1352" t="str">
        <f t="shared" si="8"/>
        <v>土地级别</v>
      </c>
      <c r="R34" s="705" t="s">
        <v>14</v>
      </c>
      <c r="S34" s="706">
        <f t="shared" si="10"/>
        <v>100</v>
      </c>
      <c r="T34" s="705" t="s">
        <v>14</v>
      </c>
      <c r="U34" s="706">
        <f t="shared" si="11"/>
        <v>100</v>
      </c>
      <c r="V34" s="705" t="s">
        <v>14</v>
      </c>
      <c r="W34" s="706">
        <f t="shared" si="12"/>
        <v>100</v>
      </c>
      <c r="X34" s="1355"/>
      <c r="Y34" s="38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78"/>
      <c r="Q35" s="1352">
        <f t="shared" si="8"/>
        <v>111</v>
      </c>
      <c r="R35" s="705" t="s">
        <v>14</v>
      </c>
      <c r="S35" s="706">
        <f t="shared" si="10"/>
        <v>100</v>
      </c>
      <c r="T35" s="705" t="s">
        <v>14</v>
      </c>
      <c r="U35" s="706">
        <f t="shared" si="11"/>
        <v>100</v>
      </c>
      <c r="V35" s="705" t="s">
        <v>14</v>
      </c>
      <c r="W35" s="706">
        <f t="shared" si="12"/>
        <v>100</v>
      </c>
      <c r="X35" s="1355"/>
      <c r="Y35" s="38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40" t="s">
        <v>1695</v>
      </c>
      <c r="Q36" s="1352">
        <f t="shared" si="8"/>
        <v>111</v>
      </c>
      <c r="R36" s="705" t="s">
        <v>14</v>
      </c>
      <c r="S36" s="706">
        <f t="shared" si="10"/>
        <v>100</v>
      </c>
      <c r="T36" s="705" t="s">
        <v>14</v>
      </c>
      <c r="U36" s="706">
        <f t="shared" si="11"/>
        <v>100</v>
      </c>
      <c r="V36" s="705" t="s">
        <v>14</v>
      </c>
      <c r="W36" s="706">
        <f t="shared" si="12"/>
        <v>100</v>
      </c>
      <c r="X36" s="1355"/>
      <c r="Y36" s="388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82"/>
      <c r="Q37" s="1352">
        <f t="shared" si="8"/>
        <v>111</v>
      </c>
      <c r="R37" s="708" t="s">
        <v>14</v>
      </c>
      <c r="S37" s="709">
        <f t="shared" si="10"/>
        <v>100</v>
      </c>
      <c r="T37" s="708" t="s">
        <v>14</v>
      </c>
      <c r="U37" s="709">
        <f t="shared" si="11"/>
        <v>100</v>
      </c>
      <c r="V37" s="708" t="s">
        <v>14</v>
      </c>
      <c r="W37" s="709">
        <f t="shared" si="12"/>
        <v>100</v>
      </c>
      <c r="X37" s="710"/>
      <c r="Y37" s="388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82"/>
      <c r="Q38" s="1352" t="str">
        <f>B38</f>
        <v>宗地面积</v>
      </c>
      <c r="R38" s="705" t="s">
        <v>14</v>
      </c>
      <c r="S38" s="706" t="e">
        <f t="shared" si="10"/>
        <v>#N/A</v>
      </c>
      <c r="T38" s="705" t="s">
        <v>14</v>
      </c>
      <c r="U38" s="706" t="e">
        <f t="shared" si="11"/>
        <v>#N/A</v>
      </c>
      <c r="V38" s="705" t="s">
        <v>14</v>
      </c>
      <c r="W38" s="706" t="e">
        <f t="shared" si="12"/>
        <v>#N/A</v>
      </c>
      <c r="X38" s="1355"/>
      <c r="Y38" s="388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82"/>
      <c r="Q39" s="1352" t="str">
        <f t="shared" ref="Q39:Q45" si="14">B39</f>
        <v>宗地形状</v>
      </c>
      <c r="R39" s="705" t="s">
        <v>14</v>
      </c>
      <c r="S39" s="706">
        <f t="shared" si="10"/>
        <v>100</v>
      </c>
      <c r="T39" s="705" t="s">
        <v>14</v>
      </c>
      <c r="U39" s="706">
        <f t="shared" si="11"/>
        <v>100</v>
      </c>
      <c r="V39" s="705" t="s">
        <v>14</v>
      </c>
      <c r="W39" s="706">
        <f t="shared" si="12"/>
        <v>100</v>
      </c>
      <c r="X39" s="1355"/>
      <c r="Y39" s="388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82"/>
      <c r="Q40" s="1352" t="str">
        <f t="shared" si="14"/>
        <v>临街宽度及深度</v>
      </c>
      <c r="R40" s="705" t="s">
        <v>14</v>
      </c>
      <c r="S40" s="706">
        <f t="shared" si="10"/>
        <v>100</v>
      </c>
      <c r="T40" s="705" t="s">
        <v>14</v>
      </c>
      <c r="U40" s="706">
        <f t="shared" si="11"/>
        <v>100</v>
      </c>
      <c r="V40" s="705" t="s">
        <v>14</v>
      </c>
      <c r="W40" s="706">
        <f t="shared" si="12"/>
        <v>100</v>
      </c>
      <c r="X40" s="1355"/>
      <c r="Y40" s="388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82"/>
      <c r="Q41" s="1352" t="str">
        <f t="shared" si="14"/>
        <v>宗地开发程度</v>
      </c>
      <c r="R41" s="701" t="s">
        <v>14</v>
      </c>
      <c r="S41" s="702">
        <f t="shared" si="10"/>
        <v>100</v>
      </c>
      <c r="T41" s="701" t="s">
        <v>14</v>
      </c>
      <c r="U41" s="702">
        <f t="shared" si="11"/>
        <v>100</v>
      </c>
      <c r="V41" s="701" t="s">
        <v>14</v>
      </c>
      <c r="W41" s="702">
        <f t="shared" si="12"/>
        <v>100</v>
      </c>
      <c r="X41" s="703"/>
      <c r="Y41" s="388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82" t="s">
        <v>1695</v>
      </c>
      <c r="Q42" s="1352" t="str">
        <f t="shared" si="14"/>
        <v>工程地质条件</v>
      </c>
      <c r="R42" s="705" t="s">
        <v>14</v>
      </c>
      <c r="S42" s="706">
        <f t="shared" si="10"/>
        <v>100</v>
      </c>
      <c r="T42" s="705" t="s">
        <v>14</v>
      </c>
      <c r="U42" s="706">
        <f t="shared" si="11"/>
        <v>100</v>
      </c>
      <c r="V42" s="705" t="s">
        <v>14</v>
      </c>
      <c r="W42" s="706">
        <f t="shared" si="12"/>
        <v>100</v>
      </c>
      <c r="X42" s="1355"/>
      <c r="Y42" s="388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82"/>
      <c r="Q43" s="1352">
        <f t="shared" si="14"/>
        <v>111</v>
      </c>
      <c r="R43" s="705" t="s">
        <v>14</v>
      </c>
      <c r="S43" s="706">
        <f t="shared" si="10"/>
        <v>100</v>
      </c>
      <c r="T43" s="705" t="s">
        <v>14</v>
      </c>
      <c r="U43" s="706">
        <f t="shared" si="11"/>
        <v>100</v>
      </c>
      <c r="V43" s="705" t="s">
        <v>14</v>
      </c>
      <c r="W43" s="706">
        <f t="shared" si="12"/>
        <v>100</v>
      </c>
      <c r="X43" s="1355"/>
      <c r="Y43" s="38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82"/>
      <c r="Q44" s="1352">
        <f t="shared" si="14"/>
        <v>111</v>
      </c>
      <c r="R44" s="705" t="s">
        <v>14</v>
      </c>
      <c r="S44" s="706">
        <f t="shared" si="10"/>
        <v>100</v>
      </c>
      <c r="T44" s="705" t="s">
        <v>14</v>
      </c>
      <c r="U44" s="706">
        <f t="shared" si="11"/>
        <v>100</v>
      </c>
      <c r="V44" s="705" t="s">
        <v>14</v>
      </c>
      <c r="W44" s="706">
        <f t="shared" si="12"/>
        <v>100</v>
      </c>
      <c r="X44" s="1355"/>
      <c r="Y44" s="388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82"/>
      <c r="Q45" s="1352">
        <f t="shared" si="14"/>
        <v>111</v>
      </c>
      <c r="R45" s="708" t="s">
        <v>14</v>
      </c>
      <c r="S45" s="709">
        <f t="shared" si="10"/>
        <v>100</v>
      </c>
      <c r="T45" s="708" t="s">
        <v>14</v>
      </c>
      <c r="U45" s="709">
        <f t="shared" si="11"/>
        <v>100</v>
      </c>
      <c r="V45" s="708" t="s">
        <v>14</v>
      </c>
      <c r="W45" s="709">
        <f t="shared" si="12"/>
        <v>100</v>
      </c>
      <c r="X45" s="710"/>
      <c r="Y45" s="388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875" t="str">
        <f>A46</f>
        <v>成交单价</v>
      </c>
      <c r="Q46" s="3875"/>
      <c r="R46" s="3906">
        <f>E46</f>
        <v>0</v>
      </c>
      <c r="S46" s="3906"/>
      <c r="T46" s="3906">
        <f>G46</f>
        <v>0</v>
      </c>
      <c r="U46" s="3906"/>
      <c r="V46" s="3906">
        <f>I46</f>
        <v>0</v>
      </c>
      <c r="W46" s="390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875" t="str">
        <f>A47</f>
        <v>比较价值（元/平方米）</v>
      </c>
      <c r="Q47" s="3875"/>
      <c r="R47" s="3942" t="e">
        <f>ROUND(PRODUCT(R46,AA7:AA45),0)</f>
        <v>#DIV/0!</v>
      </c>
      <c r="S47" s="3942"/>
      <c r="T47" s="3942" t="e">
        <f>ROUND(PRODUCT(T46,AB7:AB45),0)</f>
        <v>#DIV/0!</v>
      </c>
      <c r="U47" s="3942"/>
      <c r="V47" s="3942" t="e">
        <f>ROUND(PRODUCT(V46,AC7:AC45),0)</f>
        <v>#DIV/0!</v>
      </c>
      <c r="W47" s="394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872" t="str">
        <f>A48</f>
        <v>估价对象XX用房的比较价值（楼面单价，元/平方米）</v>
      </c>
      <c r="Q48" s="3873"/>
      <c r="R48" s="3943" t="e">
        <f>ROUND(IF(D47="简单平均",AVERAGE(R47:W47),R47*F47+T47*H47+V47*J47),0)</f>
        <v>#DIV/0!</v>
      </c>
      <c r="S48" s="3943"/>
      <c r="T48" s="3943"/>
      <c r="U48" s="3943"/>
      <c r="V48" s="3943"/>
      <c r="W48" s="39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90" t="s">
        <v>1886</v>
      </c>
      <c r="H55" s="394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103.29</v>
      </c>
      <c r="F56" s="886" t="e">
        <f t="shared" ref="F56:F64" si="15">ROUND(B56*E56/10000,0)</f>
        <v>#DIV/0!</v>
      </c>
      <c r="G56" s="3886"/>
      <c r="H56" s="387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103.29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2013-5-1</v>
      </c>
      <c r="D67" s="692">
        <f>EDATE(C67,-3)</f>
        <v>41306</v>
      </c>
      <c r="E67" s="692">
        <f>EDATE(D67,-3)</f>
        <v>41214</v>
      </c>
      <c r="F67" s="692">
        <f t="shared" ref="F67:O67" si="18">EDATE(E67,-3)</f>
        <v>41122</v>
      </c>
      <c r="G67" s="692">
        <f t="shared" si="18"/>
        <v>41030</v>
      </c>
      <c r="H67" s="692">
        <f t="shared" si="18"/>
        <v>40940</v>
      </c>
      <c r="I67" s="692">
        <f t="shared" si="18"/>
        <v>40848</v>
      </c>
      <c r="J67" s="692">
        <f t="shared" si="18"/>
        <v>40756</v>
      </c>
      <c r="K67" s="692">
        <f t="shared" si="18"/>
        <v>40664</v>
      </c>
      <c r="L67" s="692">
        <f t="shared" si="18"/>
        <v>40575</v>
      </c>
      <c r="M67" s="692">
        <f t="shared" si="18"/>
        <v>40483</v>
      </c>
      <c r="N67" s="692">
        <f t="shared" si="18"/>
        <v>40391</v>
      </c>
      <c r="O67" s="692">
        <f t="shared" si="18"/>
        <v>40299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2013-2</v>
      </c>
      <c r="D69" s="1182" t="str">
        <f>YEAR(D67)&amp;"-"&amp;ROUNDUP(MONTH(D67)/3,0)</f>
        <v>2013-1</v>
      </c>
      <c r="E69" s="1182" t="str">
        <f t="shared" ref="E69:O69" si="19">YEAR(E67)&amp;"-"&amp;ROUNDUP(MONTH(E67)/3,0)</f>
        <v>2012-4</v>
      </c>
      <c r="F69" s="1182" t="str">
        <f t="shared" si="19"/>
        <v>2012-3</v>
      </c>
      <c r="G69" s="1182" t="str">
        <f t="shared" si="19"/>
        <v>2012-2</v>
      </c>
      <c r="H69" s="1182" t="str">
        <f t="shared" si="19"/>
        <v>2012-1</v>
      </c>
      <c r="I69" s="1182" t="str">
        <f t="shared" si="19"/>
        <v>2011-4</v>
      </c>
      <c r="J69" s="1182" t="str">
        <f t="shared" si="19"/>
        <v>2011-3</v>
      </c>
      <c r="K69" s="1182" t="str">
        <f t="shared" si="19"/>
        <v>2011-2</v>
      </c>
      <c r="L69" s="1182" t="str">
        <f t="shared" si="19"/>
        <v>2011-1</v>
      </c>
      <c r="M69" s="1182" t="str">
        <f t="shared" si="19"/>
        <v>2010-4</v>
      </c>
      <c r="N69" s="1182" t="str">
        <f t="shared" si="19"/>
        <v>2010-3</v>
      </c>
      <c r="O69" s="1182" t="str">
        <f t="shared" si="19"/>
        <v>2010-2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90" t="s">
        <v>1769</v>
      </c>
      <c r="D4" s="3891"/>
      <c r="E4" s="3892" t="s">
        <v>1770</v>
      </c>
      <c r="F4" s="3893"/>
      <c r="G4" s="3890" t="s">
        <v>1771</v>
      </c>
      <c r="H4" s="3891"/>
      <c r="I4" s="3890" t="s">
        <v>1772</v>
      </c>
      <c r="J4" s="3891"/>
      <c r="K4" s="559" t="s">
        <v>1773</v>
      </c>
      <c r="L4" s="2715"/>
      <c r="M4" s="2716"/>
      <c r="N4" s="2716"/>
      <c r="O4" s="2716"/>
      <c r="P4" s="3894" t="s">
        <v>1774</v>
      </c>
      <c r="Q4" s="3895"/>
      <c r="R4" s="3900" t="s">
        <v>1770</v>
      </c>
      <c r="S4" s="3901"/>
      <c r="T4" s="3900" t="s">
        <v>1771</v>
      </c>
      <c r="U4" s="3901"/>
      <c r="V4" s="3906" t="s">
        <v>1772</v>
      </c>
      <c r="W4" s="3906"/>
      <c r="X4" s="1355"/>
      <c r="Y4" s="3900" t="s">
        <v>1774</v>
      </c>
      <c r="Z4" s="3901"/>
      <c r="AA4" s="3887" t="s">
        <v>1770</v>
      </c>
      <c r="AB4" s="3888" t="s">
        <v>1771</v>
      </c>
      <c r="AC4" s="3887" t="s">
        <v>1772</v>
      </c>
    </row>
    <row r="5" spans="1:29">
      <c r="A5" s="358"/>
      <c r="B5" s="359"/>
      <c r="C5" s="3921" t="s">
        <v>1673</v>
      </c>
      <c r="D5" s="3915"/>
      <c r="E5" s="3923" t="s">
        <v>1674</v>
      </c>
      <c r="F5" s="3924"/>
      <c r="G5" s="3921" t="s">
        <v>1675</v>
      </c>
      <c r="H5" s="3915"/>
      <c r="I5" s="3921" t="s">
        <v>1676</v>
      </c>
      <c r="J5" s="3915"/>
      <c r="K5" s="559"/>
      <c r="L5" s="2715"/>
      <c r="M5" s="2716"/>
      <c r="N5" s="2716"/>
      <c r="O5" s="2716"/>
      <c r="P5" s="3896"/>
      <c r="Q5" s="3897"/>
      <c r="R5" s="3902"/>
      <c r="S5" s="3903"/>
      <c r="T5" s="3902"/>
      <c r="U5" s="3903"/>
      <c r="V5" s="3906"/>
      <c r="W5" s="3906"/>
      <c r="X5" s="1355"/>
      <c r="Y5" s="3902"/>
      <c r="Z5" s="3903"/>
      <c r="AA5" s="3888"/>
      <c r="AB5" s="3888"/>
      <c r="AC5" s="3888"/>
    </row>
    <row r="6" spans="1:29" ht="15" thickBot="1">
      <c r="A6" s="360"/>
      <c r="B6" s="361"/>
      <c r="C6" s="3945" t="s">
        <v>1918</v>
      </c>
      <c r="D6" s="3946"/>
      <c r="E6" s="3947" t="s">
        <v>1918</v>
      </c>
      <c r="F6" s="3948"/>
      <c r="G6" s="3945" t="s">
        <v>1918</v>
      </c>
      <c r="H6" s="3946"/>
      <c r="I6" s="3945" t="s">
        <v>1918</v>
      </c>
      <c r="J6" s="3946"/>
      <c r="K6" s="559" t="s">
        <v>1678</v>
      </c>
      <c r="L6" s="2715"/>
      <c r="M6" s="2716"/>
      <c r="N6" s="2716"/>
      <c r="O6" s="2716"/>
      <c r="P6" s="3898"/>
      <c r="Q6" s="3899"/>
      <c r="R6" s="3902"/>
      <c r="S6" s="3903"/>
      <c r="T6" s="3904"/>
      <c r="U6" s="3905"/>
      <c r="V6" s="3906"/>
      <c r="W6" s="3906"/>
      <c r="X6" s="1355"/>
      <c r="Y6" s="3904"/>
      <c r="Z6" s="3905"/>
      <c r="AA6" s="3889"/>
      <c r="AB6" s="3889"/>
      <c r="AC6" s="3889"/>
    </row>
    <row r="7" spans="1:29" s="108" customFormat="1" ht="15" thickBot="1">
      <c r="A7" s="362" t="s">
        <v>1679</v>
      </c>
      <c r="B7" s="363"/>
      <c r="C7" s="364">
        <f>'数据-取费表'!B2</f>
        <v>41424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911" t="s">
        <v>1680</v>
      </c>
      <c r="Q7" s="3913"/>
      <c r="R7" s="701" t="s">
        <v>14</v>
      </c>
      <c r="S7" s="702">
        <f t="shared" ref="S7:S15" si="0">F7</f>
        <v>0</v>
      </c>
      <c r="T7" s="701" t="s">
        <v>14</v>
      </c>
      <c r="U7" s="702">
        <f t="shared" ref="U7:U15" si="1">H7</f>
        <v>0</v>
      </c>
      <c r="V7" s="701" t="s">
        <v>14</v>
      </c>
      <c r="W7" s="702">
        <f t="shared" ref="W7:W15" si="2">J7</f>
        <v>0</v>
      </c>
      <c r="X7" s="703"/>
      <c r="Y7" s="3911" t="s">
        <v>1680</v>
      </c>
      <c r="Z7" s="391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911" t="s">
        <v>1683</v>
      </c>
      <c r="Q8" s="3912"/>
      <c r="R8" s="701" t="s">
        <v>14</v>
      </c>
      <c r="S8" s="702">
        <f t="shared" si="0"/>
        <v>0</v>
      </c>
      <c r="T8" s="701" t="s">
        <v>14</v>
      </c>
      <c r="U8" s="702">
        <f t="shared" si="1"/>
        <v>0</v>
      </c>
      <c r="V8" s="701" t="s">
        <v>14</v>
      </c>
      <c r="W8" s="702">
        <f t="shared" si="2"/>
        <v>0</v>
      </c>
      <c r="X8" s="703"/>
      <c r="Y8" s="3911" t="s">
        <v>1683</v>
      </c>
      <c r="Z8" s="391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75" t="s">
        <v>1686</v>
      </c>
      <c r="Q9" s="1343" t="str">
        <f t="shared" ref="Q9:Q15" si="6">B9</f>
        <v>用途</v>
      </c>
      <c r="R9" s="701" t="s">
        <v>14</v>
      </c>
      <c r="S9" s="702">
        <f t="shared" si="0"/>
        <v>100</v>
      </c>
      <c r="T9" s="701" t="s">
        <v>14</v>
      </c>
      <c r="U9" s="702">
        <f t="shared" si="1"/>
        <v>100</v>
      </c>
      <c r="V9" s="701" t="s">
        <v>14</v>
      </c>
      <c r="W9" s="702">
        <f t="shared" si="2"/>
        <v>100</v>
      </c>
      <c r="X9" s="703"/>
      <c r="Y9" s="375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75"/>
      <c r="Q10" s="1343" t="str">
        <f t="shared" si="6"/>
        <v>土地使用年限（年）</v>
      </c>
      <c r="R10" s="701" t="s">
        <v>14</v>
      </c>
      <c r="S10" s="702" t="e">
        <f t="shared" si="0"/>
        <v>#DIV/0!</v>
      </c>
      <c r="T10" s="701" t="s">
        <v>14</v>
      </c>
      <c r="U10" s="702" t="e">
        <f t="shared" si="1"/>
        <v>#DIV/0!</v>
      </c>
      <c r="V10" s="701" t="s">
        <v>14</v>
      </c>
      <c r="W10" s="702" t="e">
        <f t="shared" si="2"/>
        <v>#DIV/0!</v>
      </c>
      <c r="X10" s="703"/>
      <c r="Y10" s="375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75"/>
      <c r="Q11" s="1343" t="str">
        <f t="shared" si="6"/>
        <v>容积率</v>
      </c>
      <c r="R11" s="701" t="s">
        <v>14</v>
      </c>
      <c r="S11" s="702" t="e">
        <f t="shared" si="0"/>
        <v>#N/A</v>
      </c>
      <c r="T11" s="701" t="s">
        <v>14</v>
      </c>
      <c r="U11" s="702" t="e">
        <f t="shared" si="1"/>
        <v>#N/A</v>
      </c>
      <c r="V11" s="701" t="s">
        <v>14</v>
      </c>
      <c r="W11" s="702" t="e">
        <f t="shared" si="2"/>
        <v>#N/A</v>
      </c>
      <c r="X11" s="703"/>
      <c r="Y11" s="37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75"/>
      <c r="Q12" s="1343">
        <f t="shared" si="6"/>
        <v>111</v>
      </c>
      <c r="R12" s="701" t="s">
        <v>14</v>
      </c>
      <c r="S12" s="702">
        <f t="shared" si="0"/>
        <v>100</v>
      </c>
      <c r="T12" s="701" t="s">
        <v>14</v>
      </c>
      <c r="U12" s="702">
        <f t="shared" si="1"/>
        <v>100</v>
      </c>
      <c r="V12" s="701" t="s">
        <v>14</v>
      </c>
      <c r="W12" s="702">
        <f t="shared" si="2"/>
        <v>100</v>
      </c>
      <c r="X12" s="703"/>
      <c r="Y12" s="37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75"/>
      <c r="Q13" s="1343">
        <f t="shared" si="6"/>
        <v>111</v>
      </c>
      <c r="R13" s="701" t="s">
        <v>14</v>
      </c>
      <c r="S13" s="702">
        <f t="shared" si="0"/>
        <v>100</v>
      </c>
      <c r="T13" s="701" t="s">
        <v>14</v>
      </c>
      <c r="U13" s="702">
        <f t="shared" si="1"/>
        <v>100</v>
      </c>
      <c r="V13" s="701" t="s">
        <v>14</v>
      </c>
      <c r="W13" s="702">
        <f t="shared" si="2"/>
        <v>100</v>
      </c>
      <c r="X13" s="703"/>
      <c r="Y13" s="375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75"/>
      <c r="Q14" s="1343">
        <f t="shared" si="6"/>
        <v>111</v>
      </c>
      <c r="R14" s="701" t="s">
        <v>14</v>
      </c>
      <c r="S14" s="702">
        <f t="shared" si="0"/>
        <v>100</v>
      </c>
      <c r="T14" s="701" t="s">
        <v>14</v>
      </c>
      <c r="U14" s="702">
        <f t="shared" si="1"/>
        <v>100</v>
      </c>
      <c r="V14" s="701" t="s">
        <v>14</v>
      </c>
      <c r="W14" s="702">
        <f t="shared" si="2"/>
        <v>100</v>
      </c>
      <c r="X14" s="703"/>
      <c r="Y14" s="3750"/>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77" t="s">
        <v>1691</v>
      </c>
      <c r="Q15" s="1352" t="str">
        <f t="shared" si="6"/>
        <v>产业集聚程度</v>
      </c>
      <c r="R15" s="705" t="s">
        <v>14</v>
      </c>
      <c r="S15" s="706">
        <f t="shared" si="0"/>
        <v>100</v>
      </c>
      <c r="T15" s="705" t="s">
        <v>14</v>
      </c>
      <c r="U15" s="706">
        <f t="shared" si="1"/>
        <v>100</v>
      </c>
      <c r="V15" s="705" t="s">
        <v>14</v>
      </c>
      <c r="W15" s="706">
        <f t="shared" si="2"/>
        <v>100</v>
      </c>
      <c r="X15" s="1355"/>
      <c r="Y15" s="387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78"/>
      <c r="Q16" s="1352"/>
      <c r="R16" s="705"/>
      <c r="S16" s="706"/>
      <c r="T16" s="705"/>
      <c r="U16" s="706"/>
      <c r="V16" s="705"/>
      <c r="W16" s="706"/>
      <c r="X16" s="1355"/>
      <c r="Y16" s="387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78"/>
      <c r="Q17" s="1352" t="str">
        <f>B17</f>
        <v>交通便捷度</v>
      </c>
      <c r="R17" s="705" t="s">
        <v>14</v>
      </c>
      <c r="S17" s="706">
        <f>F17</f>
        <v>100</v>
      </c>
      <c r="T17" s="705" t="s">
        <v>14</v>
      </c>
      <c r="U17" s="706">
        <f>H17</f>
        <v>100</v>
      </c>
      <c r="V17" s="705" t="s">
        <v>14</v>
      </c>
      <c r="W17" s="706">
        <f>J17</f>
        <v>100</v>
      </c>
      <c r="X17" s="1355"/>
      <c r="Y17" s="387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78"/>
      <c r="Q18" s="1352"/>
      <c r="R18" s="705"/>
      <c r="S18" s="706"/>
      <c r="T18" s="705"/>
      <c r="U18" s="706"/>
      <c r="V18" s="705"/>
      <c r="W18" s="706"/>
      <c r="X18" s="1355"/>
      <c r="Y18" s="387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78"/>
      <c r="Q19" s="1352" t="str">
        <f t="shared" ref="Q19:Q33" si="8">B19</f>
        <v>区域土地利用方向</v>
      </c>
      <c r="R19" s="705" t="s">
        <v>14</v>
      </c>
      <c r="S19" s="706">
        <f>F19</f>
        <v>100</v>
      </c>
      <c r="T19" s="705" t="s">
        <v>14</v>
      </c>
      <c r="U19" s="706">
        <f>H19</f>
        <v>100</v>
      </c>
      <c r="V19" s="705" t="s">
        <v>14</v>
      </c>
      <c r="W19" s="706">
        <f>J19</f>
        <v>100</v>
      </c>
      <c r="X19" s="1355"/>
      <c r="Y19" s="387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78"/>
      <c r="Q20" s="1352"/>
      <c r="R20" s="705"/>
      <c r="S20" s="706"/>
      <c r="T20" s="705"/>
      <c r="U20" s="706"/>
      <c r="V20" s="705"/>
      <c r="W20" s="706"/>
      <c r="X20" s="1355"/>
      <c r="Y20" s="387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78"/>
      <c r="Q21" s="1352" t="str">
        <f t="shared" si="8"/>
        <v>环境状况</v>
      </c>
      <c r="R21" s="705" t="s">
        <v>14</v>
      </c>
      <c r="S21" s="706">
        <f>F21</f>
        <v>100</v>
      </c>
      <c r="T21" s="705" t="s">
        <v>14</v>
      </c>
      <c r="U21" s="706">
        <f>H21</f>
        <v>100</v>
      </c>
      <c r="V21" s="705" t="s">
        <v>14</v>
      </c>
      <c r="W21" s="706">
        <f>J21</f>
        <v>100</v>
      </c>
      <c r="X21" s="1355"/>
      <c r="Y21" s="387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78"/>
      <c r="Q22" s="1352"/>
      <c r="R22" s="705"/>
      <c r="S22" s="706"/>
      <c r="T22" s="705"/>
      <c r="U22" s="706"/>
      <c r="V22" s="705"/>
      <c r="W22" s="706"/>
      <c r="X22" s="1355"/>
      <c r="Y22" s="387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78"/>
      <c r="Q23" s="1343" t="str">
        <f t="shared" si="8"/>
        <v>公共配套设施</v>
      </c>
      <c r="R23" s="701" t="s">
        <v>14</v>
      </c>
      <c r="S23" s="702">
        <f>F23</f>
        <v>100</v>
      </c>
      <c r="T23" s="701" t="s">
        <v>14</v>
      </c>
      <c r="U23" s="702">
        <f>H23</f>
        <v>100</v>
      </c>
      <c r="V23" s="701" t="s">
        <v>14</v>
      </c>
      <c r="W23" s="702">
        <f>J23</f>
        <v>100</v>
      </c>
      <c r="X23" s="703"/>
      <c r="Y23" s="387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78"/>
      <c r="Q24" s="1343"/>
      <c r="R24" s="701"/>
      <c r="S24" s="702"/>
      <c r="T24" s="701"/>
      <c r="U24" s="702"/>
      <c r="V24" s="701"/>
      <c r="W24" s="702"/>
      <c r="X24" s="703"/>
      <c r="Y24" s="387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78"/>
      <c r="Q25" s="1343" t="str">
        <f t="shared" ref="Q25" si="9">B25</f>
        <v>基础设施水平</v>
      </c>
      <c r="R25" s="701" t="s">
        <v>14</v>
      </c>
      <c r="S25" s="702">
        <f>F25</f>
        <v>100</v>
      </c>
      <c r="T25" s="701" t="s">
        <v>14</v>
      </c>
      <c r="U25" s="702">
        <f>H25</f>
        <v>100</v>
      </c>
      <c r="V25" s="701" t="s">
        <v>14</v>
      </c>
      <c r="W25" s="702">
        <f>J25</f>
        <v>100</v>
      </c>
      <c r="X25" s="703"/>
      <c r="Y25" s="387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78"/>
      <c r="Q26" s="1343"/>
      <c r="R26" s="701"/>
      <c r="S26" s="702"/>
      <c r="T26" s="701"/>
      <c r="U26" s="702"/>
      <c r="V26" s="701"/>
      <c r="W26" s="702"/>
      <c r="X26" s="703"/>
      <c r="Y26" s="387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7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78"/>
      <c r="Q28" s="1352" t="str">
        <f t="shared" si="8"/>
        <v>毗邻道路的类型与等级</v>
      </c>
      <c r="R28" s="705" t="s">
        <v>14</v>
      </c>
      <c r="S28" s="706">
        <f t="shared" si="10"/>
        <v>100</v>
      </c>
      <c r="T28" s="705" t="s">
        <v>14</v>
      </c>
      <c r="U28" s="706">
        <f t="shared" si="11"/>
        <v>100</v>
      </c>
      <c r="V28" s="705" t="s">
        <v>14</v>
      </c>
      <c r="W28" s="706">
        <f t="shared" si="12"/>
        <v>100</v>
      </c>
      <c r="X28" s="1355"/>
      <c r="Y28" s="387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78"/>
      <c r="Q29" s="1352"/>
      <c r="R29" s="705"/>
      <c r="S29" s="706"/>
      <c r="T29" s="705"/>
      <c r="U29" s="706"/>
      <c r="V29" s="705"/>
      <c r="W29" s="706"/>
      <c r="X29" s="1355"/>
      <c r="Y29" s="387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78"/>
      <c r="Q30" s="1352" t="str">
        <f t="shared" si="8"/>
        <v>土地级别</v>
      </c>
      <c r="R30" s="705" t="s">
        <v>14</v>
      </c>
      <c r="S30" s="706">
        <f t="shared" si="10"/>
        <v>100</v>
      </c>
      <c r="T30" s="705" t="s">
        <v>14</v>
      </c>
      <c r="U30" s="706">
        <f t="shared" si="11"/>
        <v>100</v>
      </c>
      <c r="V30" s="705" t="s">
        <v>14</v>
      </c>
      <c r="W30" s="706">
        <f t="shared" si="12"/>
        <v>100</v>
      </c>
      <c r="X30" s="1355"/>
      <c r="Y30" s="387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78"/>
      <c r="Q31" s="1352">
        <f t="shared" si="8"/>
        <v>111</v>
      </c>
      <c r="R31" s="705" t="s">
        <v>14</v>
      </c>
      <c r="S31" s="706">
        <f t="shared" si="10"/>
        <v>100</v>
      </c>
      <c r="T31" s="705" t="s">
        <v>14</v>
      </c>
      <c r="U31" s="706">
        <f t="shared" si="11"/>
        <v>100</v>
      </c>
      <c r="V31" s="705" t="s">
        <v>14</v>
      </c>
      <c r="W31" s="706">
        <f t="shared" si="12"/>
        <v>100</v>
      </c>
      <c r="X31" s="1355"/>
      <c r="Y31" s="387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40" t="s">
        <v>1695</v>
      </c>
      <c r="Q32" s="1352">
        <f t="shared" si="8"/>
        <v>111</v>
      </c>
      <c r="R32" s="705" t="s">
        <v>14</v>
      </c>
      <c r="S32" s="706">
        <f t="shared" si="10"/>
        <v>100</v>
      </c>
      <c r="T32" s="705" t="s">
        <v>14</v>
      </c>
      <c r="U32" s="706">
        <f t="shared" si="11"/>
        <v>100</v>
      </c>
      <c r="V32" s="705" t="s">
        <v>14</v>
      </c>
      <c r="W32" s="706">
        <f t="shared" si="12"/>
        <v>100</v>
      </c>
      <c r="X32" s="1355"/>
      <c r="Y32" s="388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82"/>
      <c r="Q33" s="1352">
        <f t="shared" si="8"/>
        <v>111</v>
      </c>
      <c r="R33" s="708" t="s">
        <v>14</v>
      </c>
      <c r="S33" s="709">
        <f t="shared" si="10"/>
        <v>100</v>
      </c>
      <c r="T33" s="708" t="s">
        <v>14</v>
      </c>
      <c r="U33" s="709">
        <f t="shared" si="11"/>
        <v>100</v>
      </c>
      <c r="V33" s="708" t="s">
        <v>14</v>
      </c>
      <c r="W33" s="709">
        <f t="shared" si="12"/>
        <v>100</v>
      </c>
      <c r="X33" s="710"/>
      <c r="Y33" s="388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82"/>
      <c r="Q34" s="1352" t="str">
        <f>B34</f>
        <v>宗地面积</v>
      </c>
      <c r="R34" s="705" t="s">
        <v>14</v>
      </c>
      <c r="S34" s="706" t="e">
        <f t="shared" si="10"/>
        <v>#N/A</v>
      </c>
      <c r="T34" s="705" t="s">
        <v>14</v>
      </c>
      <c r="U34" s="706" t="e">
        <f t="shared" si="11"/>
        <v>#N/A</v>
      </c>
      <c r="V34" s="705" t="s">
        <v>14</v>
      </c>
      <c r="W34" s="706" t="e">
        <f t="shared" si="12"/>
        <v>#N/A</v>
      </c>
      <c r="X34" s="1355"/>
      <c r="Y34" s="388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82"/>
      <c r="Q35" s="1352" t="str">
        <f t="shared" ref="Q35:Q40" si="14">B35</f>
        <v>宗地形状</v>
      </c>
      <c r="R35" s="705" t="s">
        <v>14</v>
      </c>
      <c r="S35" s="706">
        <f t="shared" si="10"/>
        <v>100</v>
      </c>
      <c r="T35" s="705" t="s">
        <v>14</v>
      </c>
      <c r="U35" s="706">
        <f t="shared" si="11"/>
        <v>100</v>
      </c>
      <c r="V35" s="705" t="s">
        <v>14</v>
      </c>
      <c r="W35" s="706">
        <f t="shared" si="12"/>
        <v>100</v>
      </c>
      <c r="X35" s="1355"/>
      <c r="Y35" s="388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82"/>
      <c r="Q36" s="1352" t="str">
        <f t="shared" si="14"/>
        <v>宗地开发程度</v>
      </c>
      <c r="R36" s="701" t="s">
        <v>14</v>
      </c>
      <c r="S36" s="702">
        <f t="shared" si="10"/>
        <v>100</v>
      </c>
      <c r="T36" s="701" t="s">
        <v>14</v>
      </c>
      <c r="U36" s="702">
        <f t="shared" si="11"/>
        <v>100</v>
      </c>
      <c r="V36" s="701" t="s">
        <v>14</v>
      </c>
      <c r="W36" s="702">
        <f t="shared" si="12"/>
        <v>100</v>
      </c>
      <c r="X36" s="703"/>
      <c r="Y36" s="388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82" t="s">
        <v>1695</v>
      </c>
      <c r="Q37" s="1352" t="str">
        <f t="shared" si="14"/>
        <v>工程地质条件</v>
      </c>
      <c r="R37" s="705" t="s">
        <v>14</v>
      </c>
      <c r="S37" s="706">
        <f t="shared" si="10"/>
        <v>100</v>
      </c>
      <c r="T37" s="705" t="s">
        <v>14</v>
      </c>
      <c r="U37" s="706">
        <f t="shared" si="11"/>
        <v>100</v>
      </c>
      <c r="V37" s="705" t="s">
        <v>14</v>
      </c>
      <c r="W37" s="706">
        <f t="shared" si="12"/>
        <v>100</v>
      </c>
      <c r="X37" s="1355"/>
      <c r="Y37" s="388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82"/>
      <c r="Q38" s="1352">
        <f t="shared" si="14"/>
        <v>111</v>
      </c>
      <c r="R38" s="705" t="s">
        <v>14</v>
      </c>
      <c r="S38" s="706">
        <f t="shared" si="10"/>
        <v>100</v>
      </c>
      <c r="T38" s="705" t="s">
        <v>14</v>
      </c>
      <c r="U38" s="706">
        <f t="shared" si="11"/>
        <v>100</v>
      </c>
      <c r="V38" s="705" t="s">
        <v>14</v>
      </c>
      <c r="W38" s="706">
        <f t="shared" si="12"/>
        <v>100</v>
      </c>
      <c r="X38" s="1355"/>
      <c r="Y38" s="38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82"/>
      <c r="Q39" s="1352">
        <f t="shared" si="14"/>
        <v>111</v>
      </c>
      <c r="R39" s="705" t="s">
        <v>14</v>
      </c>
      <c r="S39" s="706">
        <f t="shared" si="10"/>
        <v>100</v>
      </c>
      <c r="T39" s="705" t="s">
        <v>14</v>
      </c>
      <c r="U39" s="706">
        <f t="shared" si="11"/>
        <v>100</v>
      </c>
      <c r="V39" s="705" t="s">
        <v>14</v>
      </c>
      <c r="W39" s="706">
        <f t="shared" si="12"/>
        <v>100</v>
      </c>
      <c r="X39" s="1355"/>
      <c r="Y39" s="388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82"/>
      <c r="Q40" s="1352">
        <f t="shared" si="14"/>
        <v>111</v>
      </c>
      <c r="R40" s="708" t="s">
        <v>14</v>
      </c>
      <c r="S40" s="709">
        <f t="shared" si="10"/>
        <v>100</v>
      </c>
      <c r="T40" s="708" t="s">
        <v>14</v>
      </c>
      <c r="U40" s="709">
        <f t="shared" si="11"/>
        <v>100</v>
      </c>
      <c r="V40" s="708" t="s">
        <v>14</v>
      </c>
      <c r="W40" s="709">
        <f t="shared" si="12"/>
        <v>100</v>
      </c>
      <c r="X40" s="710"/>
      <c r="Y40" s="388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875" t="str">
        <f>A41</f>
        <v>成交单价</v>
      </c>
      <c r="Q41" s="3875"/>
      <c r="R41" s="3906">
        <f>E41</f>
        <v>0</v>
      </c>
      <c r="S41" s="3906"/>
      <c r="T41" s="3906">
        <f>G41</f>
        <v>0</v>
      </c>
      <c r="U41" s="3906"/>
      <c r="V41" s="3906">
        <f>I41</f>
        <v>0</v>
      </c>
      <c r="W41" s="390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875" t="str">
        <f>A42</f>
        <v>比较价值（元/平方米）</v>
      </c>
      <c r="Q42" s="3875"/>
      <c r="R42" s="3942" t="e">
        <f>ROUND(PRODUCT(R41,AA7:AA40),0)</f>
        <v>#DIV/0!</v>
      </c>
      <c r="S42" s="3942"/>
      <c r="T42" s="3942" t="e">
        <f>ROUND(PRODUCT(T41,AB7:AB40),0)</f>
        <v>#DIV/0!</v>
      </c>
      <c r="U42" s="3942"/>
      <c r="V42" s="3942" t="e">
        <f>ROUND(PRODUCT(V41,AC7:AC40),0)</f>
        <v>#DIV/0!</v>
      </c>
      <c r="W42" s="394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872" t="str">
        <f>A43</f>
        <v>估价对象XX用房的比较价值（楼面单价，元/平方米）</v>
      </c>
      <c r="Q43" s="3873"/>
      <c r="R43" s="3943" t="e">
        <f>ROUND(IF(D42="简单平均",AVERAGE(R42:W42),R42*F42+T42*H42+V42*J42),0)</f>
        <v>#DIV/0!</v>
      </c>
      <c r="S43" s="3943"/>
      <c r="T43" s="3943"/>
      <c r="U43" s="3943"/>
      <c r="V43" s="3943"/>
      <c r="W43" s="39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90" t="s">
        <v>1886</v>
      </c>
      <c r="H50" s="394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103.29</v>
      </c>
      <c r="F51" s="639" t="e">
        <f t="shared" ref="F51:F60" si="15">ROUND(B51*E51/10000,0)</f>
        <v>#DIV/0!</v>
      </c>
      <c r="G51" s="3886"/>
      <c r="H51" s="387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2013-5-1</v>
      </c>
      <c r="D63" s="692">
        <f>EDATE(C63,-3)</f>
        <v>41306</v>
      </c>
      <c r="E63" s="692">
        <f>EDATE(D63,-3)</f>
        <v>41214</v>
      </c>
      <c r="F63" s="692">
        <f t="shared" ref="F63:O63" si="18">EDATE(E63,-3)</f>
        <v>41122</v>
      </c>
      <c r="G63" s="692">
        <f t="shared" si="18"/>
        <v>41030</v>
      </c>
      <c r="H63" s="692">
        <f t="shared" si="18"/>
        <v>40940</v>
      </c>
      <c r="I63" s="692">
        <f t="shared" si="18"/>
        <v>40848</v>
      </c>
      <c r="J63" s="692">
        <f t="shared" si="18"/>
        <v>40756</v>
      </c>
      <c r="K63" s="692">
        <f t="shared" si="18"/>
        <v>40664</v>
      </c>
      <c r="L63" s="692">
        <f t="shared" si="18"/>
        <v>40575</v>
      </c>
      <c r="M63" s="692">
        <f t="shared" si="18"/>
        <v>40483</v>
      </c>
      <c r="N63" s="692">
        <f t="shared" si="18"/>
        <v>40391</v>
      </c>
      <c r="O63" s="692">
        <f t="shared" si="18"/>
        <v>40299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2013-2</v>
      </c>
      <c r="D65" s="1182" t="str">
        <f t="shared" ref="D65:O65" si="19">YEAR(D63)&amp;"-"&amp;ROUNDUP(MONTH(D63)/3,0)</f>
        <v>2013-1</v>
      </c>
      <c r="E65" s="1182" t="str">
        <f t="shared" si="19"/>
        <v>2012-4</v>
      </c>
      <c r="F65" s="1182" t="str">
        <f t="shared" si="19"/>
        <v>2012-3</v>
      </c>
      <c r="G65" s="1182" t="str">
        <f t="shared" si="19"/>
        <v>2012-2</v>
      </c>
      <c r="H65" s="1182" t="str">
        <f t="shared" si="19"/>
        <v>2012-1</v>
      </c>
      <c r="I65" s="1182" t="str">
        <f t="shared" si="19"/>
        <v>2011-4</v>
      </c>
      <c r="J65" s="1182" t="str">
        <f t="shared" si="19"/>
        <v>2011-3</v>
      </c>
      <c r="K65" s="1182" t="str">
        <f t="shared" si="19"/>
        <v>2011-2</v>
      </c>
      <c r="L65" s="1182" t="str">
        <f t="shared" si="19"/>
        <v>2011-1</v>
      </c>
      <c r="M65" s="1182" t="str">
        <f t="shared" si="19"/>
        <v>2010-4</v>
      </c>
      <c r="N65" s="1182" t="str">
        <f t="shared" si="19"/>
        <v>2010-3</v>
      </c>
      <c r="O65" s="1182" t="str">
        <f t="shared" si="19"/>
        <v>2010-2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52" t="s">
        <v>2083</v>
      </c>
      <c r="D1" s="3953"/>
      <c r="E1" s="3953"/>
      <c r="F1" s="3953"/>
      <c r="G1" s="3953"/>
      <c r="H1" s="3953"/>
      <c r="I1" s="3953"/>
      <c r="J1" s="3953"/>
      <c r="K1" s="3953"/>
      <c r="L1" s="3953"/>
      <c r="M1" s="3953"/>
      <c r="N1" s="3953"/>
      <c r="O1" s="3953"/>
      <c r="P1" s="3953"/>
      <c r="Q1" s="3953"/>
      <c r="R1" s="3953"/>
      <c r="S1" s="395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49" t="s">
        <v>27</v>
      </c>
      <c r="D22" s="3950"/>
      <c r="E22" s="3950"/>
      <c r="F22" s="3950"/>
      <c r="G22" s="3950"/>
      <c r="H22" s="3950"/>
      <c r="I22" s="3950"/>
      <c r="J22" s="3950"/>
      <c r="K22" s="3950"/>
      <c r="L22" s="3950"/>
      <c r="M22" s="3950"/>
      <c r="N22" s="3950"/>
      <c r="O22" s="3950"/>
      <c r="P22" s="3950"/>
      <c r="Q22" s="395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62"/>
      <c r="B4" s="3963"/>
      <c r="C4" s="3963"/>
      <c r="D4" s="3964"/>
      <c r="E4" s="3964"/>
      <c r="F4" s="3964"/>
      <c r="G4" s="3964"/>
      <c r="H4" s="3964"/>
      <c r="I4" s="3964"/>
      <c r="J4" s="396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59" t="s">
        <v>1959</v>
      </c>
      <c r="X8" s="396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66" t="s">
        <v>3254</v>
      </c>
      <c r="B20" s="167" t="s">
        <v>1993</v>
      </c>
      <c r="C20" s="3325" t="e">
        <f>ROUND(IF(F21="与级别开发程度一致",0,(G21-E21)/C21),0)</f>
        <v>#DIV/0!</v>
      </c>
      <c r="D20" s="3341" t="s">
        <v>1997</v>
      </c>
      <c r="E20" s="3342"/>
      <c r="F20" s="3972" t="s">
        <v>1994</v>
      </c>
      <c r="G20" s="39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67"/>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41424</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70"/>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71"/>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7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68" t="s">
        <v>3294</v>
      </c>
      <c r="B103" s="3968"/>
      <c r="C103" s="3968"/>
      <c r="D103" s="3968"/>
      <c r="E103" s="3968"/>
      <c r="F103" s="3968"/>
      <c r="G103" s="3968"/>
      <c r="H103" s="3968"/>
      <c r="I103" s="3968"/>
      <c r="J103" s="3968"/>
      <c r="K103" s="3390"/>
      <c r="L103" s="3390"/>
      <c r="M103" s="3390"/>
      <c r="N103" s="3390"/>
    </row>
    <row r="104" spans="1:14">
      <c r="A104" s="3969" t="s">
        <v>3295</v>
      </c>
      <c r="B104" s="3969" t="s">
        <v>3296</v>
      </c>
      <c r="C104" s="3391" t="s">
        <v>3297</v>
      </c>
      <c r="D104" s="3392"/>
      <c r="E104" s="3392"/>
      <c r="F104" s="3392"/>
      <c r="G104" s="3392"/>
      <c r="H104" s="3392"/>
      <c r="I104" s="3392"/>
      <c r="J104" s="3393"/>
      <c r="K104" s="3394"/>
      <c r="L104" s="3394"/>
      <c r="M104" s="3394"/>
      <c r="N104" s="3394"/>
    </row>
    <row r="105" spans="1:14">
      <c r="A105" s="3969"/>
      <c r="B105" s="39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9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5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5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58" t="s">
        <v>3311</v>
      </c>
      <c r="B113" s="3958"/>
      <c r="C113" s="3958"/>
      <c r="D113" s="3958"/>
      <c r="E113" s="3958"/>
      <c r="F113" s="3958"/>
      <c r="G113" s="3958"/>
      <c r="H113" s="3958"/>
      <c r="I113" s="3958"/>
      <c r="J113" s="39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983" t="s">
        <v>2607</v>
      </c>
      <c r="B20" s="3978" t="s">
        <v>2628</v>
      </c>
      <c r="C20" s="3103" t="s">
        <v>2439</v>
      </c>
      <c r="D20" s="3104"/>
      <c r="E20" s="3105">
        <v>1</v>
      </c>
      <c r="F20" s="3106" t="s">
        <v>2440</v>
      </c>
      <c r="G20" s="3106"/>
    </row>
    <row r="21" spans="1:13" ht="19.5" customHeight="1">
      <c r="A21" s="3984"/>
      <c r="B21" s="3977"/>
      <c r="C21" s="3107" t="s">
        <v>2441</v>
      </c>
      <c r="D21" s="3108"/>
      <c r="E21" s="3109">
        <v>1</v>
      </c>
      <c r="F21" s="3106" t="s">
        <v>2442</v>
      </c>
      <c r="G21" s="3106"/>
    </row>
    <row r="22" spans="1:13" ht="19.5" customHeight="1">
      <c r="A22" s="3984"/>
      <c r="B22" s="3977"/>
      <c r="C22" s="3107" t="s">
        <v>2443</v>
      </c>
      <c r="D22" s="3108"/>
      <c r="E22" s="3109">
        <v>0.9</v>
      </c>
      <c r="F22" s="3106" t="s">
        <v>2444</v>
      </c>
      <c r="G22" s="3106"/>
    </row>
    <row r="23" spans="1:13" ht="19.5" customHeight="1">
      <c r="A23" s="3984"/>
      <c r="B23" s="3977"/>
      <c r="C23" s="3107" t="s">
        <v>2445</v>
      </c>
      <c r="D23" s="3108"/>
      <c r="E23" s="3109">
        <v>0.9</v>
      </c>
      <c r="F23" s="3106" t="s">
        <v>2446</v>
      </c>
      <c r="G23" s="3106"/>
    </row>
    <row r="24" spans="1:13" ht="19.5" customHeight="1">
      <c r="A24" s="3984"/>
      <c r="B24" s="3977"/>
      <c r="C24" s="3107" t="s">
        <v>2447</v>
      </c>
      <c r="D24" s="3108"/>
      <c r="E24" s="3109">
        <v>0.8</v>
      </c>
      <c r="F24" s="3106" t="s">
        <v>2448</v>
      </c>
      <c r="G24" s="3106"/>
    </row>
    <row r="25" spans="1:13" ht="19.5" customHeight="1" thickBot="1">
      <c r="A25" s="3985"/>
      <c r="B25" s="397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980" t="s">
        <v>2631</v>
      </c>
      <c r="B27" s="3978" t="s">
        <v>2612</v>
      </c>
      <c r="C27" s="3103" t="s">
        <v>2452</v>
      </c>
      <c r="D27" s="3104"/>
      <c r="E27" s="3105">
        <v>1</v>
      </c>
      <c r="F27" s="3106" t="s">
        <v>2453</v>
      </c>
      <c r="G27" s="3106"/>
    </row>
    <row r="28" spans="1:13" ht="19.5" customHeight="1">
      <c r="A28" s="3981"/>
      <c r="B28" s="3977"/>
      <c r="C28" s="3107" t="s">
        <v>2454</v>
      </c>
      <c r="D28" s="3108"/>
      <c r="E28" s="3109">
        <v>1</v>
      </c>
      <c r="F28" s="3106" t="s">
        <v>2455</v>
      </c>
      <c r="G28" s="3106"/>
    </row>
    <row r="29" spans="1:13" ht="19.5" customHeight="1">
      <c r="A29" s="3981"/>
      <c r="B29" s="3977"/>
      <c r="C29" s="3107" t="s">
        <v>2456</v>
      </c>
      <c r="D29" s="3108"/>
      <c r="E29" s="3109">
        <v>0.8</v>
      </c>
      <c r="F29" s="3106" t="s">
        <v>2457</v>
      </c>
      <c r="G29" s="3106"/>
    </row>
    <row r="30" spans="1:13" ht="19.5" customHeight="1">
      <c r="A30" s="3981"/>
      <c r="B30" s="3977"/>
      <c r="C30" s="3107" t="s">
        <v>2458</v>
      </c>
      <c r="D30" s="3108"/>
      <c r="E30" s="3109">
        <v>0.8</v>
      </c>
      <c r="F30" s="3106" t="s">
        <v>2459</v>
      </c>
      <c r="G30" s="3106"/>
    </row>
    <row r="31" spans="1:13" ht="19.5" customHeight="1">
      <c r="A31" s="3981"/>
      <c r="B31" s="3977"/>
      <c r="C31" s="3107" t="s">
        <v>2460</v>
      </c>
      <c r="D31" s="3108"/>
      <c r="E31" s="3109">
        <v>0.8</v>
      </c>
      <c r="F31" s="3106" t="s">
        <v>2461</v>
      </c>
      <c r="G31" s="3106"/>
    </row>
    <row r="32" spans="1:13" ht="19.5" customHeight="1">
      <c r="A32" s="3981"/>
      <c r="B32" s="3977"/>
      <c r="C32" s="3107" t="s">
        <v>2462</v>
      </c>
      <c r="D32" s="3108"/>
      <c r="E32" s="3109">
        <v>0.7</v>
      </c>
      <c r="F32" s="3106" t="s">
        <v>2463</v>
      </c>
      <c r="G32" s="3106"/>
    </row>
    <row r="33" spans="1:7" ht="19.5" customHeight="1">
      <c r="A33" s="3981"/>
      <c r="B33" s="3977"/>
      <c r="C33" s="3107" t="s">
        <v>2464</v>
      </c>
      <c r="D33" s="3108"/>
      <c r="E33" s="3109">
        <v>0.8</v>
      </c>
      <c r="F33" s="3106" t="s">
        <v>2465</v>
      </c>
      <c r="G33" s="3106"/>
    </row>
    <row r="34" spans="1:7" ht="19.5" customHeight="1">
      <c r="A34" s="3981"/>
      <c r="B34" s="3977"/>
      <c r="C34" s="3107" t="s">
        <v>2466</v>
      </c>
      <c r="D34" s="3108"/>
      <c r="E34" s="3109">
        <v>0.6</v>
      </c>
      <c r="F34" s="3106" t="s">
        <v>2467</v>
      </c>
      <c r="G34" s="3106"/>
    </row>
    <row r="35" spans="1:7" ht="19.5" customHeight="1">
      <c r="A35" s="3981"/>
      <c r="B35" s="3977"/>
      <c r="C35" s="3107" t="s">
        <v>2468</v>
      </c>
      <c r="D35" s="3108"/>
      <c r="E35" s="3109">
        <v>0.2</v>
      </c>
      <c r="F35" s="3106" t="s">
        <v>2469</v>
      </c>
      <c r="G35" s="3106"/>
    </row>
    <row r="36" spans="1:7" ht="19.5" customHeight="1">
      <c r="A36" s="3981"/>
      <c r="B36" s="3977"/>
      <c r="C36" s="3107" t="s">
        <v>2470</v>
      </c>
      <c r="D36" s="3108"/>
      <c r="E36" s="3109">
        <v>0.2</v>
      </c>
      <c r="F36" s="3106" t="s">
        <v>2471</v>
      </c>
      <c r="G36" s="3106"/>
    </row>
    <row r="37" spans="1:7" ht="19.5" customHeight="1">
      <c r="A37" s="3981"/>
      <c r="B37" s="3975" t="s">
        <v>2632</v>
      </c>
      <c r="C37" s="3107" t="s">
        <v>2472</v>
      </c>
      <c r="D37" s="3108"/>
      <c r="E37" s="3109">
        <v>0.6</v>
      </c>
      <c r="F37" s="3106" t="s">
        <v>2473</v>
      </c>
      <c r="G37" s="3106"/>
    </row>
    <row r="38" spans="1:7" ht="19.5" customHeight="1">
      <c r="A38" s="3981"/>
      <c r="B38" s="3977"/>
      <c r="C38" s="3107" t="s">
        <v>2474</v>
      </c>
      <c r="D38" s="3108"/>
      <c r="E38" s="3109">
        <v>0.6</v>
      </c>
      <c r="F38" s="3106" t="s">
        <v>2475</v>
      </c>
      <c r="G38" s="3106"/>
    </row>
    <row r="39" spans="1:7" ht="19.5" customHeight="1" thickBot="1">
      <c r="A39" s="3982"/>
      <c r="B39" s="397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983" t="s">
        <v>2610</v>
      </c>
      <c r="B41" s="3978" t="s">
        <v>2634</v>
      </c>
      <c r="C41" s="3103" t="s">
        <v>2479</v>
      </c>
      <c r="D41" s="3104"/>
      <c r="E41" s="3105">
        <v>1</v>
      </c>
      <c r="F41" s="3106" t="s">
        <v>2480</v>
      </c>
      <c r="G41" s="3106"/>
    </row>
    <row r="42" spans="1:7" ht="19.5" customHeight="1">
      <c r="A42" s="3984"/>
      <c r="B42" s="3977"/>
      <c r="C42" s="3107" t="s">
        <v>2481</v>
      </c>
      <c r="D42" s="3108"/>
      <c r="E42" s="3109">
        <v>1</v>
      </c>
      <c r="F42" s="3106" t="s">
        <v>2482</v>
      </c>
      <c r="G42" s="3106"/>
    </row>
    <row r="43" spans="1:7" ht="19.5" customHeight="1">
      <c r="A43" s="3984"/>
      <c r="B43" s="3976"/>
      <c r="C43" s="3107" t="s">
        <v>2483</v>
      </c>
      <c r="D43" s="3108"/>
      <c r="E43" s="3109">
        <v>1.5</v>
      </c>
      <c r="F43" s="3106" t="s">
        <v>2484</v>
      </c>
      <c r="G43" s="3106"/>
    </row>
    <row r="44" spans="1:7" ht="19.5" customHeight="1">
      <c r="A44" s="3984"/>
      <c r="B44" s="3118" t="s">
        <v>2635</v>
      </c>
      <c r="C44" s="3107" t="s">
        <v>2636</v>
      </c>
      <c r="D44" s="3108"/>
      <c r="E44" s="3109">
        <v>2</v>
      </c>
      <c r="F44" s="3106" t="s">
        <v>2485</v>
      </c>
      <c r="G44" s="3106"/>
    </row>
    <row r="45" spans="1:7" ht="19.5" customHeight="1">
      <c r="A45" s="3984"/>
      <c r="B45" s="3975" t="s">
        <v>2637</v>
      </c>
      <c r="C45" s="3107" t="s">
        <v>2486</v>
      </c>
      <c r="D45" s="3108"/>
      <c r="E45" s="3109">
        <v>1</v>
      </c>
      <c r="F45" s="3106" t="s">
        <v>2487</v>
      </c>
      <c r="G45" s="3106"/>
    </row>
    <row r="46" spans="1:7" ht="19.5" customHeight="1">
      <c r="A46" s="3984"/>
      <c r="B46" s="3977"/>
      <c r="C46" s="3107" t="s">
        <v>2488</v>
      </c>
      <c r="D46" s="3108"/>
      <c r="E46" s="3109">
        <v>1</v>
      </c>
      <c r="F46" s="3106" t="s">
        <v>2489</v>
      </c>
      <c r="G46" s="3106"/>
    </row>
    <row r="47" spans="1:7" ht="19.5" customHeight="1">
      <c r="A47" s="3984"/>
      <c r="B47" s="3977"/>
      <c r="C47" s="3107" t="s">
        <v>2490</v>
      </c>
      <c r="D47" s="3108"/>
      <c r="E47" s="3109">
        <v>1</v>
      </c>
      <c r="F47" s="3106" t="s">
        <v>2491</v>
      </c>
      <c r="G47" s="3106"/>
    </row>
    <row r="48" spans="1:7" ht="19.5" customHeight="1">
      <c r="A48" s="3984"/>
      <c r="B48" s="3977"/>
      <c r="C48" s="3107" t="s">
        <v>2492</v>
      </c>
      <c r="D48" s="3108"/>
      <c r="E48" s="3109">
        <v>1</v>
      </c>
      <c r="F48" s="3106" t="s">
        <v>2493</v>
      </c>
      <c r="G48" s="3106"/>
    </row>
    <row r="49" spans="1:7" ht="19.5" customHeight="1">
      <c r="A49" s="3984"/>
      <c r="B49" s="3977"/>
      <c r="C49" s="3107" t="s">
        <v>2494</v>
      </c>
      <c r="D49" s="3108"/>
      <c r="E49" s="3109">
        <v>1</v>
      </c>
      <c r="F49" s="3106" t="s">
        <v>2495</v>
      </c>
      <c r="G49" s="3106"/>
    </row>
    <row r="50" spans="1:7" ht="19.5" customHeight="1">
      <c r="A50" s="3984"/>
      <c r="B50" s="3977"/>
      <c r="C50" s="3107" t="s">
        <v>2496</v>
      </c>
      <c r="D50" s="3108"/>
      <c r="E50" s="3109">
        <v>1</v>
      </c>
      <c r="F50" s="3106" t="s">
        <v>2497</v>
      </c>
      <c r="G50" s="3106"/>
    </row>
    <row r="51" spans="1:7" ht="19.5" customHeight="1" thickBot="1">
      <c r="A51" s="3985"/>
      <c r="B51" s="397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975" t="s">
        <v>2651</v>
      </c>
      <c r="C73" s="3092" t="s">
        <v>2652</v>
      </c>
      <c r="D73" s="3092" t="s">
        <v>2653</v>
      </c>
      <c r="E73" s="3118">
        <v>0.2</v>
      </c>
      <c r="F73" s="3118">
        <v>25</v>
      </c>
    </row>
    <row r="74" spans="1:7" ht="24">
      <c r="A74" s="3118">
        <v>2</v>
      </c>
      <c r="B74" s="3977"/>
      <c r="C74" s="3092" t="s">
        <v>2654</v>
      </c>
      <c r="D74" s="3092" t="s">
        <v>2655</v>
      </c>
      <c r="E74" s="3118">
        <v>0.2</v>
      </c>
      <c r="F74" s="3118">
        <v>25</v>
      </c>
    </row>
    <row r="75" spans="1:7" ht="24">
      <c r="A75" s="3118">
        <v>3</v>
      </c>
      <c r="B75" s="3977"/>
      <c r="C75" s="3092" t="s">
        <v>2656</v>
      </c>
      <c r="D75" s="3092" t="s">
        <v>2657</v>
      </c>
      <c r="E75" s="3118">
        <v>0.2</v>
      </c>
      <c r="F75" s="3118">
        <v>25</v>
      </c>
    </row>
    <row r="76" spans="1:7" ht="14.4">
      <c r="A76" s="3118">
        <v>4</v>
      </c>
      <c r="B76" s="3977"/>
      <c r="C76" s="3092" t="s">
        <v>2658</v>
      </c>
      <c r="D76" s="3092" t="s">
        <v>2659</v>
      </c>
      <c r="E76" s="3118">
        <v>0.15</v>
      </c>
      <c r="F76" s="3118">
        <v>20</v>
      </c>
    </row>
    <row r="77" spans="1:7" ht="24">
      <c r="A77" s="3118">
        <v>5</v>
      </c>
      <c r="B77" s="3977"/>
      <c r="C77" s="3092" t="s">
        <v>2660</v>
      </c>
      <c r="D77" s="3092" t="s">
        <v>2661</v>
      </c>
      <c r="E77" s="3118">
        <v>0.15</v>
      </c>
      <c r="F77" s="3118">
        <v>20</v>
      </c>
    </row>
    <row r="78" spans="1:7" ht="24">
      <c r="A78" s="3118">
        <v>6</v>
      </c>
      <c r="B78" s="3977"/>
      <c r="C78" s="3092" t="s">
        <v>2662</v>
      </c>
      <c r="D78" s="3092" t="s">
        <v>2663</v>
      </c>
      <c r="E78" s="3118">
        <v>0.15</v>
      </c>
      <c r="F78" s="3118">
        <v>20</v>
      </c>
    </row>
    <row r="79" spans="1:7" ht="24">
      <c r="A79" s="3118">
        <v>7</v>
      </c>
      <c r="B79" s="3977"/>
      <c r="C79" s="3092" t="s">
        <v>2664</v>
      </c>
      <c r="D79" s="3092" t="s">
        <v>2665</v>
      </c>
      <c r="E79" s="3118">
        <v>0.15</v>
      </c>
      <c r="F79" s="3118">
        <v>20</v>
      </c>
    </row>
    <row r="80" spans="1:7" ht="24">
      <c r="A80" s="3118">
        <v>8</v>
      </c>
      <c r="B80" s="3977"/>
      <c r="C80" s="3092" t="s">
        <v>2666</v>
      </c>
      <c r="D80" s="3092" t="s">
        <v>2667</v>
      </c>
      <c r="E80" s="3118">
        <v>0.1</v>
      </c>
      <c r="F80" s="3118">
        <v>15</v>
      </c>
    </row>
    <row r="81" spans="1:6" ht="24">
      <c r="A81" s="3118">
        <v>9</v>
      </c>
      <c r="B81" s="3977"/>
      <c r="C81" s="3092" t="s">
        <v>2668</v>
      </c>
      <c r="D81" s="3092" t="s">
        <v>2669</v>
      </c>
      <c r="E81" s="3118">
        <v>0.1</v>
      </c>
      <c r="F81" s="3118">
        <v>15</v>
      </c>
    </row>
    <row r="82" spans="1:6" ht="24">
      <c r="A82" s="3118">
        <v>10</v>
      </c>
      <c r="B82" s="3977"/>
      <c r="C82" s="3092" t="s">
        <v>2670</v>
      </c>
      <c r="D82" s="3092" t="s">
        <v>2671</v>
      </c>
      <c r="E82" s="3118">
        <v>0.1</v>
      </c>
      <c r="F82" s="3118">
        <v>15</v>
      </c>
    </row>
    <row r="83" spans="1:6" ht="24">
      <c r="A83" s="3118">
        <v>11</v>
      </c>
      <c r="B83" s="3977"/>
      <c r="C83" s="3092" t="s">
        <v>2672</v>
      </c>
      <c r="D83" s="3092" t="s">
        <v>2673</v>
      </c>
      <c r="E83" s="3118">
        <v>0.1</v>
      </c>
      <c r="F83" s="3118">
        <v>15</v>
      </c>
    </row>
    <row r="84" spans="1:6" ht="24">
      <c r="A84" s="3118">
        <v>12</v>
      </c>
      <c r="B84" s="3977"/>
      <c r="C84" s="3092" t="s">
        <v>2674</v>
      </c>
      <c r="D84" s="3092" t="s">
        <v>2675</v>
      </c>
      <c r="E84" s="3118">
        <v>0.1</v>
      </c>
      <c r="F84" s="3118">
        <v>15</v>
      </c>
    </row>
    <row r="85" spans="1:6" ht="24">
      <c r="A85" s="3118">
        <v>13</v>
      </c>
      <c r="B85" s="3977"/>
      <c r="C85" s="3092" t="s">
        <v>2676</v>
      </c>
      <c r="D85" s="3092" t="s">
        <v>2677</v>
      </c>
      <c r="E85" s="3118">
        <v>0.1</v>
      </c>
      <c r="F85" s="3118">
        <v>15</v>
      </c>
    </row>
    <row r="86" spans="1:6" ht="24">
      <c r="A86" s="3118">
        <v>14</v>
      </c>
      <c r="B86" s="3977"/>
      <c r="C86" s="3092" t="s">
        <v>2678</v>
      </c>
      <c r="D86" s="3092" t="s">
        <v>2679</v>
      </c>
      <c r="E86" s="3118">
        <v>0.1</v>
      </c>
      <c r="F86" s="3118">
        <v>15</v>
      </c>
    </row>
    <row r="87" spans="1:6" ht="24">
      <c r="A87" s="3118">
        <v>15</v>
      </c>
      <c r="B87" s="3977"/>
      <c r="C87" s="3092" t="s">
        <v>2680</v>
      </c>
      <c r="D87" s="3092" t="s">
        <v>2681</v>
      </c>
      <c r="E87" s="3118">
        <v>0.1</v>
      </c>
      <c r="F87" s="3118">
        <v>15</v>
      </c>
    </row>
    <row r="88" spans="1:6" ht="24">
      <c r="A88" s="3118">
        <v>16</v>
      </c>
      <c r="B88" s="3977"/>
      <c r="C88" s="3092" t="s">
        <v>2682</v>
      </c>
      <c r="D88" s="3092" t="s">
        <v>2683</v>
      </c>
      <c r="E88" s="3118">
        <v>0.1</v>
      </c>
      <c r="F88" s="3118">
        <v>15</v>
      </c>
    </row>
    <row r="89" spans="1:6" ht="24">
      <c r="A89" s="3118">
        <v>17</v>
      </c>
      <c r="B89" s="3976"/>
      <c r="C89" s="3092" t="s">
        <v>2684</v>
      </c>
      <c r="D89" s="3092" t="s">
        <v>2685</v>
      </c>
      <c r="E89" s="3118">
        <v>0.1</v>
      </c>
      <c r="F89" s="3118">
        <v>15</v>
      </c>
    </row>
    <row r="90" spans="1:6" ht="14.4">
      <c r="A90" s="3118">
        <v>18</v>
      </c>
      <c r="B90" s="3975" t="s">
        <v>2686</v>
      </c>
      <c r="C90" s="3092" t="s">
        <v>2687</v>
      </c>
      <c r="D90" s="3092" t="s">
        <v>2688</v>
      </c>
      <c r="E90" s="3118">
        <v>0.2</v>
      </c>
      <c r="F90" s="3118">
        <v>25</v>
      </c>
    </row>
    <row r="91" spans="1:6" ht="24">
      <c r="A91" s="3118">
        <v>19</v>
      </c>
      <c r="B91" s="3977"/>
      <c r="C91" s="3092" t="s">
        <v>2689</v>
      </c>
      <c r="D91" s="3092" t="s">
        <v>2690</v>
      </c>
      <c r="E91" s="3118">
        <v>0.2</v>
      </c>
      <c r="F91" s="3118">
        <v>25</v>
      </c>
    </row>
    <row r="92" spans="1:6" ht="14.4">
      <c r="A92" s="3118">
        <v>20</v>
      </c>
      <c r="B92" s="3977"/>
      <c r="C92" s="3092" t="s">
        <v>2691</v>
      </c>
      <c r="D92" s="3092" t="s">
        <v>2692</v>
      </c>
      <c r="E92" s="3118">
        <v>0.15</v>
      </c>
      <c r="F92" s="3118">
        <v>20</v>
      </c>
    </row>
    <row r="93" spans="1:6" ht="24">
      <c r="A93" s="3118">
        <v>21</v>
      </c>
      <c r="B93" s="3977"/>
      <c r="C93" s="3092" t="s">
        <v>2693</v>
      </c>
      <c r="D93" s="3092" t="s">
        <v>2694</v>
      </c>
      <c r="E93" s="3118">
        <v>0.15</v>
      </c>
      <c r="F93" s="3118">
        <v>20</v>
      </c>
    </row>
    <row r="94" spans="1:6" ht="24">
      <c r="A94" s="3118">
        <v>22</v>
      </c>
      <c r="B94" s="3977"/>
      <c r="C94" s="3092" t="s">
        <v>2695</v>
      </c>
      <c r="D94" s="3092" t="s">
        <v>2696</v>
      </c>
      <c r="E94" s="3118">
        <v>0.15</v>
      </c>
      <c r="F94" s="3118">
        <v>20</v>
      </c>
    </row>
    <row r="95" spans="1:6" ht="36">
      <c r="A95" s="3118">
        <v>23</v>
      </c>
      <c r="B95" s="3977"/>
      <c r="C95" s="3092" t="s">
        <v>2697</v>
      </c>
      <c r="D95" s="3092" t="s">
        <v>2698</v>
      </c>
      <c r="E95" s="3118">
        <v>0.15</v>
      </c>
      <c r="F95" s="3118">
        <v>20</v>
      </c>
    </row>
    <row r="96" spans="1:6" ht="24">
      <c r="A96" s="3118">
        <v>24</v>
      </c>
      <c r="B96" s="3977"/>
      <c r="C96" s="3092" t="s">
        <v>2699</v>
      </c>
      <c r="D96" s="3092" t="s">
        <v>2700</v>
      </c>
      <c r="E96" s="3118">
        <v>0.1</v>
      </c>
      <c r="F96" s="3118">
        <v>15</v>
      </c>
    </row>
    <row r="97" spans="1:6" ht="24">
      <c r="A97" s="3118">
        <v>25</v>
      </c>
      <c r="B97" s="3977"/>
      <c r="C97" s="3092" t="s">
        <v>2701</v>
      </c>
      <c r="D97" s="3092" t="s">
        <v>2702</v>
      </c>
      <c r="E97" s="3118">
        <v>0.1</v>
      </c>
      <c r="F97" s="3118">
        <v>15</v>
      </c>
    </row>
    <row r="98" spans="1:6" ht="24">
      <c r="A98" s="3118">
        <v>26</v>
      </c>
      <c r="B98" s="3977"/>
      <c r="C98" s="3092" t="s">
        <v>2703</v>
      </c>
      <c r="D98" s="3092" t="s">
        <v>2704</v>
      </c>
      <c r="E98" s="3118">
        <v>0.1</v>
      </c>
      <c r="F98" s="3118">
        <v>15</v>
      </c>
    </row>
    <row r="99" spans="1:6" ht="24">
      <c r="A99" s="3118">
        <v>27</v>
      </c>
      <c r="B99" s="3977"/>
      <c r="C99" s="3092" t="s">
        <v>2705</v>
      </c>
      <c r="D99" s="3092" t="s">
        <v>2706</v>
      </c>
      <c r="E99" s="3118">
        <v>0.1</v>
      </c>
      <c r="F99" s="3118">
        <v>15</v>
      </c>
    </row>
    <row r="100" spans="1:6" ht="24">
      <c r="A100" s="3118">
        <v>28</v>
      </c>
      <c r="B100" s="3977"/>
      <c r="C100" s="3092" t="s">
        <v>2707</v>
      </c>
      <c r="D100" s="3092" t="s">
        <v>2708</v>
      </c>
      <c r="E100" s="3118">
        <v>0.1</v>
      </c>
      <c r="F100" s="3118">
        <v>15</v>
      </c>
    </row>
    <row r="101" spans="1:6" ht="24">
      <c r="A101" s="3118">
        <v>29</v>
      </c>
      <c r="B101" s="3977"/>
      <c r="C101" s="3092" t="s">
        <v>2709</v>
      </c>
      <c r="D101" s="3092" t="s">
        <v>2710</v>
      </c>
      <c r="E101" s="3118">
        <v>0.1</v>
      </c>
      <c r="F101" s="3118">
        <v>15</v>
      </c>
    </row>
    <row r="102" spans="1:6" ht="24">
      <c r="A102" s="3118">
        <v>30</v>
      </c>
      <c r="B102" s="3977"/>
      <c r="C102" s="3092" t="s">
        <v>2711</v>
      </c>
      <c r="D102" s="3092" t="s">
        <v>2712</v>
      </c>
      <c r="E102" s="3118">
        <v>0.1</v>
      </c>
      <c r="F102" s="3118">
        <v>15</v>
      </c>
    </row>
    <row r="103" spans="1:6" ht="24">
      <c r="A103" s="3118">
        <v>31</v>
      </c>
      <c r="B103" s="3977"/>
      <c r="C103" s="3092" t="s">
        <v>2713</v>
      </c>
      <c r="D103" s="3092" t="s">
        <v>2714</v>
      </c>
      <c r="E103" s="3118">
        <v>0.1</v>
      </c>
      <c r="F103" s="3118">
        <v>15</v>
      </c>
    </row>
    <row r="104" spans="1:6" ht="24">
      <c r="A104" s="3118">
        <v>32</v>
      </c>
      <c r="B104" s="3977"/>
      <c r="C104" s="3092" t="s">
        <v>2715</v>
      </c>
      <c r="D104" s="3092" t="s">
        <v>2716</v>
      </c>
      <c r="E104" s="3118">
        <v>0.1</v>
      </c>
      <c r="F104" s="3118">
        <v>15</v>
      </c>
    </row>
    <row r="105" spans="1:6" ht="24">
      <c r="A105" s="3118">
        <v>33</v>
      </c>
      <c r="B105" s="3977"/>
      <c r="C105" s="3092" t="s">
        <v>2717</v>
      </c>
      <c r="D105" s="3092" t="s">
        <v>2718</v>
      </c>
      <c r="E105" s="3118">
        <v>0.1</v>
      </c>
      <c r="F105" s="3118">
        <v>15</v>
      </c>
    </row>
    <row r="106" spans="1:6" ht="24">
      <c r="A106" s="3118">
        <v>34</v>
      </c>
      <c r="B106" s="3976"/>
      <c r="C106" s="3092" t="s">
        <v>2719</v>
      </c>
      <c r="D106" s="3092" t="s">
        <v>2720</v>
      </c>
      <c r="E106" s="3118">
        <v>0.1</v>
      </c>
      <c r="F106" s="3118">
        <v>15</v>
      </c>
    </row>
    <row r="107" spans="1:6" ht="36">
      <c r="A107" s="3118">
        <v>35</v>
      </c>
      <c r="B107" s="3975" t="s">
        <v>2721</v>
      </c>
      <c r="C107" s="3118" t="s">
        <v>2722</v>
      </c>
      <c r="D107" s="3092" t="s">
        <v>2723</v>
      </c>
      <c r="E107" s="3118">
        <v>0.15</v>
      </c>
      <c r="F107" s="3118">
        <v>20</v>
      </c>
    </row>
    <row r="108" spans="1:6" ht="24">
      <c r="A108" s="3118">
        <v>36</v>
      </c>
      <c r="B108" s="3977"/>
      <c r="C108" s="3118" t="s">
        <v>2724</v>
      </c>
      <c r="D108" s="3092" t="s">
        <v>2725</v>
      </c>
      <c r="E108" s="3118">
        <v>0.15</v>
      </c>
      <c r="F108" s="3118">
        <v>20</v>
      </c>
    </row>
    <row r="109" spans="1:6" ht="24">
      <c r="A109" s="3118">
        <v>37</v>
      </c>
      <c r="B109" s="3977"/>
      <c r="C109" s="3118" t="s">
        <v>2726</v>
      </c>
      <c r="D109" s="3092" t="s">
        <v>2727</v>
      </c>
      <c r="E109" s="3118">
        <v>0.15</v>
      </c>
      <c r="F109" s="3118">
        <v>20</v>
      </c>
    </row>
    <row r="110" spans="1:6" ht="24">
      <c r="A110" s="3118">
        <v>38</v>
      </c>
      <c r="B110" s="3977"/>
      <c r="C110" s="3118" t="s">
        <v>2728</v>
      </c>
      <c r="D110" s="3092" t="s">
        <v>2729</v>
      </c>
      <c r="E110" s="3118">
        <v>0.1</v>
      </c>
      <c r="F110" s="3118">
        <v>15</v>
      </c>
    </row>
    <row r="111" spans="1:6" ht="24">
      <c r="A111" s="3118">
        <v>39</v>
      </c>
      <c r="B111" s="3977"/>
      <c r="C111" s="3118" t="s">
        <v>2730</v>
      </c>
      <c r="D111" s="3092" t="s">
        <v>2731</v>
      </c>
      <c r="E111" s="3118">
        <v>0.1</v>
      </c>
      <c r="F111" s="3118">
        <v>15</v>
      </c>
    </row>
    <row r="112" spans="1:6" ht="24">
      <c r="A112" s="3118">
        <v>40</v>
      </c>
      <c r="B112" s="3976"/>
      <c r="C112" s="3118" t="s">
        <v>2732</v>
      </c>
      <c r="D112" s="3092" t="s">
        <v>2733</v>
      </c>
      <c r="E112" s="3118">
        <v>0.1</v>
      </c>
      <c r="F112" s="3118">
        <v>15</v>
      </c>
    </row>
    <row r="113" spans="1:6" ht="24">
      <c r="A113" s="3118">
        <v>41</v>
      </c>
      <c r="B113" s="3974" t="s">
        <v>2734</v>
      </c>
      <c r="C113" s="3118" t="s">
        <v>2735</v>
      </c>
      <c r="D113" s="3092" t="s">
        <v>2736</v>
      </c>
      <c r="E113" s="3118">
        <v>0.1</v>
      </c>
      <c r="F113" s="3118">
        <v>15</v>
      </c>
    </row>
    <row r="114" spans="1:6" ht="24">
      <c r="A114" s="3118">
        <v>42</v>
      </c>
      <c r="B114" s="3974"/>
      <c r="C114" s="3118" t="s">
        <v>2737</v>
      </c>
      <c r="D114" s="3092" t="s">
        <v>2738</v>
      </c>
      <c r="E114" s="3118">
        <v>0.1</v>
      </c>
      <c r="F114" s="3118">
        <v>15</v>
      </c>
    </row>
    <row r="115" spans="1:6" ht="24">
      <c r="A115" s="3118">
        <v>43</v>
      </c>
      <c r="B115" s="3974"/>
      <c r="C115" s="3118" t="s">
        <v>2739</v>
      </c>
      <c r="D115" s="3092" t="s">
        <v>2740</v>
      </c>
      <c r="E115" s="3118">
        <v>0.1</v>
      </c>
      <c r="F115" s="3118">
        <v>15</v>
      </c>
    </row>
    <row r="116" spans="1:6" ht="24">
      <c r="A116" s="3118">
        <v>44</v>
      </c>
      <c r="B116" s="3975" t="s">
        <v>2741</v>
      </c>
      <c r="C116" s="3118" t="s">
        <v>2742</v>
      </c>
      <c r="D116" s="3092" t="s">
        <v>2743</v>
      </c>
      <c r="E116" s="3118">
        <v>0.1</v>
      </c>
      <c r="F116" s="3118">
        <v>15</v>
      </c>
    </row>
    <row r="117" spans="1:6" ht="24">
      <c r="A117" s="3118">
        <v>45</v>
      </c>
      <c r="B117" s="3976"/>
      <c r="C117" s="3092" t="s">
        <v>2744</v>
      </c>
      <c r="D117" s="3092" t="s">
        <v>2745</v>
      </c>
      <c r="E117" s="3118">
        <v>0.1</v>
      </c>
      <c r="F117" s="3118">
        <v>15</v>
      </c>
    </row>
    <row r="118" spans="1:6" ht="24">
      <c r="A118" s="3118">
        <v>46</v>
      </c>
      <c r="B118" s="3975" t="s">
        <v>2746</v>
      </c>
      <c r="C118" s="3118" t="s">
        <v>2747</v>
      </c>
      <c r="D118" s="3092" t="s">
        <v>2748</v>
      </c>
      <c r="E118" s="3118">
        <v>0.1</v>
      </c>
      <c r="F118" s="3118">
        <v>15</v>
      </c>
    </row>
    <row r="119" spans="1:6" ht="24">
      <c r="A119" s="3118">
        <v>47</v>
      </c>
      <c r="B119" s="3976"/>
      <c r="C119" s="3118" t="s">
        <v>2749</v>
      </c>
      <c r="D119" s="3092" t="s">
        <v>2750</v>
      </c>
      <c r="E119" s="3118">
        <v>0.1</v>
      </c>
      <c r="F119" s="3118">
        <v>15</v>
      </c>
    </row>
    <row r="120" spans="1:6" ht="24">
      <c r="A120" s="3118">
        <v>48</v>
      </c>
      <c r="B120" s="3975" t="s">
        <v>2751</v>
      </c>
      <c r="C120" s="3118" t="s">
        <v>2752</v>
      </c>
      <c r="D120" s="3092" t="s">
        <v>2753</v>
      </c>
      <c r="E120" s="3118">
        <v>0.1</v>
      </c>
      <c r="F120" s="3118">
        <v>15</v>
      </c>
    </row>
    <row r="121" spans="1:6" ht="24">
      <c r="A121" s="3118">
        <v>49</v>
      </c>
      <c r="B121" s="3976"/>
      <c r="C121" s="3118" t="s">
        <v>2754</v>
      </c>
      <c r="D121" s="3092" t="s">
        <v>2755</v>
      </c>
      <c r="E121" s="3118">
        <v>0.1</v>
      </c>
      <c r="F121" s="3118">
        <v>15</v>
      </c>
    </row>
    <row r="122" spans="1:6" ht="24">
      <c r="A122" s="3118">
        <v>50</v>
      </c>
      <c r="B122" s="3974" t="s">
        <v>2756</v>
      </c>
      <c r="C122" s="3118" t="s">
        <v>2757</v>
      </c>
      <c r="D122" s="3092" t="s">
        <v>2758</v>
      </c>
      <c r="E122" s="3118">
        <v>0.1</v>
      </c>
      <c r="F122" s="3118">
        <v>15</v>
      </c>
    </row>
    <row r="123" spans="1:6" ht="24">
      <c r="A123" s="3118">
        <v>51</v>
      </c>
      <c r="B123" s="3974"/>
      <c r="C123" s="3118" t="s">
        <v>2759</v>
      </c>
      <c r="D123" s="3092" t="s">
        <v>2760</v>
      </c>
      <c r="E123" s="3118">
        <v>0.1</v>
      </c>
      <c r="F123" s="3118">
        <v>15</v>
      </c>
    </row>
    <row r="124" spans="1:6" ht="24">
      <c r="A124" s="3118">
        <v>52</v>
      </c>
      <c r="B124" s="3974" t="s">
        <v>2761</v>
      </c>
      <c r="C124" s="3118" t="s">
        <v>2762</v>
      </c>
      <c r="D124" s="3092" t="s">
        <v>2763</v>
      </c>
      <c r="E124" s="3118">
        <v>0.1</v>
      </c>
      <c r="F124" s="3118">
        <v>15</v>
      </c>
    </row>
    <row r="125" spans="1:6" ht="24">
      <c r="A125" s="3118">
        <v>53</v>
      </c>
      <c r="B125" s="397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974" t="s">
        <v>2769</v>
      </c>
      <c r="C127" s="3118" t="s">
        <v>2770</v>
      </c>
      <c r="D127" s="3092" t="s">
        <v>2771</v>
      </c>
      <c r="E127" s="3118">
        <v>0.1</v>
      </c>
      <c r="F127" s="3118">
        <v>15</v>
      </c>
    </row>
    <row r="128" spans="1:6" ht="24">
      <c r="A128" s="3118">
        <v>56</v>
      </c>
      <c r="B128" s="3974"/>
      <c r="C128" s="3118" t="s">
        <v>2772</v>
      </c>
      <c r="D128" s="3092" t="s">
        <v>2773</v>
      </c>
      <c r="E128" s="3118">
        <v>0.1</v>
      </c>
      <c r="F128" s="3118">
        <v>15</v>
      </c>
    </row>
    <row r="129" spans="1:6" ht="24">
      <c r="A129" s="3118">
        <v>57</v>
      </c>
      <c r="B129" s="3974"/>
      <c r="C129" s="3118" t="s">
        <v>2774</v>
      </c>
      <c r="D129" s="3092" t="s">
        <v>2775</v>
      </c>
      <c r="E129" s="3118">
        <v>0.1</v>
      </c>
      <c r="F129" s="3118">
        <v>15</v>
      </c>
    </row>
    <row r="130" spans="1:6" ht="24">
      <c r="A130" s="3118">
        <v>58</v>
      </c>
      <c r="B130" s="3974" t="s">
        <v>2776</v>
      </c>
      <c r="C130" s="3118" t="s">
        <v>2777</v>
      </c>
      <c r="D130" s="3092" t="s">
        <v>2778</v>
      </c>
      <c r="E130" s="3118">
        <v>0.1</v>
      </c>
      <c r="F130" s="3118">
        <v>15</v>
      </c>
    </row>
    <row r="131" spans="1:6" ht="24">
      <c r="A131" s="3118">
        <v>59</v>
      </c>
      <c r="B131" s="3974"/>
      <c r="C131" s="3118" t="s">
        <v>2779</v>
      </c>
      <c r="D131" s="3092" t="s">
        <v>2780</v>
      </c>
      <c r="E131" s="3118">
        <v>0.1</v>
      </c>
      <c r="F131" s="3118">
        <v>15</v>
      </c>
    </row>
    <row r="132" spans="1:6" ht="24">
      <c r="A132" s="3118">
        <v>60</v>
      </c>
      <c r="B132" s="3975" t="s">
        <v>2781</v>
      </c>
      <c r="C132" s="3118" t="s">
        <v>2782</v>
      </c>
      <c r="D132" s="3092" t="s">
        <v>2783</v>
      </c>
      <c r="E132" s="3118">
        <v>0.1</v>
      </c>
      <c r="F132" s="3118">
        <v>15</v>
      </c>
    </row>
    <row r="133" spans="1:6" ht="24">
      <c r="A133" s="3118">
        <v>61</v>
      </c>
      <c r="B133" s="397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974" t="s">
        <v>2789</v>
      </c>
      <c r="C135" s="3118" t="s">
        <v>2790</v>
      </c>
      <c r="D135" s="3092" t="s">
        <v>2791</v>
      </c>
      <c r="E135" s="3118">
        <v>0.1</v>
      </c>
      <c r="F135" s="3118">
        <v>15</v>
      </c>
    </row>
    <row r="136" spans="1:6" ht="24">
      <c r="A136" s="3118">
        <v>64</v>
      </c>
      <c r="B136" s="397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5"/>
      <c r="C2" s="3665"/>
      <c r="D2" s="3665"/>
      <c r="E2" s="3665"/>
    </row>
    <row r="3" spans="1:5" ht="17.399999999999999">
      <c r="A3" s="3666" t="str">
        <f>IF(项目基本情况!B9="房地产市场价值","估价结果一览表（市场价值不需“结果表-1”）","估价结果一览表")</f>
        <v>估价结果一览表（市场价值不需“结果表-1”）</v>
      </c>
      <c r="B3" s="3666"/>
      <c r="C3" s="3666"/>
      <c r="D3" s="3666"/>
      <c r="E3" s="3666"/>
    </row>
    <row r="4" spans="1:5" ht="18" thickBot="1">
      <c r="A4" s="1493"/>
      <c r="B4" s="3664" t="s">
        <v>917</v>
      </c>
      <c r="C4" s="3664"/>
      <c r="D4" s="3664"/>
      <c r="E4" s="1493"/>
    </row>
    <row r="5" spans="1:5" ht="16.2" thickTop="1">
      <c r="A5" s="1491"/>
      <c r="B5" s="3662" t="s">
        <v>909</v>
      </c>
      <c r="C5" s="1494" t="s">
        <v>910</v>
      </c>
      <c r="D5" s="850" t="e">
        <f ca="1">结果表!H101</f>
        <v>#REF!</v>
      </c>
      <c r="E5" s="1491"/>
    </row>
    <row r="6" spans="1:5" ht="15.6">
      <c r="A6" s="1491"/>
      <c r="B6" s="3662"/>
      <c r="C6" s="1494" t="s">
        <v>911</v>
      </c>
      <c r="D6" s="850" t="e">
        <f ca="1">NUMBERSTRING(INT(D5*10000),2)&amp;"元整"</f>
        <v>#REF!</v>
      </c>
      <c r="E6" s="1491"/>
    </row>
    <row r="7" spans="1:5" ht="15.6">
      <c r="A7" s="1491"/>
      <c r="B7" s="3667"/>
      <c r="C7" s="1495" t="s">
        <v>912</v>
      </c>
      <c r="D7" s="851" t="e">
        <f ca="1">结果表!H102</f>
        <v>#REF!</v>
      </c>
      <c r="E7" s="1491"/>
    </row>
    <row r="8" spans="1:5" ht="15.6">
      <c r="A8" s="1491"/>
      <c r="B8" s="3668" t="str">
        <f>结果表!E103</f>
        <v>2.估价师知悉的法定优先受偿款</v>
      </c>
      <c r="C8" s="1496" t="s">
        <v>913</v>
      </c>
      <c r="D8" s="851">
        <f>结果表!H103</f>
        <v>0</v>
      </c>
      <c r="E8" s="1491"/>
    </row>
    <row r="9" spans="1:5" ht="15.6">
      <c r="A9" s="1491"/>
      <c r="B9" s="367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61" t="str">
        <f>结果表!E107</f>
        <v>3.房地产抵押价值</v>
      </c>
      <c r="C13" s="1499" t="s">
        <v>910</v>
      </c>
      <c r="D13" s="853" t="e">
        <f ca="1">结果表!H107</f>
        <v>#REF!</v>
      </c>
      <c r="E13" s="1491"/>
    </row>
    <row r="14" spans="1:5" ht="15.6">
      <c r="A14" s="1491"/>
      <c r="B14" s="3662"/>
      <c r="C14" s="1494" t="s">
        <v>911</v>
      </c>
      <c r="D14" s="850" t="e">
        <f ca="1">NUMBERSTRING(INT(D13*10000),2)&amp;"元整"</f>
        <v>#REF!</v>
      </c>
      <c r="E14" s="1491"/>
    </row>
    <row r="15" spans="1:5" ht="15.6">
      <c r="A15" s="1491"/>
      <c r="B15" s="3667"/>
      <c r="C15" s="1495" t="s">
        <v>921</v>
      </c>
      <c r="D15" s="859" t="e">
        <f ca="1">结果表!H108</f>
        <v>#REF!</v>
      </c>
      <c r="E15" s="1491"/>
    </row>
    <row r="16" spans="1:5" ht="15.6">
      <c r="A16" s="1491"/>
      <c r="B16" s="3668" t="str">
        <f>结果表!E109</f>
        <v>——</v>
      </c>
      <c r="C16" s="1499" t="s">
        <v>922</v>
      </c>
      <c r="D16" s="1500" t="str">
        <f>结果表!H109</f>
        <v>——</v>
      </c>
      <c r="E16" s="1491"/>
    </row>
    <row r="17" spans="1:5" ht="15.6">
      <c r="A17" s="1491"/>
      <c r="B17" s="3669"/>
      <c r="C17" s="1494" t="s">
        <v>923</v>
      </c>
      <c r="D17" s="850" t="e">
        <f>NUMBERSTRING(INT(D16*10000),2)&amp;"元整"</f>
        <v>#VALUE!</v>
      </c>
      <c r="E17" s="1491"/>
    </row>
    <row r="18" spans="1:5" ht="15.6">
      <c r="A18" s="1491"/>
      <c r="B18" s="3670"/>
      <c r="C18" s="1495" t="s">
        <v>912</v>
      </c>
      <c r="D18" s="859" t="str">
        <f>结果表!H110</f>
        <v>——</v>
      </c>
      <c r="E18" s="1491"/>
    </row>
    <row r="19" spans="1:5" ht="15.6">
      <c r="A19" s="1491"/>
      <c r="B19" s="3661" t="str">
        <f>结果表!E111</f>
        <v>——</v>
      </c>
      <c r="C19" s="1499" t="s">
        <v>910</v>
      </c>
      <c r="D19" s="851" t="str">
        <f>结果表!H111</f>
        <v>——</v>
      </c>
      <c r="E19" s="1491"/>
    </row>
    <row r="20" spans="1:5" ht="15.6">
      <c r="A20" s="1491"/>
      <c r="B20" s="3662"/>
      <c r="C20" s="1494" t="s">
        <v>923</v>
      </c>
      <c r="D20" s="850" t="e">
        <f>NUMBERSTRING(INT(D19*10000),2)&amp;"元整"</f>
        <v>#VALUE!</v>
      </c>
      <c r="E20" s="1491"/>
    </row>
    <row r="21" spans="1:5" ht="16.2" thickBot="1">
      <c r="A21" s="1491"/>
      <c r="B21" s="366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31011</v>
      </c>
      <c r="C2" s="2" t="s">
        <v>106</v>
      </c>
      <c r="D2" s="199"/>
      <c r="E2" s="199"/>
      <c r="F2" s="199"/>
      <c r="G2" s="199"/>
    </row>
    <row r="3" spans="1:7" s="200" customFormat="1" ht="18" customHeight="1" thickBot="1">
      <c r="A3" s="203" t="s">
        <v>58</v>
      </c>
      <c r="B3" s="204">
        <f ca="1">ROUND(B2*10000/'数据-汇总表'!E3,0)</f>
        <v>3002324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103.29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103.29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2651</v>
      </c>
      <c r="D22" s="235">
        <f ca="1">C26</f>
        <v>1.8E-3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38</v>
      </c>
      <c r="D25" s="238"/>
      <c r="E25" s="241"/>
      <c r="F25" s="239"/>
      <c r="G25" s="242" t="s">
        <v>83</v>
      </c>
    </row>
    <row r="26" spans="1:7" s="214" customFormat="1">
      <c r="A26" s="780" t="s">
        <v>350</v>
      </c>
      <c r="B26" s="215" t="s">
        <v>422</v>
      </c>
      <c r="C26" s="238">
        <f ca="1">ROUND(IF('数据-取费表'!B22&lt;=1,F21*F22*'数据-取费表'!B23/2,F21*(POWER((1+F22),'数据-取费表'!B23/2)-1)),4)</f>
        <v>1.8E-3</v>
      </c>
      <c r="D26" s="238"/>
      <c r="E26" s="241"/>
      <c r="F26" s="239"/>
      <c r="G26" s="243"/>
    </row>
    <row r="27" spans="1:7" s="214" customFormat="1" ht="26.4">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30947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0.1</v>
      </c>
      <c r="G36" s="260" t="s">
        <v>35</v>
      </c>
    </row>
    <row r="37" spans="1:7" s="258" customFormat="1" ht="13.5" customHeight="1">
      <c r="A37" s="780" t="s">
        <v>353</v>
      </c>
      <c r="B37" s="215" t="s">
        <v>91</v>
      </c>
      <c r="C37" s="249">
        <f>ROUND(E37*D37*F34/10000,0)</f>
        <v>2</v>
      </c>
      <c r="D37" s="217">
        <f>'数据-汇总表'!E3</f>
        <v>103.29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1.8E-3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843" t="s">
        <v>94</v>
      </c>
    </row>
    <row r="43" spans="1:7" ht="13.5" customHeight="1">
      <c r="A43" s="780" t="s">
        <v>347</v>
      </c>
      <c r="B43" s="215" t="s">
        <v>426</v>
      </c>
      <c r="C43" s="238">
        <f ca="1">ROUND(IF('数据-取费表'!B22&lt;=1,C39*F22*'数据-取费表'!B21/2,C39*(POWER((1+F22),'数据-取费表'!B21/2)-1)),0)</f>
        <v>0</v>
      </c>
      <c r="D43" s="238"/>
      <c r="E43" s="238"/>
      <c r="F43" s="239"/>
      <c r="G43" s="3844"/>
    </row>
    <row r="44" spans="1:7" ht="13.5" customHeight="1">
      <c r="A44" s="780" t="s">
        <v>348</v>
      </c>
      <c r="B44" s="215" t="s">
        <v>428</v>
      </c>
      <c r="C44" s="238">
        <f ca="1">ROUND(IF('数据-取费表'!B22&lt;=1,C40*F22*'数据-取费表'!B21/2,C40*(POWER((1+F22),'数据-取费表'!B21/2)-1)),4)</f>
        <v>1.8E-3</v>
      </c>
      <c r="D44" s="238"/>
      <c r="E44" s="238"/>
      <c r="F44" s="239"/>
      <c r="G44" s="3845"/>
    </row>
    <row r="45" spans="1:7" s="214" customFormat="1" ht="13.5" customHeight="1">
      <c r="A45" s="777" t="s">
        <v>341</v>
      </c>
      <c r="B45" s="244" t="s">
        <v>85</v>
      </c>
      <c r="C45" s="245">
        <f>C46</f>
        <v>10</v>
      </c>
      <c r="D45" s="235">
        <f>C47</f>
        <v>6.0000000000000001E-3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64</v>
      </c>
      <c r="D51" s="232"/>
      <c r="E51" s="232"/>
      <c r="F51" s="264"/>
      <c r="G51" s="234" t="s">
        <v>37</v>
      </c>
    </row>
    <row r="52" spans="1:7" s="208" customFormat="1" ht="16.8" thickBot="1">
      <c r="A52" s="265" t="s">
        <v>38</v>
      </c>
      <c r="B52" s="266"/>
      <c r="C52" s="267">
        <f ca="1">C31+C51</f>
        <v>31011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88" t="s">
        <v>2839</v>
      </c>
      <c r="B1" s="3988"/>
      <c r="C1" s="3988"/>
      <c r="D1" s="3988"/>
      <c r="E1" s="3988"/>
      <c r="F1" s="3988"/>
      <c r="G1" s="398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98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98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90" t="s">
        <v>3181</v>
      </c>
      <c r="B1" s="3990"/>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91" t="s">
        <v>3232</v>
      </c>
      <c r="B1" s="3991"/>
      <c r="C1" s="3991"/>
      <c r="D1" s="3991"/>
      <c r="E1" s="3991"/>
      <c r="F1" s="399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41424</v>
      </c>
      <c r="B1" s="3210" t="s">
        <v>3371</v>
      </c>
      <c r="C1" s="3211"/>
      <c r="D1" s="3211"/>
      <c r="E1" s="3211"/>
      <c r="F1" s="3211"/>
      <c r="G1" s="3211"/>
      <c r="H1" s="3211"/>
      <c r="I1" s="3211"/>
      <c r="J1" s="3165"/>
      <c r="K1" s="3211" t="s">
        <v>454</v>
      </c>
      <c r="L1" s="3211"/>
      <c r="M1" s="3211"/>
      <c r="N1" s="3211"/>
      <c r="O1" s="3211"/>
      <c r="P1" s="3211"/>
      <c r="Q1" s="3165"/>
      <c r="R1" s="3993" t="s">
        <v>456</v>
      </c>
      <c r="S1" s="3994"/>
      <c r="T1" s="3994"/>
      <c r="U1" s="3994"/>
      <c r="V1" s="3994"/>
      <c r="W1" s="3994"/>
      <c r="X1" s="3165"/>
      <c r="Y1" s="3993" t="s">
        <v>457</v>
      </c>
      <c r="Z1" s="3994"/>
      <c r="AA1" s="3994"/>
      <c r="AB1" s="3994"/>
      <c r="AC1" s="3994"/>
      <c r="AD1" s="3994"/>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93" t="s">
        <v>2827</v>
      </c>
      <c r="S24" s="3994"/>
      <c r="T24" s="3994"/>
      <c r="U24" s="3994"/>
      <c r="V24" s="3994"/>
      <c r="W24" s="3994"/>
      <c r="X24" s="3165"/>
      <c r="Y24" s="3993" t="s">
        <v>2828</v>
      </c>
      <c r="Z24" s="3994"/>
      <c r="AA24" s="3994"/>
      <c r="AB24" s="3994"/>
      <c r="AC24" s="3994"/>
      <c r="AD24" s="3994"/>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4000" t="s">
        <v>452</v>
      </c>
      <c r="C1" s="4000"/>
      <c r="D1" s="4000"/>
      <c r="E1" s="4000"/>
      <c r="F1" s="4000"/>
      <c r="G1" s="3999" t="s">
        <v>453</v>
      </c>
      <c r="H1" s="3999"/>
      <c r="I1" s="3999"/>
      <c r="J1" s="3999"/>
      <c r="K1" s="3999"/>
      <c r="L1" s="3999"/>
      <c r="N1" s="3999" t="s">
        <v>454</v>
      </c>
      <c r="O1" s="3999"/>
      <c r="P1" s="3999"/>
      <c r="Q1" s="3999"/>
      <c r="S1" s="3999" t="s">
        <v>455</v>
      </c>
      <c r="T1" s="3999"/>
      <c r="U1" s="3999"/>
      <c r="V1" s="3999"/>
      <c r="X1" s="3998" t="s">
        <v>456</v>
      </c>
      <c r="Y1" s="3999"/>
      <c r="Z1" s="3999"/>
      <c r="AA1" s="3999"/>
      <c r="AB1" s="3999"/>
      <c r="AD1" s="3998" t="s">
        <v>457</v>
      </c>
      <c r="AE1" s="3999"/>
      <c r="AF1" s="3999"/>
      <c r="AG1" s="3999"/>
      <c r="AH1" s="399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40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40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9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9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9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9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41424</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78" t="str">
        <f>IF(项目基本情况!B9="房地产市场价值","估价结果一览表","结果表-2")</f>
        <v>估价结果一览表</v>
      </c>
      <c r="B1" s="3678"/>
      <c r="C1" s="3678"/>
      <c r="D1" s="3678"/>
      <c r="E1" s="3678"/>
      <c r="F1" s="3678"/>
      <c r="G1" s="3678"/>
      <c r="H1" s="3678"/>
      <c r="I1" s="3678"/>
    </row>
    <row r="2" spans="1:9" ht="30" customHeight="1" thickTop="1">
      <c r="A2" s="3679" t="s">
        <v>928</v>
      </c>
      <c r="B2" s="3679" t="s">
        <v>929</v>
      </c>
      <c r="C2" s="3679" t="s">
        <v>930</v>
      </c>
      <c r="D2" s="3679" t="str">
        <f>结果表!D116</f>
        <v>出让国有建设用地使用权价值</v>
      </c>
      <c r="E2" s="3679"/>
      <c r="F2" s="3679" t="str">
        <f>结果表!F116</f>
        <v>在建建筑物价值</v>
      </c>
      <c r="G2" s="3679"/>
      <c r="H2" s="3679" t="str">
        <f>IF(项目基本情况!B9="房地产市场价值","房地产市场价值","房地产价值")</f>
        <v>房地产市场价值</v>
      </c>
      <c r="I2" s="3679"/>
    </row>
    <row r="3" spans="1:9" ht="15.6">
      <c r="A3" s="3674"/>
      <c r="B3" s="3674"/>
      <c r="C3" s="3674"/>
      <c r="D3" s="854" t="s">
        <v>925</v>
      </c>
      <c r="E3" s="854" t="s">
        <v>931</v>
      </c>
      <c r="F3" s="854" t="s">
        <v>925</v>
      </c>
      <c r="G3" s="854" t="s">
        <v>926</v>
      </c>
      <c r="H3" s="854" t="s">
        <v>925</v>
      </c>
      <c r="I3" s="854" t="s">
        <v>926</v>
      </c>
    </row>
    <row r="4" spans="1:9" ht="15">
      <c r="A4" s="1505" t="str">
        <f>项目基本情况!S2</f>
        <v>北京市房地产</v>
      </c>
      <c r="B4" s="854">
        <f>项目基本情况!C17</f>
        <v>103.29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74" t="s">
        <v>927</v>
      </c>
      <c r="B5" s="3674"/>
      <c r="C5" s="3674"/>
      <c r="D5" s="3674" t="e">
        <f ca="1">结果表!D119</f>
        <v>#REF!</v>
      </c>
      <c r="E5" s="3674"/>
      <c r="F5" s="3674" t="e">
        <f ca="1">结果表!F119</f>
        <v>#REF!</v>
      </c>
      <c r="G5" s="3674"/>
      <c r="H5" s="3674" t="e">
        <f ca="1">结果表!H119</f>
        <v>#REF!</v>
      </c>
      <c r="I5" s="3674"/>
    </row>
    <row r="6" spans="1:9" ht="15.6">
      <c r="A6" s="3673" t="str">
        <f>结果表!A120</f>
        <v/>
      </c>
      <c r="B6" s="3673"/>
      <c r="C6" s="3673"/>
      <c r="D6" s="3673">
        <f>结果表!D120</f>
        <v>0</v>
      </c>
      <c r="E6" s="3673"/>
      <c r="F6" s="3673"/>
      <c r="G6" s="3673"/>
      <c r="H6" s="3673"/>
      <c r="I6" s="3673"/>
    </row>
    <row r="7" spans="1:9" ht="15">
      <c r="A7" s="3674" t="s">
        <v>927</v>
      </c>
      <c r="B7" s="3674"/>
      <c r="C7" s="3674"/>
      <c r="D7" s="3675" t="str">
        <f>结果表!D121</f>
        <v>零元整</v>
      </c>
      <c r="E7" s="3676"/>
      <c r="F7" s="3676"/>
      <c r="G7" s="3676"/>
      <c r="H7" s="3676"/>
      <c r="I7" s="3677"/>
    </row>
    <row r="8" spans="1:9" ht="15.6">
      <c r="A8" s="3673" t="str">
        <f>结果表!A122</f>
        <v/>
      </c>
      <c r="B8" s="3673"/>
      <c r="C8" s="3673"/>
      <c r="D8" s="3673" t="e">
        <f ca="1">结果表!D122</f>
        <v>#REF!</v>
      </c>
      <c r="E8" s="3673"/>
      <c r="F8" s="3673"/>
      <c r="G8" s="3673"/>
      <c r="H8" s="3673"/>
      <c r="I8" s="3673"/>
    </row>
    <row r="9" spans="1:9" ht="15">
      <c r="A9" s="3674" t="s">
        <v>927</v>
      </c>
      <c r="B9" s="3674"/>
      <c r="C9" s="3674"/>
      <c r="D9" s="3674" t="e">
        <f ca="1">结果表!D123</f>
        <v>#REF!</v>
      </c>
      <c r="E9" s="3674"/>
      <c r="F9" s="3674"/>
      <c r="G9" s="3674"/>
      <c r="H9" s="3674"/>
      <c r="I9" s="3674"/>
    </row>
    <row r="10" spans="1:9" ht="15.6">
      <c r="A10" s="3673" t="str">
        <f>结果表!A124</f>
        <v/>
      </c>
      <c r="B10" s="3673"/>
      <c r="C10" s="3673"/>
      <c r="D10" s="3673" t="str">
        <f>结果表!D124</f>
        <v>——</v>
      </c>
      <c r="E10" s="3673"/>
      <c r="F10" s="3673"/>
      <c r="G10" s="3673"/>
      <c r="H10" s="3673"/>
      <c r="I10" s="3673"/>
    </row>
    <row r="11" spans="1:9" ht="15">
      <c r="A11" s="3674" t="s">
        <v>927</v>
      </c>
      <c r="B11" s="3674"/>
      <c r="C11" s="3674"/>
      <c r="D11" s="3674" t="e">
        <f>结果表!D125</f>
        <v>#VALUE!</v>
      </c>
      <c r="E11" s="3674"/>
      <c r="F11" s="3674"/>
      <c r="G11" s="3674"/>
      <c r="H11" s="3674"/>
      <c r="I11" s="3674"/>
    </row>
    <row r="12" spans="1:9" ht="15.6">
      <c r="A12" s="3673" t="str">
        <f>结果表!A126</f>
        <v/>
      </c>
      <c r="B12" s="3673"/>
      <c r="C12" s="3673"/>
      <c r="D12" s="3673" t="str">
        <f>结果表!D126</f>
        <v>——</v>
      </c>
      <c r="E12" s="3673"/>
      <c r="F12" s="3673"/>
      <c r="G12" s="3673"/>
      <c r="H12" s="3673"/>
      <c r="I12" s="3673"/>
    </row>
    <row r="13" spans="1:9" ht="15.6" thickBot="1">
      <c r="A13" s="3671" t="s">
        <v>927</v>
      </c>
      <c r="B13" s="3671"/>
      <c r="C13" s="3671"/>
      <c r="D13" s="3671" t="e">
        <f>结果表!D127</f>
        <v>#VALUE!</v>
      </c>
      <c r="E13" s="3671"/>
      <c r="F13" s="3671"/>
      <c r="G13" s="3671"/>
      <c r="H13" s="3671"/>
      <c r="I13" s="3671"/>
    </row>
    <row r="14" spans="1:9" ht="14.4" thickTop="1">
      <c r="A14" s="3672" t="s">
        <v>932</v>
      </c>
      <c r="B14" s="3672"/>
      <c r="C14" s="3672"/>
      <c r="D14" s="3672"/>
      <c r="E14" s="3672"/>
      <c r="F14" s="3672"/>
      <c r="G14" s="3672"/>
      <c r="H14" s="3672"/>
      <c r="I14" s="367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86" t="s">
        <v>949</v>
      </c>
      <c r="B1" s="3686"/>
      <c r="C1" s="3686"/>
      <c r="D1" s="3686"/>
    </row>
    <row r="2" spans="1:4" ht="17.399999999999999">
      <c r="A2" s="3687" t="s">
        <v>933</v>
      </c>
      <c r="B2" s="3687"/>
      <c r="C2" s="3687"/>
      <c r="D2" s="368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87" t="s">
        <v>939</v>
      </c>
      <c r="B6" s="3687"/>
      <c r="C6" s="3687"/>
      <c r="D6" s="368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88" t="s">
        <v>942</v>
      </c>
      <c r="B11" s="3680"/>
      <c r="C11" s="3680"/>
      <c r="D11" s="3680"/>
    </row>
    <row r="12" spans="1:4" ht="15.6">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5"/>
      <c r="C12" s="3685"/>
      <c r="D12" s="3685"/>
    </row>
    <row r="13" spans="1:4" ht="30" customHeight="1">
      <c r="A13" s="3680" t="str">
        <f>IF(项目基本情况!B8="抵押","3.抵押双方在办理抵押登记手续时，应使用本公司出具的正式《房地产评估报告》，特提醒报告使用者注意。","——")</f>
        <v>——</v>
      </c>
      <c r="B13" s="3685"/>
      <c r="C13" s="3685"/>
      <c r="D13" s="3685"/>
    </row>
    <row r="14" spans="1:4" ht="15.75" customHeight="1">
      <c r="A14" s="3680" t="str">
        <f>IF(项目基本情况!B8="抵押","4.本次评估估价师所知悉的法定优先受偿款情况说明如下：","——")</f>
        <v>——</v>
      </c>
      <c r="B14" s="3685"/>
      <c r="C14" s="3685"/>
      <c r="D14" s="3685"/>
    </row>
    <row r="15" spans="1:4" ht="42" customHeight="1">
      <c r="A15" s="3680" t="str">
        <f>IF(项目基本情况!B8="抵押","（1）"&amp;CONCATENATE(项目基本情况!L20,项目基本情况!L21,项目基本情况!L22),"——")</f>
        <v>——</v>
      </c>
      <c r="B15" s="3680"/>
      <c r="C15" s="3680"/>
      <c r="D15" s="3680"/>
    </row>
    <row r="16" spans="1:4" ht="30" customHeight="1">
      <c r="A16" s="3682" t="s">
        <v>943</v>
      </c>
      <c r="B16" s="3682"/>
      <c r="C16" s="3682"/>
      <c r="D16" s="3682"/>
    </row>
    <row r="17" spans="1:4" ht="144" customHeight="1">
      <c r="A17" s="3682" t="s">
        <v>944</v>
      </c>
      <c r="B17" s="3682"/>
      <c r="C17" s="3682"/>
      <c r="D17" s="3682"/>
    </row>
    <row r="18" spans="1:4" ht="15.75" customHeight="1">
      <c r="A18" s="3680" t="str">
        <f>IF(项目基本情况!B8="抵押",结果表!K120,"——")</f>
        <v>——</v>
      </c>
      <c r="B18" s="3680"/>
      <c r="C18" s="3680"/>
      <c r="D18" s="3680"/>
    </row>
    <row r="19" spans="1:4" ht="46.5" customHeight="1">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spans="1:4" ht="57.75" customHeight="1">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spans="1:4" ht="57.75" customHeight="1">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spans="1:4" ht="18.75" customHeight="1">
      <c r="A22" s="3684" t="s">
        <v>945</v>
      </c>
      <c r="B22" s="3684"/>
      <c r="C22" s="3684"/>
      <c r="D22" s="368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81">
        <v>42551</v>
      </c>
      <c r="D31" s="36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94" t="s">
        <v>956</v>
      </c>
      <c r="B15" s="3689" t="s">
        <v>109</v>
      </c>
      <c r="C15" s="3690"/>
    </row>
    <row r="16" spans="1:7" ht="14.4">
      <c r="A16" s="3695"/>
      <c r="B16" s="3689" t="s">
        <v>42</v>
      </c>
      <c r="C16" s="3690"/>
    </row>
    <row r="17" spans="1:3" ht="14.4">
      <c r="A17" s="3695"/>
      <c r="B17" s="3692" t="s">
        <v>957</v>
      </c>
      <c r="C17" s="1532" t="s">
        <v>956</v>
      </c>
    </row>
    <row r="18" spans="1:3" ht="14.4">
      <c r="A18" s="3695"/>
      <c r="B18" s="3692"/>
      <c r="C18" s="1532" t="s">
        <v>958</v>
      </c>
    </row>
    <row r="19" spans="1:3" ht="14.4">
      <c r="A19" s="3695"/>
      <c r="B19" s="3692"/>
      <c r="C19" s="1532" t="s">
        <v>959</v>
      </c>
    </row>
    <row r="20" spans="1:3" ht="14.4">
      <c r="A20" s="3696"/>
      <c r="B20" s="3691" t="s">
        <v>960</v>
      </c>
      <c r="C20" s="3690"/>
    </row>
    <row r="21" spans="1:3" ht="14.4">
      <c r="A21" s="1533" t="s">
        <v>961</v>
      </c>
      <c r="B21" s="1534"/>
      <c r="C21" s="1535"/>
    </row>
    <row r="22" spans="1:3" ht="14.4">
      <c r="A22" s="3693" t="s">
        <v>962</v>
      </c>
      <c r="B22" s="3691" t="s">
        <v>963</v>
      </c>
      <c r="C22" s="3690"/>
    </row>
    <row r="23" spans="1:3" ht="14.4">
      <c r="A23" s="3693"/>
      <c r="B23" s="3691" t="s">
        <v>964</v>
      </c>
      <c r="C23" s="3690"/>
    </row>
    <row r="24" spans="1:3" ht="14.4">
      <c r="A24" s="3693"/>
      <c r="B24" s="3691" t="s">
        <v>965</v>
      </c>
      <c r="C24" s="3690"/>
    </row>
    <row r="25" spans="1:3" ht="14.4">
      <c r="A25" s="3693"/>
      <c r="B25" s="3692" t="s">
        <v>966</v>
      </c>
      <c r="C25" s="1532" t="s">
        <v>967</v>
      </c>
    </row>
    <row r="26" spans="1:3" ht="14.4">
      <c r="A26" s="3693"/>
      <c r="B26" s="3692"/>
      <c r="C26" s="1532" t="s">
        <v>968</v>
      </c>
    </row>
    <row r="27" spans="1:3" ht="14.4">
      <c r="A27" s="3693"/>
      <c r="B27" s="3692"/>
      <c r="C27" s="1532" t="s">
        <v>969</v>
      </c>
    </row>
    <row r="28" spans="1:3" ht="14.4">
      <c r="A28" s="3693"/>
      <c r="B28" s="3692"/>
      <c r="C28" s="1532" t="s">
        <v>970</v>
      </c>
    </row>
    <row r="29" spans="1:3" ht="14.4">
      <c r="A29" s="3693"/>
      <c r="B29" s="3692"/>
      <c r="C29" s="1532" t="s">
        <v>971</v>
      </c>
    </row>
    <row r="30" spans="1:3" ht="14.4">
      <c r="A30" s="3693"/>
      <c r="B30" s="3692"/>
      <c r="C30" s="1532" t="s">
        <v>972</v>
      </c>
    </row>
    <row r="31" spans="1:3" ht="14.4">
      <c r="A31" s="3693"/>
      <c r="B31" s="3692"/>
      <c r="C31" s="1532" t="s">
        <v>973</v>
      </c>
    </row>
    <row r="32" spans="1:3" ht="14.4">
      <c r="A32" s="3693"/>
      <c r="B32" s="3692"/>
      <c r="C32" s="1532" t="s">
        <v>974</v>
      </c>
    </row>
    <row r="33" spans="1:3" ht="14.4">
      <c r="A33" s="3693"/>
      <c r="B33" s="369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46010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97" t="s">
        <v>2159</v>
      </c>
      <c r="B17" s="3697"/>
      <c r="C17" s="3697"/>
      <c r="D17" s="3697"/>
      <c r="E17" s="3697"/>
      <c r="F17" s="3697"/>
      <c r="G17" s="3697"/>
      <c r="H17" s="3697"/>
    </row>
    <row r="18" spans="1:8" ht="24" customHeight="1">
      <c r="A18" s="3698" t="s">
        <v>2160</v>
      </c>
      <c r="B18" s="3698"/>
      <c r="C18" s="3698"/>
      <c r="D18" s="2343"/>
      <c r="E18" s="3699" t="s">
        <v>2161</v>
      </c>
      <c r="F18" s="3698"/>
      <c r="G18" s="36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上龙西里（蝴蝶）</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2025-12-19T11:11:45Z</dcterms:modified>
</cp:coreProperties>
</file>