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北京市顺义区仓上小区5号楼一单元602号\测算\"/>
    </mc:Choice>
  </mc:AlternateContent>
  <bookViews>
    <workbookView xWindow="0" yWindow="0" windowWidth="7860" windowHeight="13368"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7" i="21"/>
  <c r="G7" i="21"/>
  <c r="E7" i="21"/>
  <c r="I5" i="21"/>
  <c r="G5" i="21"/>
  <c r="E5" i="21"/>
  <c r="N18" i="1"/>
  <c r="H13" i="3"/>
  <c r="G13" i="3"/>
  <c r="G5" i="3"/>
  <c r="B3" i="3"/>
  <c r="A3" i="3"/>
  <c r="C6" i="69"/>
  <c r="E90" i="21"/>
  <c r="F90" i="21"/>
  <c r="D90"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H5" i="52"/>
  <c r="H119" i="9"/>
  <c r="B53" i="72"/>
  <c r="F5" i="52"/>
  <c r="F119" i="9"/>
  <c r="B48" i="72"/>
  <c r="E4" i="52"/>
  <c r="B32" i="72"/>
  <c r="D14" i="53"/>
  <c r="C73" i="9"/>
  <c r="C78" i="9"/>
  <c r="B20" i="72"/>
  <c r="M55" i="9"/>
  <c r="D59" i="9"/>
  <c r="E97" i="9"/>
  <c r="E96" i="9"/>
  <c r="C96" i="9"/>
  <c r="I4" i="52"/>
  <c r="C105" i="9"/>
  <c r="C85" i="9"/>
  <c r="C95" i="9"/>
  <c r="C97" i="9"/>
  <c r="D58" i="9"/>
  <c r="D56" i="9"/>
  <c r="M54" i="9"/>
  <c r="B52" i="72"/>
  <c r="G4" i="52"/>
  <c r="N61" i="9"/>
  <c r="N59" i="9"/>
  <c r="N60" i="9"/>
  <c r="D9" i="52"/>
  <c r="D123" i="9"/>
  <c r="P57" i="9"/>
  <c r="D55" i="9"/>
  <c r="M53" i="9"/>
  <c r="N57" i="9"/>
  <c r="N58" i="9"/>
  <c r="C104" i="9"/>
  <c r="H4" i="52"/>
  <c r="B47" i="72"/>
  <c r="D4" i="52"/>
  <c r="C81" i="9"/>
  <c r="M48" i="9"/>
  <c r="C86" i="9"/>
  <c r="C93" i="9"/>
  <c r="E118" i="9"/>
  <c r="D118" i="9"/>
  <c r="D119" i="9"/>
  <c r="D5" i="52"/>
  <c r="B49" i="72"/>
  <c r="D122" i="9"/>
  <c r="D8" i="52"/>
  <c r="D5" i="53"/>
  <c r="D6" i="53"/>
  <c r="B22" i="72"/>
  <c r="G118" i="9"/>
  <c r="F118" i="9"/>
  <c r="F4" i="52"/>
  <c r="B51" i="72"/>
  <c r="C64" i="9"/>
  <c r="C63" i="9"/>
  <c r="C67" i="9"/>
  <c r="C68" i="9"/>
  <c r="D54" i="9"/>
  <c r="D7" i="53"/>
  <c r="B21" i="72"/>
  <c r="C6" i="74"/>
  <c r="C72" i="9"/>
  <c r="C79" i="9"/>
  <c r="C80" i="9"/>
  <c r="E80" i="9"/>
  <c r="E81" i="9"/>
  <c r="H108" i="9"/>
  <c r="D15" i="53"/>
  <c r="B31" i="72"/>
  <c r="H107" i="9"/>
  <c r="D13" i="53"/>
  <c r="B30" i="72"/>
  <c r="D52" i="9"/>
  <c r="H101" i="9"/>
  <c r="D45" i="9"/>
  <c r="D53" i="9"/>
  <c r="H118" i="9"/>
  <c r="I118" i="9"/>
  <c r="H102" i="9"/>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P2" authorId="0" shapeId="0">
      <text>
        <r>
          <rPr>
            <b/>
            <sz val="9"/>
            <color indexed="81"/>
            <rFont val="宋体"/>
            <family val="3"/>
            <charset val="134"/>
          </rPr>
          <t>填写交易证明的类型，分为商品房合同、预售契约、买卖契约、认购书。</t>
        </r>
      </text>
    </comment>
    <comment ref="Q2" authorId="0" shapeId="0">
      <text>
        <r>
          <rPr>
            <b/>
            <sz val="9"/>
            <color indexed="81"/>
            <rFont val="宋体"/>
            <family val="3"/>
            <charset val="134"/>
          </rPr>
          <t>此项填写合同日期，无合同日期填写预售登记日期，均无则在备注中注明</t>
        </r>
      </text>
    </comment>
    <comment ref="R2" authorId="0" shapeId="0">
      <text>
        <r>
          <rPr>
            <b/>
            <sz val="9"/>
            <color indexed="81"/>
            <rFont val="宋体"/>
            <family val="3"/>
            <charset val="134"/>
          </rPr>
          <t>在补充过程中发现合同遗漏的项目，不能正常补充的需注明。</t>
        </r>
      </text>
    </comment>
    <comment ref="V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<sst xmlns="http://schemas.openxmlformats.org/spreadsheetml/2006/main" count="8915" uniqueCount="3772">
  <si>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</si>
  <si>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</si>
  <si>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</si>
  <si>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</si>
  <si>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</si>
  <si>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</si>
  <si>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</si>
  <si>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</si>
  <si>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</si>
  <si>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</si>
  <si>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</si>
  <si>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</si>
  <si>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</si>
  <si>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</si>
  <si>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</si>
  <si>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</si>
  <si>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</si>
  <si>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</si>
  <si>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</si>
  <si>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</si>
  <si>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</si>
  <si>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</si>
  <si>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</si>
  <si>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</si>
  <si>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</si>
  <si>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</si>
  <si>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</si>
  <si>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</si>
  <si>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</si>
  <si>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</si>
  <si>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</si>
  <si>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</si>
  <si>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</si>
  <si>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</si>
  <si>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</si>
  <si>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</si>
  <si>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</si>
  <si>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</si>
  <si>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</si>
  <si>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</si>
  <si>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</si>
  <si>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</si>
  <si>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</si>
  <si>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</si>
  <si>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</si>
  <si>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</si>
  <si>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</si>
  <si>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</si>
  <si>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</si>
  <si>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</si>
  <si>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</si>
  <si>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</si>
  <si>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</si>
  <si>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</si>
  <si>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</si>
  <si>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</si>
  <si>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</si>
  <si>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</si>
  <si>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</si>
  <si>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</si>
  <si>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</si>
  <si>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</si>
  <si>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</si>
  <si>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</si>
  <si>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</si>
  <si>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</si>
  <si>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</si>
  <si>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</si>
  <si>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</si>
  <si>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</si>
  <si>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</si>
  <si>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</si>
  <si>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</si>
  <si>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</si>
  <si>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</si>
  <si>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</si>
  <si>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</si>
  <si>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</si>
  <si>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</si>
  <si>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</si>
  <si>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</si>
  <si>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</si>
  <si>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</si>
  <si>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</si>
  <si>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</si>
  <si>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</si>
  <si>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</si>
  <si>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</si>
  <si>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</si>
  <si>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</si>
  <si>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</si>
  <si>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</si>
  <si>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</si>
  <si>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</si>
  <si>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</si>
  <si>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</si>
  <si>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</si>
  <si>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</si>
  <si>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</si>
  <si>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</si>
  <si>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</si>
  <si>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</si>
  <si>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</si>
  <si>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</si>
  <si>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</si>
  <si>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</si>
  <si>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</si>
  <si>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</si>
  <si>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</si>
  <si>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</si>
  <si>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</si>
  <si>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</si>
  <si>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</si>
  <si>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</si>
  <si>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</si>
  <si>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</si>
  <si>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</si>
  <si>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</si>
  <si>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</si>
  <si>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</si>
  <si>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</si>
  <si>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</si>
  <si>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</si>
  <si>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</si>
  <si>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</si>
  <si>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</si>
  <si>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</si>
  <si>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</si>
  <si>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</si>
  <si>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</si>
  <si>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</si>
  <si>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</si>
  <si>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</si>
  <si>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</si>
  <si>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</si>
  <si>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</si>
  <si>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</si>
  <si>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</si>
  <si>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</si>
  <si>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</si>
  <si>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</si>
  <si>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</si>
  <si>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</si>
  <si>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</si>
  <si>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</si>
  <si>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</si>
  <si>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</si>
  <si>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</si>
  <si>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</si>
  <si>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</si>
  <si>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</si>
  <si>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</si>
  <si>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</si>
  <si>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</si>
  <si>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</si>
  <si>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</si>
  <si>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</si>
  <si>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</si>
  <si>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</si>
  <si>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</si>
  <si>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</si>
  <si>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</si>
  <si>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</si>
  <si>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</si>
  <si>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</si>
  <si>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</si>
  <si>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</si>
  <si>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</si>
  <si>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</si>
  <si>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</si>
  <si>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</si>
  <si>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</si>
  <si>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</si>
  <si>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</si>
  <si>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</si>
  <si>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</si>
  <si>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</si>
  <si>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</si>
  <si>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</si>
  <si>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</si>
  <si>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</si>
  <si>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</si>
  <si>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</si>
  <si>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</si>
  <si>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</si>
  <si>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</si>
  <si>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</si>
  <si>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</si>
  <si>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</si>
  <si>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</si>
  <si>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</si>
  <si>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</si>
  <si>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</si>
  <si>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</si>
  <si>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</si>
  <si>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</si>
  <si>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</si>
  <si>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</si>
  <si>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</si>
  <si>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</si>
  <si>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</si>
  <si>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</si>
  <si>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</si>
  <si>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</si>
  <si>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</si>
  <si>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</si>
  <si>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</si>
  <si>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</si>
  <si>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</si>
  <si>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</si>
  <si>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</si>
  <si>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</si>
  <si>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</si>
  <si>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</si>
  <si>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</si>
  <si>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</si>
  <si>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</si>
  <si>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</si>
  <si>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</si>
  <si>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</si>
  <si>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</si>
  <si>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</si>
  <si>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</si>
  <si>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</si>
  <si>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</si>
  <si>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</si>
  <si>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</si>
  <si>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</si>
  <si>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</si>
  <si>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</si>
  <si>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</si>
  <si>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</si>
  <si>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</si>
  <si>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</si>
  <si>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</si>
  <si>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</si>
  <si>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</si>
  <si>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</si>
  <si>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</si>
  <si>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</si>
  <si>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</si>
  <si>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</si>
  <si>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</si>
  <si>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</si>
  <si>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</si>
  <si>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</si>
  <si>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</si>
  <si>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</si>
  <si>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</si>
  <si>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</si>
  <si>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</si>
  <si>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</si>
  <si>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</si>
  <si>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</si>
  <si>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</si>
  <si>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</si>
  <si>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</si>
  <si>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</si>
  <si>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</si>
  <si>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</si>
  <si>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</si>
  <si>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</si>
  <si>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</si>
  <si>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</si>
  <si>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</si>
  <si>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</si>
  <si>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</si>
  <si>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</si>
  <si>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</si>
  <si>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</si>
  <si>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</si>
  <si>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</si>
  <si>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</si>
  <si>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</si>
  <si>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</si>
  <si>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</si>
  <si>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</si>
  <si>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</si>
  <si>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</si>
  <si>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</si>
  <si>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</si>
  <si>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</si>
  <si>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</si>
  <si>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</si>
  <si>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</si>
  <si>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</si>
  <si>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</si>
  <si>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</si>
  <si>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</si>
  <si>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</si>
  <si>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</si>
  <si>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</si>
  <si>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</si>
  <si>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</si>
  <si>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</si>
  <si>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</si>
  <si>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</si>
  <si>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</si>
  <si>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</si>
  <si>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</si>
  <si>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</si>
  <si>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</si>
  <si>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</si>
  <si>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</si>
  <si>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</si>
  <si>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</si>
  <si>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</si>
  <si>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</si>
  <si>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</si>
  <si>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</si>
  <si>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</si>
  <si>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</si>
  <si>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</si>
  <si>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</si>
  <si>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</si>
  <si>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</si>
  <si>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</si>
  <si>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</si>
  <si>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</si>
  <si>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</si>
  <si>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</si>
  <si>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</si>
  <si>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</si>
  <si>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</si>
  <si>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</si>
  <si>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</si>
  <si>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</si>
  <si>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</si>
  <si>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</si>
  <si>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</si>
  <si>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</si>
  <si>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</si>
  <si>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</si>
  <si>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</si>
  <si>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</si>
  <si>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</si>
  <si>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</si>
  <si>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</si>
  <si>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</si>
  <si>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</si>
  <si>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</si>
  <si>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</si>
  <si>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</si>
  <si>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</si>
  <si>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</si>
  <si>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</si>
  <si>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</si>
  <si>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</si>
  <si>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</si>
  <si>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</si>
  <si>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</si>
  <si>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</si>
  <si>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</si>
  <si>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</si>
  <si>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</si>
  <si>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</si>
  <si>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</si>
  <si>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</si>
  <si>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</si>
  <si>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</si>
  <si>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</si>
  <si>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</si>
  <si>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</si>
  <si>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</si>
  <si>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</si>
  <si>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</si>
  <si>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</si>
  <si>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</si>
  <si>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</si>
  <si>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</si>
  <si>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</si>
  <si>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</si>
  <si>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</si>
  <si>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</si>
  <si>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</si>
  <si>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</si>
  <si>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</si>
  <si>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</si>
  <si>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</si>
  <si>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</si>
  <si>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</si>
  <si>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</si>
  <si>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</si>
  <si>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</si>
  <si>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</si>
  <si>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</si>
  <si>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</si>
  <si>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</si>
  <si>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</si>
  <si>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</si>
  <si>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</si>
  <si>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</si>
  <si>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</si>
  <si>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</si>
  <si>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</si>
  <si>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</si>
  <si>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</si>
  <si>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</si>
  <si>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</si>
  <si>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</si>
  <si>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</si>
  <si>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</si>
  <si>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</si>
  <si>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</si>
  <si>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</si>
  <si>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</si>
  <si>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</si>
  <si>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</si>
  <si>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</si>
  <si>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</si>
  <si>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</si>
  <si>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</si>
  <si>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</si>
  <si>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</si>
  <si>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</si>
  <si>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</si>
  <si>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</si>
  <si>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</si>
  <si>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</si>
  <si>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</si>
  <si>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</si>
  <si>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</si>
  <si>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</si>
  <si>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</si>
  <si>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</si>
  <si>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</si>
  <si>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</si>
  <si>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</si>
  <si>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</si>
  <si>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</si>
  <si>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</si>
  <si>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</si>
  <si>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</si>
  <si>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</si>
  <si>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</si>
  <si>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</si>
  <si>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</si>
  <si>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</si>
  <si>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</si>
  <si>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</si>
  <si>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</si>
  <si>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</si>
  <si>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</si>
  <si>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</si>
  <si>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</si>
  <si>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</si>
  <si>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</si>
  <si>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</si>
  <si>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</si>
  <si>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</si>
  <si>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</si>
  <si>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</si>
  <si>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</si>
  <si>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</si>
  <si>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</si>
  <si>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</si>
  <si>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</si>
  <si>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</si>
  <si>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</si>
  <si>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</si>
  <si>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</si>
  <si>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</si>
  <si>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</si>
  <si>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</si>
  <si>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</si>
  <si>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</si>
  <si>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</si>
  <si>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</si>
  <si>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</si>
  <si>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</si>
  <si>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</si>
  <si>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</si>
  <si>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</si>
  <si>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</si>
  <si>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</si>
  <si>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</si>
  <si>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</si>
  <si>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</si>
  <si>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</si>
  <si>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</si>
  <si>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</si>
  <si>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</si>
  <si>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</si>
  <si>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</si>
  <si>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</si>
  <si>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</si>
  <si>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</si>
  <si>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</si>
  <si>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</si>
  <si>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</si>
  <si>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</si>
  <si>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</si>
  <si>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</si>
  <si>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</si>
  <si>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</si>
  <si>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</si>
  <si>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</si>
  <si>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</si>
  <si>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</si>
  <si>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</si>
  <si>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</si>
  <si>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</si>
  <si>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</si>
  <si>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</si>
  <si>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</si>
  <si>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</si>
  <si>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</si>
  <si>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</si>
  <si>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</si>
  <si>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</si>
  <si>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</si>
  <si>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</si>
  <si>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</si>
  <si>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</si>
  <si>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</si>
  <si>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</si>
  <si>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</si>
  <si>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</si>
  <si>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</si>
  <si>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</si>
  <si>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</si>
  <si>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</si>
  <si>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</si>
  <si>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</si>
  <si>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</si>
  <si>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</si>
  <si>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</si>
  <si>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</si>
  <si>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</si>
  <si>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</si>
  <si>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</si>
  <si>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</si>
  <si>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</si>
  <si>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</si>
  <si>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</si>
  <si>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</si>
  <si>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</si>
  <si>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</si>
  <si>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</si>
  <si>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</si>
  <si>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</si>
  <si>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</si>
  <si>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</si>
  <si>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</si>
  <si>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</si>
  <si>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</si>
  <si>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</si>
  <si>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</si>
  <si>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</si>
  <si>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</si>
  <si>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</si>
  <si>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</si>
  <si>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</si>
  <si>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</si>
  <si>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</si>
  <si>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</si>
  <si>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</si>
  <si>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</si>
  <si>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</si>
  <si>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</si>
  <si>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</si>
  <si>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</si>
  <si>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</si>
  <si>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</si>
  <si>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</si>
  <si>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</si>
  <si>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</si>
  <si>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</si>
  <si>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</si>
  <si>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</si>
  <si>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</si>
  <si>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</si>
  <si>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</si>
  <si>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</si>
  <si>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</si>
  <si>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</si>
  <si>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</si>
  <si>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</si>
  <si>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</si>
  <si>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</si>
  <si>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</si>
  <si>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</si>
  <si>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</si>
  <si>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</si>
  <si>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</si>
  <si>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</si>
  <si>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</si>
  <si>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</si>
  <si>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</si>
  <si>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</si>
  <si>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</si>
  <si>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</si>
  <si>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</si>
  <si>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</si>
  <si>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</si>
  <si>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</si>
  <si>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</si>
  <si>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</si>
  <si>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</si>
  <si>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</si>
  <si>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</si>
  <si>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</si>
  <si>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</si>
  <si>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</si>
  <si>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</si>
  <si>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</si>
  <si>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</si>
  <si>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</si>
  <si>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</si>
  <si>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</si>
  <si>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</si>
  <si>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</si>
  <si>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</si>
  <si>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</si>
  <si>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</si>
  <si>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</si>
  <si>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</si>
  <si>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</si>
  <si>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</si>
  <si>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</si>
  <si>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</si>
  <si>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</si>
  <si>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</si>
  <si>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</si>
  <si>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</si>
  <si>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</si>
  <si>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</si>
  <si>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</si>
  <si>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</si>
  <si>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</si>
  <si>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</si>
  <si>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</si>
  <si>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</si>
  <si>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</si>
  <si>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</si>
  <si>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</si>
  <si>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</si>
  <si>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</si>
  <si>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</si>
  <si>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</si>
  <si>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</si>
  <si>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</si>
  <si>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</si>
  <si>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</si>
  <si>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</si>
  <si>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</si>
  <si>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</si>
  <si>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</si>
  <si>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</si>
  <si>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</si>
  <si>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</si>
  <si>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</si>
  <si>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</si>
  <si>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</si>
  <si>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</si>
  <si>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</si>
  <si>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</si>
  <si>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</si>
  <si>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</si>
  <si>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</si>
  <si>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</si>
  <si>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</si>
  <si>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</si>
  <si>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</si>
  <si>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</si>
  <si>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</si>
  <si>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</si>
  <si>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</si>
  <si>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</si>
  <si>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</si>
  <si>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</si>
  <si>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</si>
  <si>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</si>
  <si>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</si>
  <si>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</si>
  <si>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</si>
  <si>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</si>
  <si>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</si>
  <si>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</si>
  <si>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</si>
  <si>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</si>
  <si>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</si>
  <si>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</si>
  <si>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</si>
  <si>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</si>
  <si>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</si>
  <si>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</si>
  <si>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</si>
  <si>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</si>
  <si>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</si>
  <si>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</si>
  <si>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</si>
  <si>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</si>
  <si>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</si>
  <si>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</si>
  <si>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</si>
  <si>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</si>
  <si>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</si>
  <si>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</si>
  <si>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</si>
  <si>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</si>
  <si>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</si>
  <si>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</si>
  <si>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</si>
  <si>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</si>
  <si>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</si>
  <si>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</si>
  <si>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</si>
  <si>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</si>
  <si>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</si>
  <si>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</si>
  <si>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</si>
  <si>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</si>
  <si>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</si>
  <si>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</si>
  <si>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</si>
  <si>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</si>
  <si>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</si>
  <si>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</si>
  <si>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</si>
  <si>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</si>
  <si>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</si>
  <si>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</si>
  <si>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</si>
  <si>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</si>
  <si>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</si>
  <si>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</si>
  <si>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</si>
  <si>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</si>
  <si>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</si>
  <si>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</si>
  <si>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</si>
  <si>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</si>
  <si>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</si>
  <si>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</si>
  <si>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</si>
  <si>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</si>
  <si>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</si>
  <si>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</si>
  <si>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</si>
  <si>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</si>
  <si>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</si>
  <si>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</si>
  <si>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</si>
  <si>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</si>
  <si>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</si>
  <si>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</si>
  <si>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</si>
  <si>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</si>
  <si>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</si>
  <si>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</si>
  <si>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</si>
  <si>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</si>
  <si>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</si>
  <si>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</si>
  <si>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</si>
  <si>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</si>
  <si>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</si>
  <si>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</si>
  <si>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</si>
  <si>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</si>
  <si>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</si>
  <si>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</si>
  <si>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</si>
  <si>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</si>
  <si>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</si>
  <si>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</si>
  <si>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</si>
  <si>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</si>
  <si>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</si>
  <si>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</si>
  <si>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</si>
  <si>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</si>
  <si>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</si>
  <si>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</si>
  <si>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</si>
  <si>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</si>
  <si>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</si>
  <si>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</si>
  <si>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</si>
  <si>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</si>
  <si>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</si>
  <si>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</si>
  <si>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</si>
  <si>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</si>
  <si>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</si>
  <si>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</si>
  <si>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</si>
  <si>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</si>
  <si>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</si>
  <si>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</si>
  <si>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</si>
  <si>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</si>
  <si>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</si>
  <si>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</si>
  <si>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</si>
  <si>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</si>
  <si>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</si>
  <si>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</si>
  <si>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</si>
  <si>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</si>
  <si>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</si>
  <si>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</si>
  <si>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</si>
  <si>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</si>
  <si>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</si>
  <si>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</si>
  <si>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</si>
  <si>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</si>
  <si>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</si>
  <si>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</si>
  <si>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</si>
  <si>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</si>
  <si>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</si>
  <si>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</si>
  <si>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</si>
  <si>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</si>
  <si>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</si>
  <si>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</si>
  <si>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</si>
  <si>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</si>
  <si>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</si>
  <si>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</si>
  <si>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</si>
  <si>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</si>
  <si>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</si>
  <si>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</si>
  <si>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</si>
  <si>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</si>
  <si>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</si>
  <si>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</si>
  <si>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</si>
  <si>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</si>
  <si>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</si>
  <si>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</si>
  <si>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</si>
  <si>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</si>
  <si>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</si>
  <si>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</si>
  <si>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</si>
  <si>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</si>
  <si>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</si>
  <si>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</si>
  <si>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</si>
  <si>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</si>
  <si>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</si>
  <si>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</si>
  <si>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</si>
  <si>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</si>
  <si>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</si>
  <si>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</si>
  <si>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</si>
  <si>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</si>
  <si>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</si>
  <si>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</si>
  <si>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</si>
  <si>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</si>
  <si>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</si>
  <si>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</si>
  <si>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</si>
  <si>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</si>
  <si>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</si>
  <si>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</si>
  <si>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</si>
  <si>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</si>
  <si>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</si>
  <si>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</si>
  <si>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</si>
  <si>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</si>
  <si>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</si>
  <si>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</si>
  <si>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</si>
  <si>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</si>
  <si>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</si>
  <si>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</si>
  <si>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</si>
  <si>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</si>
  <si>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</si>
  <si>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</si>
  <si>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</si>
  <si>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</si>
  <si>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</si>
  <si>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</si>
  <si>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</si>
  <si>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</si>
  <si>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</si>
  <si>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</si>
  <si>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</si>
  <si>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</si>
  <si>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</si>
  <si>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</si>
  <si>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</si>
  <si>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</si>
  <si>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</si>
  <si>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</si>
  <si>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</si>
  <si>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</si>
  <si>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</si>
  <si>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</si>
  <si>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</si>
  <si>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</si>
  <si>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</si>
  <si>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</si>
  <si>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</si>
  <si>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</si>
  <si>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</si>
  <si>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</si>
  <si>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</si>
  <si>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</si>
  <si>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</si>
  <si>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</si>
  <si>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</si>
  <si>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</si>
  <si>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</si>
  <si>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</si>
  <si>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</si>
  <si>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</si>
  <si>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</si>
  <si>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</si>
  <si>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</si>
  <si>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</si>
  <si>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</si>
  <si>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</si>
  <si>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</si>
  <si>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</si>
  <si>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</si>
  <si>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</si>
  <si>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</si>
  <si>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</si>
  <si>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</si>
  <si>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</si>
  <si>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</si>
  <si>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</si>
  <si>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</si>
  <si>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</si>
  <si>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</si>
  <si>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</si>
  <si>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</si>
  <si>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</si>
  <si>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</si>
  <si>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</si>
  <si>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</si>
  <si>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</si>
  <si>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</si>
  <si>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</si>
  <si>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</si>
  <si>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</si>
  <si>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</si>
  <si>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</si>
  <si>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</si>
  <si>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</si>
  <si>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</si>
  <si>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</si>
  <si>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</si>
  <si>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</si>
  <si>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</si>
  <si>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</si>
  <si>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</si>
  <si>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</si>
  <si>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</si>
  <si>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</si>
  <si>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</si>
  <si>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</si>
  <si>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</si>
  <si>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</si>
  <si>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</si>
  <si>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</si>
  <si>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</si>
  <si>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</si>
  <si>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</si>
  <si>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</si>
  <si>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</si>
  <si>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</si>
  <si>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</si>
  <si>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</si>
  <si>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</si>
  <si>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</si>
  <si>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</si>
  <si>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</si>
  <si>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</si>
  <si>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</si>
  <si>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</si>
  <si>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</si>
  <si>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</si>
  <si>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</si>
  <si>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</si>
  <si>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</si>
  <si>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</si>
  <si>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</si>
  <si>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</si>
  <si>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</si>
  <si>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</si>
  <si>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</si>
  <si>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</si>
  <si>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</si>
  <si>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</si>
  <si>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</si>
  <si>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</si>
  <si>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</si>
  <si>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</si>
  <si>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</si>
  <si>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</si>
  <si>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</si>
  <si>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</si>
  <si>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</si>
  <si>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</si>
  <si>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</si>
  <si>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</si>
  <si>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</si>
  <si>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</si>
  <si>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</si>
  <si>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</si>
  <si>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</si>
  <si>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</si>
  <si>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</si>
  <si>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</si>
  <si>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</si>
  <si>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</si>
  <si>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</si>
  <si>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</si>
  <si>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</si>
  <si>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</si>
  <si>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</si>
  <si>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</si>
  <si>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</si>
  <si>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</si>
  <si>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</si>
  <si>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</si>
  <si>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</si>
  <si>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</si>
  <si>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</si>
  <si>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</si>
  <si>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</si>
  <si>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</si>
  <si>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</si>
  <si>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</si>
  <si>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</si>
  <si>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</si>
  <si>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</si>
  <si>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</si>
  <si>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</si>
  <si>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</si>
  <si>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</si>
  <si>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</si>
  <si>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</si>
  <si>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</si>
  <si>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</si>
  <si>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</si>
  <si>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</si>
  <si>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</si>
  <si>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</si>
  <si>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</si>
  <si>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</si>
  <si>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</si>
  <si>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</si>
  <si>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</si>
  <si>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</si>
  <si>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</si>
  <si>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</si>
  <si>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</si>
  <si>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</si>
  <si>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</si>
  <si>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</si>
  <si>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</si>
  <si>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</si>
  <si>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</si>
  <si>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</si>
  <si>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</si>
  <si>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</si>
  <si>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</si>
  <si>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</si>
  <si>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</si>
  <si>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</si>
  <si>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</si>
  <si>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</si>
  <si>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</si>
  <si>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</si>
  <si>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</si>
  <si>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</si>
  <si>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</si>
  <si>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</si>
  <si>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</si>
  <si>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</si>
  <si>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</si>
  <si>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</si>
  <si>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</si>
  <si>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</si>
  <si>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</si>
  <si>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</si>
  <si>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</si>
  <si>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</si>
  <si>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</si>
  <si>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</si>
  <si>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</si>
  <si>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</si>
  <si>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</si>
  <si>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</si>
  <si>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</si>
  <si>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</si>
  <si>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</si>
  <si>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</si>
  <si>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</si>
  <si>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</si>
  <si>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</si>
  <si>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</si>
  <si>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</si>
  <si>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</si>
  <si>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</si>
  <si>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</si>
  <si>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</si>
  <si>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</si>
  <si>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</si>
  <si>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</si>
  <si>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</si>
  <si>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</si>
  <si>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</si>
  <si>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</si>
  <si>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</si>
  <si>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</si>
  <si>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</si>
  <si>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</si>
  <si>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</si>
  <si>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</si>
  <si>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</si>
  <si>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</si>
  <si>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</si>
  <si>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</si>
  <si>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</si>
  <si>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</si>
  <si>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</si>
  <si>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</si>
  <si>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</si>
  <si>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</si>
  <si>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</si>
  <si>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</si>
  <si>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</si>
  <si>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</si>
  <si>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</si>
  <si>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</si>
  <si>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</si>
  <si>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</si>
  <si>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</si>
  <si>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</si>
  <si>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</si>
  <si>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</si>
  <si>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</si>
  <si>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</si>
  <si>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</si>
  <si>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</si>
  <si>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</si>
  <si>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</si>
  <si>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</si>
  <si>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</si>
  <si>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</si>
  <si>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</si>
  <si>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</si>
  <si>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</si>
  <si>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</si>
  <si>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</si>
  <si>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</si>
  <si>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</si>
  <si>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</si>
  <si>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</si>
  <si>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</si>
  <si>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</si>
  <si>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</si>
  <si>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</si>
  <si>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</si>
  <si>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</si>
  <si>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</si>
  <si>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</si>
  <si>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</si>
  <si>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</si>
  <si>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</si>
  <si>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</si>
  <si>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</si>
  <si>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</si>
  <si>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</si>
  <si>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</si>
  <si>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</si>
  <si>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</si>
  <si>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</si>
  <si>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</si>
  <si>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</si>
  <si>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</si>
  <si>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</si>
  <si>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</si>
  <si>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</si>
  <si>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</si>
  <si>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</si>
  <si>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</si>
  <si>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</si>
  <si>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</si>
  <si>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</si>
  <si>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</si>
  <si>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</si>
  <si>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</si>
  <si>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</si>
  <si>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</si>
  <si>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</si>
  <si>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</si>
  <si>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</si>
  <si>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</si>
  <si>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</si>
  <si>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</si>
  <si>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</si>
  <si>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</si>
  <si>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</si>
  <si>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</si>
  <si>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</si>
  <si>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</si>
  <si>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</si>
  <si>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</si>
  <si>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</si>
  <si>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</si>
  <si>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</si>
  <si>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</si>
  <si>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</si>
  <si>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</si>
  <si>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</si>
  <si>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</si>
  <si>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</si>
  <si>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</si>
  <si>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</si>
  <si>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</si>
  <si>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</si>
  <si>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</si>
  <si>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</si>
  <si>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</si>
  <si>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</si>
  <si>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</si>
  <si>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</si>
  <si>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</si>
  <si>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</si>
  <si>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</si>
  <si>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</si>
  <si>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</si>
  <si>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</si>
  <si>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</si>
  <si>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</si>
  <si>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</si>
  <si>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</si>
  <si>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</si>
  <si>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</si>
  <si>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</si>
  <si>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</si>
  <si>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</si>
  <si>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</si>
  <si>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</si>
  <si>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</si>
  <si>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</si>
  <si>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</si>
  <si>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</si>
  <si>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</si>
  <si>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</si>
  <si>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</si>
  <si>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</si>
  <si>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</si>
  <si>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</si>
  <si>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</si>
  <si>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</si>
  <si>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</si>
  <si>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</si>
  <si>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</si>
  <si>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</si>
  <si>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</si>
  <si>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</si>
  <si>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</si>
  <si>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</si>
  <si>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</si>
  <si>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</si>
  <si>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</si>
  <si>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</si>
  <si>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</si>
  <si>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</si>
  <si>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</si>
  <si>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</si>
  <si>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</si>
  <si>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</si>
  <si>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</si>
  <si>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</si>
  <si>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</si>
  <si>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</si>
  <si>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</si>
  <si>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</si>
  <si>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</si>
  <si>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</si>
  <si>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</si>
  <si>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</si>
  <si>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</si>
  <si>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</si>
  <si>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</si>
  <si>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</si>
  <si>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</si>
  <si>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</si>
  <si>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</si>
  <si>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</si>
  <si>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</si>
  <si>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</si>
  <si>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</si>
  <si>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</si>
  <si>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</si>
  <si>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</si>
  <si>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</si>
  <si>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</si>
  <si>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</si>
  <si>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</si>
  <si>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</si>
  <si>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</si>
  <si>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</si>
  <si>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</si>
  <si>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</si>
  <si>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</si>
  <si>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</si>
  <si>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</si>
  <si>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</si>
  <si>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</si>
  <si>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</si>
  <si>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</si>
  <si>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</si>
  <si>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</si>
  <si>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</si>
  <si>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</si>
  <si>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</si>
  <si>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</si>
  <si>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</si>
  <si>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</si>
  <si>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</si>
  <si>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</si>
  <si>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</si>
  <si>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</si>
  <si>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</si>
  <si>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</si>
  <si>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</si>
  <si>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</si>
  <si>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</si>
  <si>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</si>
  <si>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</si>
  <si>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</si>
  <si>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</si>
  <si>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</si>
  <si>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</si>
  <si>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</si>
  <si>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</si>
  <si>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</si>
  <si>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</si>
  <si>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</si>
  <si>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</si>
  <si>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</si>
  <si>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</si>
  <si>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</si>
  <si>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</si>
  <si>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</si>
  <si>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</si>
  <si>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</si>
  <si>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</si>
  <si>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</si>
  <si>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</si>
  <si>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</si>
  <si>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</si>
  <si>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</si>
  <si>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</si>
  <si>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</si>
  <si>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</si>
  <si>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</si>
  <si>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</si>
  <si>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</si>
  <si>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</si>
  <si>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</si>
  <si>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</si>
  <si>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</si>
  <si>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</si>
  <si>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</si>
  <si>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</si>
  <si>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</si>
  <si>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</si>
  <si>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</si>
  <si>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</si>
  <si>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</si>
  <si>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</si>
  <si>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</si>
  <si>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</si>
  <si>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</si>
  <si>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</si>
  <si>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</si>
  <si>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</si>
  <si>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</si>
  <si>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</si>
  <si>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</si>
  <si>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</si>
  <si>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</si>
  <si>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</si>
  <si>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</si>
  <si>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</si>
  <si>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</si>
  <si>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</si>
  <si>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</si>
  <si>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</si>
  <si>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</si>
  <si>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</si>
  <si>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</si>
  <si>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</si>
  <si>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</si>
  <si>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</si>
  <si>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</si>
  <si>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</si>
  <si>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</si>
  <si>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</si>
  <si>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</si>
  <si>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</si>
  <si>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</si>
  <si>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</si>
  <si>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</si>
  <si>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</si>
  <si>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</si>
  <si>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</si>
  <si>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</si>
  <si>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</si>
  <si>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</si>
  <si>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</si>
  <si>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</si>
  <si>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</si>
  <si>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</si>
  <si>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</si>
  <si>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</si>
  <si>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</si>
  <si>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</si>
  <si>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</si>
  <si>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</si>
  <si>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</si>
  <si>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</si>
  <si>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</si>
  <si>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</si>
  <si>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</si>
  <si>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</si>
  <si>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</si>
  <si>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</si>
  <si>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</si>
  <si>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</si>
  <si>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</si>
  <si>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</si>
  <si>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</si>
  <si>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</si>
  <si>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</si>
  <si>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</si>
  <si>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</si>
  <si>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</si>
  <si>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</si>
  <si>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</si>
  <si>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</si>
  <si>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</si>
  <si>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</si>
  <si>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</si>
  <si>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</si>
  <si>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</si>
  <si>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</si>
  <si>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</si>
  <si>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</si>
  <si>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</si>
  <si>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</si>
  <si>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</si>
  <si>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</si>
  <si>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</si>
  <si>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</si>
  <si>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</si>
  <si>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</si>
  <si>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</si>
  <si>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</si>
  <si>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</si>
  <si>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</si>
  <si>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</si>
  <si>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</si>
  <si>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</si>
  <si>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</si>
  <si>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</si>
  <si>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</si>
  <si>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</si>
  <si>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</si>
  <si>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</si>
  <si>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</si>
  <si>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</si>
  <si>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</si>
  <si>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</si>
  <si>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</si>
  <si>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</si>
  <si>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</si>
  <si>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</si>
  <si>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</si>
  <si>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</si>
  <si>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</si>
  <si>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</si>
  <si>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</si>
  <si>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</si>
  <si>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</si>
  <si>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</si>
  <si>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</si>
  <si>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</si>
  <si>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</si>
  <si>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</si>
  <si>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</si>
  <si>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</si>
  <si>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</si>
  <si>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</si>
  <si>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</si>
  <si>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</si>
  <si>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</si>
  <si>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</si>
  <si>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</si>
  <si>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</si>
  <si>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</si>
  <si>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</si>
  <si>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</si>
  <si>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</si>
  <si>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</si>
  <si>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</si>
  <si>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</si>
  <si>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</si>
  <si>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</si>
  <si>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</si>
  <si>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</si>
  <si>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</si>
  <si>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</si>
  <si>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</si>
  <si>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</si>
  <si>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</si>
  <si>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</si>
  <si>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</si>
  <si>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</si>
  <si>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</si>
  <si>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</si>
  <si>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</si>
  <si>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</si>
  <si>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</si>
  <si>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</si>
  <si>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</si>
  <si>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</si>
  <si>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</si>
  <si>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</si>
  <si>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</si>
  <si>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</si>
  <si>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</si>
  <si>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</si>
  <si>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</si>
  <si>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</si>
  <si>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</si>
  <si>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</si>
  <si>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</si>
  <si>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</si>
  <si>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</si>
  <si>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</si>
  <si>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</si>
  <si>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</si>
  <si>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</si>
  <si>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</si>
  <si>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</si>
  <si>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</si>
  <si>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</si>
  <si>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</si>
  <si>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</si>
  <si>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</si>
  <si>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</si>
  <si>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</si>
  <si>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</si>
  <si>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</si>
  <si>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</si>
  <si>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</si>
  <si>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</si>
  <si>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</si>
  <si>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</si>
  <si>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</si>
  <si>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</si>
  <si>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</si>
  <si>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</si>
  <si>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</si>
  <si>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</si>
  <si>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</si>
  <si>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</si>
  <si>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</si>
  <si>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</si>
  <si>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</si>
  <si>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</si>
  <si>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</si>
  <si>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</si>
  <si>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</si>
  <si>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</si>
  <si>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</si>
  <si>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</si>
  <si>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</si>
  <si>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</si>
  <si>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</si>
  <si>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</si>
  <si>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</si>
  <si>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</si>
  <si>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</si>
  <si>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</si>
  <si>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</si>
  <si>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</si>
  <si>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</si>
  <si>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</si>
  <si>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</si>
  <si>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</si>
  <si>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</si>
  <si>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</si>
  <si>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</si>
  <si>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</si>
  <si>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</si>
  <si>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</si>
  <si>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</si>
  <si>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</si>
  <si>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</si>
  <si>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</si>
  <si>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</si>
  <si>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</si>
  <si>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</si>
  <si>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</si>
  <si>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</si>
  <si>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</si>
  <si>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</si>
  <si>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</si>
  <si>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</si>
  <si>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</si>
  <si>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</si>
  <si>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</si>
  <si>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</si>
  <si>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</si>
  <si>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</si>
  <si>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</si>
  <si>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</si>
  <si>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</si>
  <si>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</si>
  <si>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</si>
  <si>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</si>
  <si>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</si>
  <si>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</si>
  <si>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</si>
  <si>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</si>
  <si>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</si>
  <si>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</si>
  <si>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</si>
  <si>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</si>
  <si>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</si>
  <si>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</si>
  <si>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</si>
  <si>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</si>
  <si>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</si>
  <si>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</si>
  <si>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</si>
  <si>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</si>
  <si>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</si>
  <si>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</si>
  <si>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</si>
  <si>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</si>
  <si>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</si>
  <si>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</si>
  <si>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</si>
  <si>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</si>
  <si>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</si>
  <si>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</si>
  <si>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</si>
  <si>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</si>
  <si>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</si>
  <si>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</si>
  <si>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</si>
  <si>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</si>
  <si>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</si>
  <si>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</si>
  <si>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</si>
  <si>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</si>
  <si>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</si>
  <si>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</si>
  <si>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</si>
  <si>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</si>
  <si>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</si>
  <si>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</si>
  <si>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</si>
  <si>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</si>
  <si>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</si>
  <si>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</si>
  <si>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</si>
  <si>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</si>
  <si>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</si>
  <si>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</si>
  <si>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</si>
  <si>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</si>
  <si>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</si>
  <si>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</si>
  <si>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</si>
  <si>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</si>
  <si>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</si>
  <si>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</si>
  <si>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</si>
  <si>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</si>
  <si>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</si>
  <si>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</si>
  <si>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</si>
  <si>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</si>
  <si>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</si>
  <si>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</si>
  <si>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</si>
  <si>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</si>
  <si>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</si>
  <si>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</si>
  <si>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</si>
  <si>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</si>
  <si>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</si>
  <si>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</si>
  <si>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</si>
  <si>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</si>
  <si>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</si>
  <si>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</si>
  <si>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</si>
  <si>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</si>
  <si>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</si>
  <si>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</si>
  <si>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</si>
  <si>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</si>
  <si>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</si>
  <si>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</si>
  <si>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</si>
  <si>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</si>
  <si>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</si>
  <si>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</si>
  <si>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</si>
  <si>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</si>
  <si>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</si>
  <si>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</si>
  <si>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</si>
  <si>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</si>
  <si>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</si>
  <si>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</si>
  <si>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</si>
  <si>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</si>
  <si>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</si>
  <si>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</si>
  <si>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</si>
  <si>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</si>
  <si>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</si>
  <si>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</si>
  <si>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</si>
  <si>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</si>
  <si>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</si>
  <si>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</si>
  <si>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</si>
  <si>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</si>
  <si>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</si>
  <si>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</si>
  <si>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</si>
  <si>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</si>
  <si>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</si>
  <si>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</si>
  <si>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</si>
  <si>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</si>
  <si>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</si>
  <si>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</si>
  <si>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</si>
  <si>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</si>
  <si>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</si>
  <si>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</si>
  <si>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</si>
  <si>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</si>
  <si>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</si>
  <si>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</si>
  <si>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</si>
  <si>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</si>
  <si>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</si>
  <si>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</si>
  <si>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</si>
  <si>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</si>
  <si>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</si>
  <si>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</si>
  <si>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</si>
  <si>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</si>
  <si>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</si>
  <si>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</si>
  <si>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</si>
  <si>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</si>
  <si>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</si>
  <si>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</si>
  <si>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</si>
  <si>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</si>
  <si>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</si>
  <si>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</si>
  <si>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</si>
  <si>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</si>
  <si>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</si>
  <si>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</si>
  <si>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</si>
  <si>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</si>
  <si>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</si>
  <si>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</si>
  <si>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</si>
  <si>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</si>
  <si>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</si>
  <si>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</si>
  <si>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</si>
  <si>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</si>
  <si>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</si>
  <si>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</si>
  <si>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</si>
  <si>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</si>
  <si>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</si>
  <si>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</si>
  <si>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</si>
  <si>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</si>
  <si>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</si>
  <si>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</si>
  <si>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</si>
  <si>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</si>
  <si>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</si>
  <si>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</si>
  <si>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</si>
  <si>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</si>
  <si>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</si>
  <si>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</si>
  <si>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</si>
  <si>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</si>
  <si>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</si>
  <si>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</si>
  <si>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</si>
  <si>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</si>
  <si>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</si>
  <si>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</si>
  <si>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</si>
  <si>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</si>
  <si>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</si>
  <si>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</si>
  <si>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</si>
  <si>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</si>
  <si>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</si>
  <si>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</si>
  <si>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</si>
  <si>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</si>
  <si>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</si>
  <si>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</si>
  <si>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</si>
  <si>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</si>
  <si>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</si>
  <si>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</si>
  <si>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</si>
  <si>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</si>
  <si>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</si>
  <si>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</si>
  <si>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</si>
  <si>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</si>
  <si>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</si>
  <si>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</si>
  <si>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</si>
  <si>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</si>
  <si>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</si>
  <si>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</si>
  <si>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</si>
  <si>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</si>
  <si>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</si>
  <si>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</si>
  <si>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</si>
  <si>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</si>
  <si>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</si>
  <si>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</si>
  <si>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</si>
  <si>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</si>
  <si>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</si>
  <si>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</si>
  <si>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</si>
  <si>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</si>
  <si>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</si>
  <si>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</si>
  <si>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</si>
  <si>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</si>
  <si>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</si>
  <si>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</si>
  <si>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</si>
  <si>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</si>
  <si>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</si>
  <si>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</si>
  <si>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</si>
  <si>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</si>
  <si>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</si>
  <si>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</si>
  <si>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</si>
  <si>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</si>
  <si>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</si>
  <si>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</si>
  <si>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</si>
  <si>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</si>
  <si>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</si>
  <si>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</si>
  <si>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</si>
  <si>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</si>
  <si>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</si>
  <si>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</si>
  <si>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</si>
  <si>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</si>
  <si>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</si>
  <si>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</si>
  <si>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</si>
  <si>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</si>
  <si>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</si>
  <si>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</si>
  <si>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</si>
  <si>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</si>
  <si>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</si>
  <si>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</si>
  <si>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</si>
  <si>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</si>
  <si>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</si>
  <si>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</si>
  <si>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</si>
  <si>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</si>
  <si>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</si>
  <si>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</si>
  <si>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</si>
  <si>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</si>
  <si>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</si>
  <si>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</si>
  <si>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</si>
  <si>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</si>
  <si>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</si>
  <si>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</si>
  <si>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</si>
  <si>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</si>
  <si>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</si>
  <si>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</si>
  <si>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</si>
  <si>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</si>
  <si>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</si>
  <si>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</si>
  <si>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</si>
  <si>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</si>
  <si>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</si>
  <si>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</si>
  <si>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</si>
  <si>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</si>
  <si>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</si>
  <si>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</si>
  <si>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</si>
  <si>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</si>
  <si>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</si>
  <si>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</si>
  <si>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</si>
  <si>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</si>
  <si>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</si>
  <si>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</si>
  <si>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</si>
  <si>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</si>
  <si>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</si>
  <si>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</si>
  <si>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</si>
  <si>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</si>
  <si>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</si>
  <si>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</si>
  <si>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</si>
  <si>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</si>
  <si>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</si>
  <si>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</si>
  <si>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</si>
  <si>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</si>
  <si>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</si>
  <si>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</si>
  <si>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</si>
  <si>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</si>
  <si>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</si>
  <si>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</si>
  <si>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</si>
  <si>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</si>
  <si>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</si>
  <si>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</si>
  <si>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</si>
  <si>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</si>
  <si>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</si>
  <si>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</si>
  <si>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</si>
  <si>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</si>
  <si>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</si>
  <si>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</si>
  <si>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</si>
  <si>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</si>
  <si>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</si>
  <si>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</si>
  <si>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</si>
  <si>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</si>
  <si>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</si>
  <si>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</si>
  <si>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</si>
  <si>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</si>
  <si>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</si>
  <si>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</si>
  <si>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</si>
  <si>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</si>
  <si>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</si>
  <si>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</si>
  <si>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</si>
  <si>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</si>
  <si>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</si>
  <si>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</si>
  <si>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</si>
  <si>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</si>
  <si>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</si>
  <si>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</si>
  <si>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</si>
  <si>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</si>
  <si>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</si>
  <si>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</si>
  <si>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</si>
  <si>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</si>
  <si>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</si>
  <si>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</si>
  <si>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</si>
  <si>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</si>
  <si>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</si>
  <si>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</si>
  <si>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</si>
  <si>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</si>
  <si>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</si>
  <si>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</si>
  <si>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</si>
  <si>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</si>
  <si>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</si>
  <si>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</si>
  <si>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</si>
  <si>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</si>
  <si>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</si>
  <si>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</si>
  <si>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</si>
  <si>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</si>
  <si>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</si>
  <si>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</si>
  <si>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</si>
  <si>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</si>
  <si>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</si>
  <si>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</si>
  <si>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</si>
  <si>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</si>
  <si>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</si>
  <si>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</si>
  <si>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</si>
  <si>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</si>
  <si>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</si>
  <si>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</si>
  <si>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</si>
  <si>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</si>
  <si>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</si>
  <si>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</si>
  <si>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</si>
  <si>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</si>
  <si>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</si>
  <si>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</si>
  <si>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</si>
  <si>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</si>
  <si>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</si>
  <si>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</si>
  <si>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</si>
  <si>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</si>
  <si>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</si>
  <si>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</si>
  <si>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</si>
  <si>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</si>
  <si>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</si>
  <si>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</si>
  <si>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</si>
  <si>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</si>
  <si>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</si>
  <si>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</si>
  <si>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</si>
  <si>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</si>
  <si>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</si>
  <si>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</si>
  <si>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</si>
  <si>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</si>
  <si>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</si>
  <si>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</si>
  <si>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</si>
  <si>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</si>
  <si>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</si>
  <si>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</si>
  <si>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</si>
  <si>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</si>
  <si>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</si>
  <si>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</si>
  <si>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</si>
  <si>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</si>
  <si>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</si>
  <si>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</si>
  <si>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</si>
  <si>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</si>
  <si>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</si>
  <si>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</si>
  <si>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</si>
  <si>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</si>
  <si>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</si>
  <si>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</si>
  <si>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</si>
  <si>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</si>
  <si>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</si>
  <si>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</si>
  <si>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</si>
  <si>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</si>
  <si>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</si>
  <si>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</si>
  <si>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</si>
  <si>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</si>
  <si>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</si>
  <si>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</si>
  <si>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</si>
  <si>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</si>
  <si>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</si>
  <si>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</si>
  <si>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</si>
  <si>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</si>
  <si>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</si>
  <si>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</si>
  <si>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</si>
  <si>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</si>
  <si>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</si>
  <si>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</si>
  <si>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</si>
  <si>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</si>
  <si>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</si>
  <si>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</si>
  <si>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</si>
  <si>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</si>
  <si>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</si>
  <si>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</si>
  <si>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</si>
  <si>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</si>
  <si>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</si>
  <si>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</si>
  <si>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</si>
  <si>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</si>
  <si>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</si>
  <si>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</si>
  <si>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</si>
  <si>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</si>
  <si>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</si>
  <si>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</si>
  <si>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</si>
  <si>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</si>
  <si>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</si>
  <si>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</si>
  <si>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</si>
  <si>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</si>
  <si>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</si>
  <si>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</si>
  <si>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</si>
  <si>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</si>
  <si>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</si>
  <si>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</si>
  <si>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</si>
  <si>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</si>
  <si>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</si>
  <si>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</si>
  <si>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</si>
  <si>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</si>
  <si>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</si>
  <si>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</si>
  <si>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</si>
  <si>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</si>
  <si>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</si>
  <si>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</si>
  <si>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</si>
  <si>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</si>
  <si>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</si>
  <si>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</si>
  <si>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</si>
  <si>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</si>
  <si>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</si>
  <si>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</si>
  <si>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</si>
  <si>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</si>
  <si>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</si>
  <si>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</si>
  <si>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</si>
  <si>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</si>
  <si>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</si>
  <si>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</si>
  <si>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</si>
  <si>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</si>
  <si>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</si>
  <si>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</si>
  <si>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</si>
  <si>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</si>
  <si>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</si>
  <si>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</si>
  <si>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</si>
  <si>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</si>
  <si>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</si>
  <si>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</si>
  <si>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</si>
  <si>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</si>
  <si>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</si>
  <si>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</si>
  <si>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</si>
  <si>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</si>
  <si>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</si>
  <si>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</si>
  <si>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</si>
  <si>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</si>
  <si>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</si>
  <si>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</si>
  <si>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</si>
  <si>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</si>
  <si>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</si>
  <si>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</si>
  <si>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</si>
  <si>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</si>
  <si>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</si>
  <si>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</si>
  <si>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</si>
  <si>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</si>
  <si>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</si>
  <si>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</si>
  <si>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</si>
  <si>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</si>
  <si>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</si>
  <si>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</si>
  <si>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</si>
  <si>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</si>
  <si>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</si>
  <si>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</si>
  <si>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</si>
  <si>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</si>
  <si>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</si>
  <si>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</si>
  <si>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</si>
  <si>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</si>
  <si>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</si>
  <si>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</si>
  <si>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</si>
  <si>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</si>
  <si>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</si>
  <si>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</si>
  <si>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</si>
  <si>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</si>
  <si>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</si>
  <si>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</si>
  <si>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</si>
  <si>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</si>
  <si>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</si>
  <si>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</si>
  <si>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</si>
  <si>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</si>
  <si>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</si>
  <si>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</si>
  <si>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</si>
  <si>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</si>
  <si>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</si>
  <si>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</si>
  <si>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</si>
  <si>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</si>
  <si>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</si>
  <si>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</si>
  <si>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</si>
  <si>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</si>
  <si>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</si>
  <si>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</si>
  <si>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</si>
  <si>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</si>
  <si>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</si>
  <si>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</si>
  <si>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</si>
  <si>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</si>
  <si>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</si>
  <si>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</si>
  <si>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</si>
  <si>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</si>
  <si>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</si>
  <si>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</si>
  <si>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</si>
  <si>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</si>
  <si>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</si>
  <si>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</si>
  <si>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</si>
  <si>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</si>
  <si>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</si>
  <si>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</si>
  <si>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</si>
  <si>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</si>
  <si>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</si>
  <si>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</si>
  <si>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</si>
  <si>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</si>
  <si>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</si>
  <si>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</si>
  <si>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</si>
  <si>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</si>
  <si>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</si>
  <si>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</si>
  <si>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</si>
  <si>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</si>
  <si>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</si>
  <si>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</si>
  <si>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</si>
  <si>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</si>
  <si>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</si>
  <si>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</si>
  <si>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</si>
  <si>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</si>
  <si>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</si>
  <si>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</si>
  <si>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</si>
  <si>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</si>
  <si>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</si>
  <si>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</si>
  <si>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</si>
  <si>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</si>
  <si>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</si>
  <si>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</si>
  <si>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</si>
  <si>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</si>
  <si>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</si>
  <si>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</si>
  <si>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</si>
  <si>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</si>
  <si>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</si>
  <si>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</si>
  <si>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</si>
  <si>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</si>
  <si>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</si>
  <si>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</si>
  <si>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</si>
  <si>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</si>
  <si>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</si>
  <si>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</si>
  <si>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</si>
  <si>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</si>
  <si>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</si>
  <si>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</si>
  <si>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</si>
  <si>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</si>
  <si>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</si>
  <si>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</si>
  <si>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</si>
  <si>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</si>
  <si>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</si>
  <si>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</si>
  <si>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</si>
  <si>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</si>
  <si>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</si>
  <si>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</si>
  <si>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</si>
  <si>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</si>
  <si>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</si>
  <si>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</si>
  <si>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</si>
  <si>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</si>
  <si>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</si>
  <si>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</si>
  <si>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</si>
  <si>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</si>
  <si>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</si>
  <si>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</si>
  <si>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</si>
  <si>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</si>
  <si>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</si>
  <si>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</si>
  <si>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</si>
  <si>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</si>
  <si>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</si>
  <si>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</si>
  <si>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</si>
  <si>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</si>
  <si>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</si>
  <si>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</si>
  <si>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</si>
  <si>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</si>
  <si>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</si>
  <si>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</si>
  <si>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</si>
  <si>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</si>
  <si>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</si>
  <si>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</si>
  <si>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</si>
  <si>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</si>
  <si>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</si>
  <si>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</si>
  <si>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</si>
  <si>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</si>
  <si>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</si>
  <si>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</si>
  <si>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</si>
  <si>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</si>
  <si>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</si>
  <si>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</si>
  <si>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</si>
  <si>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</si>
  <si>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</si>
  <si>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</si>
  <si>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</si>
  <si>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</si>
  <si>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</si>
  <si>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</si>
  <si>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</si>
  <si>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</si>
  <si>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</si>
  <si>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</si>
  <si>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</si>
  <si>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</si>
  <si>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</si>
  <si>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</si>
  <si>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</si>
  <si>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</si>
  <si>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</si>
  <si>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</si>
  <si>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</si>
  <si>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</si>
  <si>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</si>
  <si>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</si>
  <si>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</si>
  <si>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</si>
  <si>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</si>
  <si>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</si>
  <si>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</si>
  <si>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</si>
  <si>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</si>
  <si>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</si>
  <si>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</si>
  <si>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</si>
  <si>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</si>
  <si>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</si>
  <si>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</si>
  <si>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</si>
  <si>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</si>
  <si>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</si>
  <si>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</si>
  <si>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</si>
  <si>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</si>
  <si>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</si>
  <si>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</si>
  <si>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</si>
  <si>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</si>
  <si>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</si>
  <si>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</si>
  <si>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</si>
  <si>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</si>
  <si>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</si>
  <si>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</si>
  <si>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</si>
  <si>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</si>
  <si>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</si>
  <si>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</si>
  <si>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</si>
  <si>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</si>
  <si>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</si>
  <si>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</si>
  <si>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</si>
  <si>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</si>
  <si>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</si>
  <si>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</si>
  <si>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</si>
  <si>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</si>
  <si>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</si>
  <si>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</si>
  <si>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</si>
  <si>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</si>
  <si>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</si>
  <si>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</si>
  <si>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</si>
  <si>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</si>
  <si>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</si>
  <si>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</si>
  <si>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</si>
  <si>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</si>
  <si>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</si>
  <si>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</si>
  <si>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</si>
  <si>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</si>
  <si>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</si>
  <si>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</si>
  <si>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</si>
  <si>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</si>
  <si>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</si>
  <si>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</si>
  <si>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</si>
  <si>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</si>
  <si>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</si>
  <si>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</si>
  <si>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</si>
  <si>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</si>
  <si>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</si>
  <si>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</si>
  <si>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</si>
  <si>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</si>
  <si>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</si>
  <si>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</si>
  <si>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</si>
  <si>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</si>
  <si>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</si>
  <si>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</si>
  <si>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</si>
  <si>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</si>
  <si>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</si>
  <si>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</si>
  <si>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</si>
  <si>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</si>
  <si>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</si>
  <si>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</si>
  <si>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</si>
  <si>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</si>
  <si>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</si>
  <si>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</si>
  <si>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</si>
  <si>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</si>
  <si>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</si>
  <si>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</si>
  <si>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</si>
  <si>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</si>
  <si>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</si>
  <si>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</si>
  <si>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</si>
  <si>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</si>
  <si>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</si>
  <si>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</si>
  <si>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</si>
  <si>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</si>
  <si>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</si>
  <si>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</si>
  <si>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</si>
  <si>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</si>
  <si>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</si>
  <si>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</si>
  <si>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</si>
  <si>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</si>
  <si>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</si>
  <si>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</si>
  <si>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</si>
  <si>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</si>
  <si>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</si>
  <si>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</si>
  <si>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</si>
  <si>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</si>
  <si>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</si>
  <si>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</si>
  <si>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</si>
  <si>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</si>
  <si>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</si>
  <si>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</si>
  <si>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</si>
  <si>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</si>
  <si>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</si>
  <si>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</si>
  <si>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</si>
  <si>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</si>
  <si>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</si>
  <si>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</si>
  <si>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</si>
  <si>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</si>
  <si>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</si>
  <si>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</si>
  <si>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</si>
  <si>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</si>
  <si>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</si>
  <si>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</si>
  <si>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</si>
  <si>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</si>
  <si>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</si>
  <si>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</si>
  <si>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</si>
  <si>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</si>
  <si>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</si>
  <si>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</si>
  <si>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</si>
  <si>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</si>
  <si>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</si>
  <si>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</si>
  <si>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</si>
  <si>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</si>
  <si>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</si>
  <si>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</si>
  <si>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</si>
  <si>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</si>
  <si>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</si>
  <si>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</si>
  <si>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</si>
  <si>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</si>
  <si>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</si>
  <si>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</si>
  <si>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</si>
  <si>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</si>
  <si>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</si>
  <si>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</si>
  <si>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</si>
  <si>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</si>
  <si>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</si>
  <si>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</si>
  <si>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</si>
  <si>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</si>
  <si>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</si>
  <si>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</si>
  <si>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</si>
  <si>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</si>
  <si>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</si>
  <si>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</si>
  <si>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</si>
  <si>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</si>
  <si>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</si>
  <si>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</si>
  <si>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</si>
  <si>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</si>
  <si>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</si>
  <si>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</si>
  <si>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</si>
  <si>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</si>
  <si>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</si>
  <si>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</si>
  <si>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</si>
  <si>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</si>
  <si>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</si>
  <si>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</si>
  <si>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</si>
  <si>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</si>
  <si>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</si>
  <si>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</si>
  <si>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</si>
  <si>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</si>
  <si>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</si>
  <si>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</si>
  <si>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</si>
  <si>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</si>
  <si>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</si>
  <si>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</si>
  <si>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</si>
  <si>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</si>
  <si>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</si>
  <si>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</si>
  <si>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</si>
  <si>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</si>
  <si>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</si>
  <si>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</si>
  <si>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</si>
  <si>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</si>
  <si>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</si>
  <si>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</si>
  <si>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</si>
  <si>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</si>
  <si>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</si>
  <si>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</si>
  <si>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</si>
  <si>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</si>
  <si>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</si>
  <si>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</si>
  <si>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</si>
  <si>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</si>
  <si>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</si>
  <si>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</si>
  <si>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</si>
  <si>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</si>
  <si>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</si>
  <si>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</si>
  <si>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</si>
  <si>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</si>
  <si>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</si>
  <si>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</si>
  <si>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</si>
  <si>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</si>
  <si>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</si>
  <si>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</si>
  <si>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</si>
  <si>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</si>
  <si>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</si>
  <si>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</si>
  <si>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</si>
  <si>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</si>
  <si>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</si>
  <si>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</si>
  <si>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</si>
  <si>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</si>
  <si>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</si>
  <si>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</si>
  <si>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</si>
  <si>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</si>
  <si>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</si>
  <si>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</si>
  <si>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</si>
  <si>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</si>
  <si>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</si>
  <si>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</si>
  <si>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</si>
  <si>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</si>
  <si>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</si>
  <si>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</si>
  <si>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</si>
  <si>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</si>
  <si>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</si>
  <si>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</si>
  <si>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</si>
  <si>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</si>
  <si>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</si>
  <si>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</si>
  <si>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</si>
  <si>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</si>
  <si>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</si>
  <si>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</si>
  <si>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</si>
  <si>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</si>
  <si>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</si>
  <si>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</si>
  <si>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</si>
  <si>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</si>
  <si>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</si>
  <si>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</si>
  <si>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</si>
  <si>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</si>
  <si>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</si>
  <si>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</si>
  <si>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</si>
  <si>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</si>
  <si>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</si>
  <si>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</si>
  <si>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</si>
  <si>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</si>
  <si>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</si>
  <si>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</si>
  <si>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</si>
  <si>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</si>
  <si>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</si>
  <si>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</si>
  <si>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</si>
  <si>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</si>
  <si>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</si>
  <si>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</si>
  <si>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</si>
  <si>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</si>
  <si>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</si>
  <si>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</si>
  <si>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</si>
  <si>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</si>
  <si>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</si>
  <si>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</si>
  <si>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</si>
  <si>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</si>
  <si>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</si>
  <si>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</si>
  <si>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</si>
  <si>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</si>
  <si>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</si>
  <si>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</si>
  <si>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</si>
  <si>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</si>
  <si>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</si>
  <si>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</si>
  <si>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</si>
  <si>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</si>
  <si>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</si>
  <si>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</si>
  <si>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</si>
  <si>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</si>
  <si>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</si>
  <si>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</si>
  <si>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</si>
  <si>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</si>
  <si>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</si>
  <si>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</si>
  <si>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</si>
  <si>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</si>
  <si>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</si>
  <si>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</si>
  <si>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</si>
  <si>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</si>
  <si>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</si>
  <si>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</si>
  <si>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</si>
  <si>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</si>
  <si>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</si>
  <si>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</si>
  <si>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</si>
  <si>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</si>
  <si>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</si>
  <si>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</si>
  <si>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</si>
  <si>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</si>
  <si>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</si>
  <si>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</si>
  <si>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</si>
  <si>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</si>
  <si>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</si>
  <si>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</si>
  <si>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</si>
  <si>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</si>
  <si>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</si>
  <si>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</si>
  <si>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</si>
  <si>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</si>
  <si>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</si>
  <si>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</si>
  <si>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</si>
  <si>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</si>
  <si>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</si>
  <si>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</si>
  <si>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</si>
  <si>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</si>
  <si>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</si>
  <si>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</si>
  <si>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</si>
  <si>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</si>
  <si>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</si>
  <si>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</si>
  <si>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</si>
  <si>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</si>
  <si>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</si>
  <si>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</si>
  <si>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</si>
  <si>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</si>
  <si>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</si>
  <si>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</si>
  <si>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</si>
  <si>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</si>
  <si>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</si>
  <si>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</si>
  <si>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</si>
  <si>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</si>
  <si>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</si>
  <si>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</si>
  <si>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</si>
  <si>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</si>
  <si>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</si>
  <si>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</si>
  <si>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</si>
  <si>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</si>
  <si>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</si>
  <si>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</si>
  <si>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</si>
  <si>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</si>
  <si>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</si>
  <si>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</si>
  <si>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</si>
  <si>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</si>
  <si>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</si>
  <si>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</si>
  <si>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</si>
  <si>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</si>
  <si>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</si>
  <si>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</si>
  <si>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</si>
  <si>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</si>
  <si>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</si>
  <si>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</si>
  <si>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</si>
  <si>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</si>
  <si>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</si>
  <si>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</si>
  <si>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</si>
  <si>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</si>
  <si>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</si>
  <si>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</si>
  <si>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</si>
  <si>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</si>
  <si>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</si>
  <si>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</si>
  <si>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</si>
  <si>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</si>
  <si>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</si>
  <si>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</si>
  <si>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</si>
  <si>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</si>
  <si>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</si>
  <si>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</si>
  <si>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</si>
  <si>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</si>
  <si>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</si>
  <si>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</si>
  <si>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</si>
  <si>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</si>
  <si>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</si>
  <si>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</si>
  <si>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</si>
  <si>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</si>
  <si>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</si>
  <si>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</si>
  <si>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</si>
  <si>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</si>
  <si>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</si>
  <si>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</si>
  <si>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</si>
  <si>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</si>
  <si>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</si>
  <si>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</si>
  <si>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</si>
  <si>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</si>
  <si>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</si>
  <si>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</si>
  <si>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</si>
  <si>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</si>
  <si>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</si>
  <si>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</si>
  <si>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</si>
  <si>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</si>
  <si>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</si>
  <si>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</si>
  <si>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</si>
  <si>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</si>
  <si>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</si>
  <si>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</si>
  <si>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</si>
  <si>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</si>
  <si>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</si>
  <si>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</si>
  <si>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</si>
  <si>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</si>
  <si>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</si>
  <si>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</si>
  <si>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</si>
  <si>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</si>
  <si>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</si>
  <si>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</si>
  <si>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</si>
  <si>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</si>
  <si>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</si>
  <si>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</si>
  <si>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</si>
  <si>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</si>
  <si>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</si>
  <si>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</si>
  <si>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</si>
  <si>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</si>
  <si>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</si>
  <si>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</si>
  <si>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</si>
  <si>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</si>
  <si>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</si>
  <si>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</si>
  <si>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</si>
  <si>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</si>
  <si>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</si>
  <si>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</si>
  <si>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</si>
  <si>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</si>
  <si>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</si>
  <si>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</si>
  <si>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</si>
  <si>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</si>
  <si>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</si>
  <si>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</si>
  <si>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</si>
  <si>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</si>
  <si>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</si>
  <si>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</si>
  <si>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</si>
  <si>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</si>
  <si>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</si>
  <si>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</si>
  <si>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</si>
  <si>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</si>
  <si>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</si>
  <si>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</si>
  <si>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</si>
  <si>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</si>
  <si>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</si>
  <si>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</si>
  <si>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</si>
  <si>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</si>
  <si>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</si>
  <si>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</si>
  <si>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</si>
  <si>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</si>
  <si>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</si>
  <si>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</si>
  <si>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</si>
  <si>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</si>
  <si>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</si>
  <si>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</si>
  <si>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</si>
  <si>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</si>
  <si>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</si>
  <si>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</si>
  <si>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</si>
  <si>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</si>
  <si>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</si>
  <si>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</si>
  <si>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</si>
  <si>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</si>
  <si>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</si>
  <si>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</si>
  <si>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</si>
  <si>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</si>
  <si>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</si>
  <si>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</si>
  <si>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</si>
  <si>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</si>
  <si>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</si>
  <si>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</si>
  <si>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</si>
  <si>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</si>
  <si>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</si>
  <si>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</si>
  <si>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</si>
  <si>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</si>
  <si>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</si>
  <si>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</si>
  <si>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</si>
  <si>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</si>
  <si>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</si>
  <si>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</si>
  <si>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</si>
  <si>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</si>
  <si>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</si>
  <si>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</si>
  <si>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</si>
  <si>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</si>
  <si>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</si>
  <si>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</si>
  <si>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</si>
  <si>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</si>
  <si>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</si>
  <si>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</si>
  <si>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</si>
  <si>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</si>
  <si>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</si>
  <si>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</si>
  <si>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</si>
  <si>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</si>
  <si>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</si>
  <si>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</si>
  <si>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</si>
  <si>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</si>
  <si>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</si>
  <si>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</si>
  <si>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</si>
  <si>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</si>
  <si>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</si>
  <si>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</si>
  <si>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</si>
  <si>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</si>
  <si>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</si>
  <si>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</si>
  <si>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</si>
  <si>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</si>
  <si>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</si>
  <si>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</si>
  <si>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</si>
  <si>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</si>
  <si>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</si>
  <si>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</si>
  <si>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</si>
  <si>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</si>
  <si>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</si>
  <si>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</si>
  <si>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</si>
  <si>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</si>
  <si>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</si>
  <si>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</si>
  <si>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</si>
  <si>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</si>
  <si>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</si>
  <si>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</si>
  <si>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</si>
  <si>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</si>
  <si>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</si>
  <si>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</si>
  <si>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</si>
  <si>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</si>
  <si>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</si>
  <si>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</si>
  <si>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</si>
  <si>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</si>
  <si>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</si>
  <si>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</si>
  <si>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</si>
  <si>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</si>
  <si>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</si>
  <si>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</si>
  <si>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</si>
  <si>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</si>
  <si>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</si>
  <si>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</si>
  <si>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</si>
  <si>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</si>
  <si>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</si>
  <si>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</si>
  <si>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</si>
  <si>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</si>
  <si>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</si>
  <si>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</si>
  <si>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</si>
  <si>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</si>
  <si>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</si>
  <si>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</si>
  <si>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</si>
  <si>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</si>
  <si>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</si>
  <si>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</si>
  <si>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</si>
  <si>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</si>
  <si>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</si>
  <si>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</si>
  <si>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</si>
  <si>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</si>
  <si>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</si>
  <si>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</si>
  <si>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</si>
  <si>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</si>
  <si>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</si>
  <si>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</si>
  <si>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</si>
  <si>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</si>
  <si>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</si>
  <si>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</si>
  <si>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</si>
  <si>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</si>
  <si>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</si>
  <si>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</si>
  <si>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</si>
  <si>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</si>
  <si>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</si>
  <si>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</si>
  <si>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</si>
  <si>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</si>
  <si>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</si>
  <si>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</si>
  <si>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</si>
  <si>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</si>
  <si>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</si>
  <si>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</si>
  <si>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</si>
  <si>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</si>
  <si>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</si>
  <si>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</si>
  <si>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</si>
  <si>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</si>
  <si>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</si>
  <si>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</si>
  <si>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</si>
  <si>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</si>
  <si>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</si>
  <si>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</si>
  <si>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</si>
  <si>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</si>
  <si>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</si>
  <si>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</si>
  <si>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</si>
  <si>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</si>
  <si>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</si>
  <si>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</si>
  <si>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</si>
  <si>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</si>
  <si>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</si>
  <si>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</si>
  <si>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</si>
  <si>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</si>
  <si>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</si>
  <si>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</si>
  <si>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</si>
  <si>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</si>
  <si>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</si>
  <si>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</si>
  <si>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</si>
  <si>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</si>
  <si>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</si>
  <si>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</si>
  <si>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</si>
  <si>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</si>
  <si>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</si>
  <si>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</si>
  <si>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</si>
  <si>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</si>
  <si>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</si>
  <si>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</si>
  <si>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</si>
  <si>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</si>
  <si>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</si>
  <si>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</si>
  <si>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</si>
  <si>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</si>
  <si>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</si>
  <si>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</si>
  <si>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</si>
  <si>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</si>
  <si>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</si>
  <si>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</si>
  <si>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</si>
  <si>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</si>
  <si>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</si>
  <si>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</si>
  <si>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</si>
  <si>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</si>
  <si>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</si>
  <si>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</si>
  <si>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</si>
  <si>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</si>
  <si>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</si>
  <si>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</si>
  <si>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</si>
  <si>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</si>
  <si>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</si>
  <si>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</si>
  <si>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</si>
  <si>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</si>
  <si>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</si>
  <si>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</si>
  <si>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</si>
  <si>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</si>
  <si>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</si>
  <si>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</si>
  <si>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</si>
  <si>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</si>
  <si>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</si>
  <si>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</si>
  <si>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</si>
  <si>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</si>
  <si>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</si>
  <si>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</si>
  <si>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</si>
  <si>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</si>
  <si>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</si>
  <si>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</si>
  <si>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</si>
  <si>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</si>
  <si>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</si>
  <si>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</si>
  <si>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</si>
  <si>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</si>
  <si>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</si>
  <si>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</si>
  <si>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</si>
  <si>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</si>
  <si>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</si>
  <si>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</si>
  <si>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</si>
  <si>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</si>
  <si>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</si>
  <si>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</si>
  <si>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</si>
  <si>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</si>
  <si>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</si>
  <si>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</si>
  <si>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</si>
  <si>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</si>
  <si>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</si>
  <si>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</si>
  <si>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</si>
  <si>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</si>
  <si>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</si>
  <si>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</si>
  <si>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</si>
  <si>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</si>
  <si>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</si>
  <si>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</si>
  <si>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</si>
  <si>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</si>
  <si>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</si>
  <si>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</si>
  <si>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</si>
  <si>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</si>
  <si>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</si>
  <si>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</si>
  <si>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</si>
  <si>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</si>
  <si>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</si>
  <si>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</si>
  <si>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</si>
  <si>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</si>
  <si>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</si>
  <si>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</si>
  <si>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</si>
  <si>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</si>
  <si>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</si>
  <si>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</si>
  <si>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</si>
  <si>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</si>
  <si>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</si>
  <si>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</si>
  <si>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</si>
  <si>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</si>
  <si>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</si>
  <si>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</si>
  <si>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</si>
  <si>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</si>
  <si>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</si>
  <si>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</si>
  <si>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</si>
  <si>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</si>
  <si>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</si>
  <si>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</si>
  <si>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</si>
  <si>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</si>
  <si>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</si>
  <si>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</si>
  <si>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</si>
  <si>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</si>
  <si>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</si>
  <si>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</si>
  <si>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</si>
  <si>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</si>
  <si>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</si>
  <si>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</si>
  <si>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</si>
  <si>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</si>
  <si>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</si>
  <si>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</si>
  <si>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</si>
  <si>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</si>
  <si>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</si>
  <si>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</si>
  <si>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</si>
  <si>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</si>
  <si>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</si>
  <si>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</si>
  <si>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</si>
  <si>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</si>
  <si>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</si>
  <si>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</si>
  <si>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</si>
  <si>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</si>
  <si>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</si>
  <si>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</si>
  <si>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</si>
  <si>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</si>
  <si>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</si>
  <si>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</si>
  <si>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</si>
  <si>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</si>
  <si>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</si>
  <si>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</si>
  <si>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</si>
  <si>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</si>
  <si>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</si>
  <si>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</si>
  <si>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</si>
  <si>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</si>
  <si>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</si>
  <si>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</si>
  <si>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</si>
  <si>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</si>
  <si>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</si>
  <si>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</si>
  <si>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</si>
  <si>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</si>
  <si>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</si>
  <si>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</si>
  <si>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</si>
  <si>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</si>
  <si>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</si>
  <si>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</si>
  <si>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</si>
  <si>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</si>
  <si>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</si>
  <si>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</si>
  <si>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</si>
  <si>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</si>
  <si>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</si>
  <si>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</si>
  <si>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</si>
  <si>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</si>
  <si>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</si>
  <si>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</si>
  <si>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</si>
  <si>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</si>
  <si>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</si>
  <si>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</si>
  <si>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</si>
  <si>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</si>
  <si>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</si>
  <si>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</si>
  <si>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</si>
  <si>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</si>
  <si>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</si>
  <si>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</si>
  <si>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</si>
  <si>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</si>
  <si>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</si>
  <si>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</si>
  <si>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</si>
  <si>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</si>
  <si>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</si>
  <si>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</si>
  <si>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</si>
  <si>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</si>
  <si>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</si>
  <si>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</si>
  <si>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</si>
  <si>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</si>
  <si>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</si>
  <si>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</si>
  <si>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</si>
  <si>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</si>
  <si>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</si>
  <si>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</si>
  <si>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</si>
  <si>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</si>
  <si>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</si>
  <si>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</si>
  <si>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</si>
  <si>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</si>
  <si>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</si>
  <si>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</si>
  <si>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</si>
  <si>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</si>
  <si>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</si>
  <si>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</si>
  <si>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</si>
  <si>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</si>
  <si>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</si>
  <si>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</si>
  <si>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</si>
  <si>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</si>
  <si>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</si>
  <si>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</si>
  <si>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</si>
  <si>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</si>
  <si>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</si>
  <si>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</si>
  <si>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</si>
  <si>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</si>
  <si>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</si>
  <si>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</si>
  <si>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</si>
  <si>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</si>
  <si>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</si>
  <si>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</si>
  <si>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</si>
  <si>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</si>
  <si>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</si>
  <si>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</si>
  <si>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</si>
  <si>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</si>
  <si>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</si>
  <si>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</si>
  <si>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</si>
  <si>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</si>
  <si>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</si>
  <si>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</si>
  <si>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</si>
  <si>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</si>
  <si>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</si>
  <si>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</si>
  <si>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</si>
  <si>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</si>
  <si>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</si>
  <si>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</si>
  <si>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</si>
  <si>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</si>
  <si>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</si>
  <si>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</si>
  <si>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</si>
  <si>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</si>
  <si>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</si>
  <si>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</si>
  <si>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</si>
  <si>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</si>
  <si>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</si>
  <si>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</si>
  <si>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</si>
  <si>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</si>
  <si>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</si>
  <si>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</si>
  <si>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</si>
  <si>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</si>
  <si>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</si>
  <si>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</si>
  <si>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</si>
  <si>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</si>
  <si>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</si>
  <si>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</si>
  <si>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</si>
  <si>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</si>
  <si>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</si>
  <si>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</si>
  <si>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</si>
  <si>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</si>
  <si>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</si>
  <si>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</si>
  <si>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</si>
  <si>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</si>
  <si>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</si>
  <si>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</si>
  <si>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</si>
  <si>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</si>
  <si>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</si>
  <si>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</si>
  <si>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</si>
  <si>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</si>
  <si>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</si>
  <si>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</si>
  <si>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</si>
  <si>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</si>
  <si>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</si>
  <si>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</si>
  <si>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</si>
  <si>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</si>
  <si>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</si>
  <si>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</si>
  <si>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</si>
  <si>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</si>
  <si>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</si>
  <si>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</si>
  <si>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</si>
  <si>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</si>
  <si>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</si>
  <si>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</si>
  <si>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</si>
  <si>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</si>
  <si>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</si>
  <si>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</si>
  <si>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</si>
  <si>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</si>
  <si>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</si>
  <si>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</si>
  <si>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</si>
  <si>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</si>
  <si>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</si>
  <si>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</si>
  <si>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</si>
  <si>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</si>
  <si>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</si>
  <si>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</si>
  <si>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</si>
  <si>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</si>
  <si>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</si>
  <si>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</si>
  <si>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</si>
  <si>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</si>
  <si>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</si>
  <si>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</si>
  <si>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</si>
  <si>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</si>
  <si>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</si>
  <si>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</si>
  <si>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</si>
  <si>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</si>
  <si>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</si>
  <si>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</si>
  <si>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</si>
  <si>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</si>
  <si>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</si>
  <si>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</si>
  <si>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</si>
  <si>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</si>
  <si>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</si>
  <si>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</si>
  <si>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</si>
  <si>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</si>
  <si>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</si>
  <si>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</si>
  <si>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</si>
  <si>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</si>
  <si>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</si>
  <si>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</si>
  <si>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</si>
  <si>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</si>
  <si>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</si>
  <si>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</si>
  <si>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</si>
  <si>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</si>
  <si>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</si>
  <si>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</si>
  <si>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</si>
  <si>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</si>
  <si>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</si>
  <si>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</si>
  <si>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</si>
  <si>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</si>
  <si>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</si>
  <si>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</si>
  <si>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</si>
  <si>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</si>
  <si>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</si>
  <si>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</si>
  <si>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</si>
  <si>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</si>
  <si>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</si>
  <si>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</si>
  <si>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</si>
  <si>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</si>
  <si>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</si>
  <si>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</si>
  <si>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</si>
  <si>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</si>
  <si>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</si>
  <si>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</si>
  <si>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</si>
  <si>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</si>
  <si>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</si>
  <si>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</si>
  <si>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</si>
  <si>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</si>
  <si>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</si>
  <si>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</si>
  <si>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</si>
  <si>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</si>
  <si>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</si>
  <si>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</si>
  <si>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</si>
  <si>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</si>
  <si>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</si>
  <si>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</si>
  <si>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</si>
  <si>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</si>
  <si>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</si>
  <si>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</si>
  <si>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</si>
  <si>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</si>
  <si>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</si>
  <si>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简装</t>
  </si>
  <si>
    <t>评估通知单</t>
    <phoneticPr fontId="3" type="noConversion"/>
  </si>
  <si>
    <t>仅限于抵押物</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</si>
  <si>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</si>
  <si>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</si>
  <si>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</si>
  <si>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</si>
  <si>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</si>
  <si>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</si>
  <si>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</si>
  <si>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</si>
  <si>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</si>
  <si>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</si>
  <si>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</si>
  <si>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合同类型</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</si>
  <si>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</si>
  <si>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</si>
  <si>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</si>
  <si>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</si>
  <si>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</si>
  <si>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</si>
  <si>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</si>
  <si>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</si>
  <si>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</si>
  <si>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</si>
  <si>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</si>
  <si>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顺义区</t>
  </si>
  <si>
    <t>仓上小区</t>
  </si>
  <si>
    <t>甲38号楼</t>
    <phoneticPr fontId="3" type="noConversion"/>
  </si>
  <si>
    <t>二单元</t>
    <phoneticPr fontId="3" type="noConversion"/>
  </si>
  <si>
    <t>501号</t>
    <phoneticPr fontId="3" type="noConversion"/>
  </si>
  <si>
    <t>朱笑颖</t>
  </si>
  <si>
    <t>二室一厅一卫一厨</t>
    <phoneticPr fontId="3" type="noConversion"/>
  </si>
  <si>
    <t>买卖协议</t>
    <phoneticPr fontId="3" type="noConversion"/>
  </si>
  <si>
    <t xml:space="preserve"> </t>
    <phoneticPr fontId="3" type="noConversion"/>
  </si>
  <si>
    <t>二手房</t>
    <phoneticPr fontId="3" type="noConversion"/>
  </si>
  <si>
    <t>洪毅</t>
    <phoneticPr fontId="3" type="noConversion"/>
  </si>
  <si>
    <t>现售</t>
    <phoneticPr fontId="3" type="noConversion"/>
  </si>
  <si>
    <t>中介</t>
    <phoneticPr fontId="3" type="noConversion"/>
  </si>
  <si>
    <t>不含税费</t>
  </si>
  <si>
    <t>30号楼</t>
    <phoneticPr fontId="3" type="noConversion"/>
  </si>
  <si>
    <t>七单元</t>
    <phoneticPr fontId="3" type="noConversion"/>
  </si>
  <si>
    <t>302号</t>
    <phoneticPr fontId="3" type="noConversion"/>
  </si>
  <si>
    <t>董玉龙</t>
  </si>
  <si>
    <t>买卖协议</t>
    <phoneticPr fontId="3" type="noConversion"/>
  </si>
  <si>
    <t>洪毅</t>
    <phoneticPr fontId="3" type="noConversion"/>
  </si>
  <si>
    <t>现售</t>
    <phoneticPr fontId="3" type="noConversion"/>
  </si>
  <si>
    <t>中介</t>
    <phoneticPr fontId="3" type="noConversion"/>
  </si>
  <si>
    <t>1号楼</t>
    <phoneticPr fontId="3" type="noConversion"/>
  </si>
  <si>
    <t>一单元</t>
    <phoneticPr fontId="3" type="noConversion"/>
  </si>
  <si>
    <t>二室一厅一卫一厨</t>
    <phoneticPr fontId="3" type="noConversion"/>
  </si>
  <si>
    <t>买卖协议</t>
    <phoneticPr fontId="3" type="noConversion"/>
  </si>
  <si>
    <t>李晶</t>
    <phoneticPr fontId="3" type="noConversion"/>
  </si>
  <si>
    <t>价格偏高</t>
    <phoneticPr fontId="3" type="noConversion"/>
  </si>
  <si>
    <t>双方</t>
  </si>
  <si>
    <t>不含税费及出让金</t>
    <phoneticPr fontId="3" type="noConversion"/>
  </si>
  <si>
    <t>4号楼</t>
    <phoneticPr fontId="3" type="noConversion"/>
  </si>
  <si>
    <t>四单元</t>
    <phoneticPr fontId="3" type="noConversion"/>
  </si>
  <si>
    <t>二室一厅一卫一厨</t>
    <phoneticPr fontId="3" type="noConversion"/>
  </si>
  <si>
    <t>李晶</t>
    <phoneticPr fontId="3" type="noConversion"/>
  </si>
  <si>
    <t>现售</t>
    <phoneticPr fontId="3" type="noConversion"/>
  </si>
  <si>
    <t>正常</t>
    <phoneticPr fontId="3" type="noConversion"/>
  </si>
  <si>
    <t>双方</t>
    <phoneticPr fontId="3" type="noConversion"/>
  </si>
  <si>
    <t>不含税费及出让金</t>
    <phoneticPr fontId="3" type="noConversion"/>
  </si>
  <si>
    <t>六单元</t>
    <phoneticPr fontId="3" type="noConversion"/>
  </si>
  <si>
    <t>丁龙</t>
  </si>
  <si>
    <t>一室一厅一卫一厨</t>
    <phoneticPr fontId="3" type="noConversion"/>
  </si>
  <si>
    <t>买卖合同</t>
  </si>
  <si>
    <t>洪毅</t>
    <phoneticPr fontId="3" type="noConversion"/>
  </si>
  <si>
    <t>现售</t>
  </si>
  <si>
    <t>丁33号楼</t>
    <phoneticPr fontId="3" type="noConversion"/>
  </si>
  <si>
    <t>一单元</t>
    <phoneticPr fontId="3" type="noConversion"/>
  </si>
  <si>
    <t>解进青</t>
  </si>
  <si>
    <t>三室二厅一卫一厨</t>
    <phoneticPr fontId="3" type="noConversion"/>
  </si>
  <si>
    <t>洪毅</t>
    <phoneticPr fontId="3" type="noConversion"/>
  </si>
  <si>
    <t>不含税费、出让金</t>
    <phoneticPr fontId="3" type="noConversion"/>
  </si>
  <si>
    <t>31号楼</t>
    <phoneticPr fontId="3" type="noConversion"/>
  </si>
  <si>
    <t>于靖</t>
  </si>
  <si>
    <t>三室一厅一卫一厨</t>
    <phoneticPr fontId="3" type="noConversion"/>
  </si>
  <si>
    <t>36号楼</t>
    <phoneticPr fontId="3" type="noConversion"/>
  </si>
  <si>
    <t>杨红</t>
  </si>
  <si>
    <t>二手房</t>
    <phoneticPr fontId="3" type="noConversion"/>
  </si>
  <si>
    <t>1号楼</t>
    <phoneticPr fontId="3" type="noConversion"/>
  </si>
  <si>
    <t>尹晓辉</t>
  </si>
  <si>
    <t>12号楼</t>
    <phoneticPr fontId="3" type="noConversion"/>
  </si>
  <si>
    <t>李刚</t>
  </si>
  <si>
    <t>10号楼</t>
    <phoneticPr fontId="3" type="noConversion"/>
  </si>
  <si>
    <t>李晶</t>
  </si>
  <si>
    <t>25号楼</t>
    <phoneticPr fontId="3" type="noConversion"/>
  </si>
  <si>
    <t>402号</t>
    <phoneticPr fontId="3" type="noConversion"/>
  </si>
  <si>
    <t>彭学荣</t>
  </si>
  <si>
    <t>不含税费</t>
    <phoneticPr fontId="3" type="noConversion"/>
  </si>
  <si>
    <t>30号楼</t>
    <phoneticPr fontId="3" type="noConversion"/>
  </si>
  <si>
    <t>五单元</t>
    <phoneticPr fontId="3" type="noConversion"/>
  </si>
  <si>
    <t>501号</t>
    <phoneticPr fontId="3" type="noConversion"/>
  </si>
  <si>
    <t>李新芝</t>
  </si>
  <si>
    <t>正常</t>
    <phoneticPr fontId="3" type="noConversion"/>
  </si>
  <si>
    <t>甲16号楼</t>
    <phoneticPr fontId="3" type="noConversion"/>
  </si>
  <si>
    <t>32号楼</t>
    <phoneticPr fontId="3" type="noConversion"/>
  </si>
  <si>
    <t>三单元</t>
    <phoneticPr fontId="3" type="noConversion"/>
  </si>
  <si>
    <t>中介</t>
    <phoneticPr fontId="3" type="noConversion"/>
  </si>
  <si>
    <t>8号楼</t>
    <phoneticPr fontId="3" type="noConversion"/>
  </si>
  <si>
    <t>张淑琴</t>
  </si>
  <si>
    <t>19号楼</t>
    <phoneticPr fontId="3" type="noConversion"/>
  </si>
  <si>
    <t>耿国栋</t>
  </si>
  <si>
    <t>1号楼</t>
    <phoneticPr fontId="3" type="noConversion"/>
  </si>
  <si>
    <t>20号楼</t>
    <phoneticPr fontId="3" type="noConversion"/>
  </si>
  <si>
    <t>三单元</t>
    <phoneticPr fontId="3" type="noConversion"/>
  </si>
  <si>
    <t>29号楼</t>
    <phoneticPr fontId="3" type="noConversion"/>
  </si>
  <si>
    <t>李伟</t>
    <phoneticPr fontId="3" type="noConversion"/>
  </si>
  <si>
    <t>价格偏高</t>
    <phoneticPr fontId="3" type="noConversion"/>
  </si>
  <si>
    <t>丙33号楼</t>
    <phoneticPr fontId="3" type="noConversion"/>
  </si>
  <si>
    <t>四室一厅一卫一厨</t>
    <phoneticPr fontId="3" type="noConversion"/>
  </si>
  <si>
    <t>不含税费、出让金</t>
    <phoneticPr fontId="3" type="noConversion"/>
  </si>
  <si>
    <t>21号楼</t>
    <phoneticPr fontId="3" type="noConversion"/>
  </si>
  <si>
    <t>19号楼</t>
    <phoneticPr fontId="3" type="noConversion"/>
  </si>
  <si>
    <t>27号楼</t>
    <phoneticPr fontId="3" type="noConversion"/>
  </si>
  <si>
    <t>胡灏</t>
    <phoneticPr fontId="3" type="noConversion"/>
  </si>
  <si>
    <t>乙38号楼</t>
    <phoneticPr fontId="3" type="noConversion"/>
  </si>
  <si>
    <t>胡灏</t>
    <phoneticPr fontId="3" type="noConversion"/>
  </si>
  <si>
    <t>38号楼</t>
    <phoneticPr fontId="3" type="noConversion"/>
  </si>
  <si>
    <t>八单元</t>
    <phoneticPr fontId="3" type="noConversion"/>
  </si>
  <si>
    <t>正常</t>
    <phoneticPr fontId="3" type="noConversion"/>
  </si>
  <si>
    <t>双方</t>
    <phoneticPr fontId="3" type="noConversion"/>
  </si>
  <si>
    <t>不含税费、出让金</t>
  </si>
  <si>
    <t>李辰</t>
    <phoneticPr fontId="3" type="noConversion"/>
  </si>
  <si>
    <t>甲33号楼</t>
    <phoneticPr fontId="3" type="noConversion"/>
  </si>
  <si>
    <t>丁19号楼</t>
    <phoneticPr fontId="3" type="noConversion"/>
  </si>
  <si>
    <t>二单元</t>
    <phoneticPr fontId="3" type="noConversion"/>
  </si>
  <si>
    <t>801号</t>
    <phoneticPr fontId="3" type="noConversion"/>
  </si>
  <si>
    <t>贾春光</t>
  </si>
  <si>
    <t>三室二厅二卫一厨</t>
    <phoneticPr fontId="3" type="noConversion"/>
  </si>
  <si>
    <t>产权房</t>
    <phoneticPr fontId="3" type="noConversion"/>
  </si>
  <si>
    <t>吴铭</t>
    <phoneticPr fontId="3" type="noConversion"/>
  </si>
  <si>
    <t>甲23号楼</t>
    <phoneticPr fontId="3" type="noConversion"/>
  </si>
  <si>
    <t>买卖合同</t>
    <phoneticPr fontId="3" type="noConversion"/>
  </si>
  <si>
    <t>34号楼</t>
    <phoneticPr fontId="3" type="noConversion"/>
  </si>
  <si>
    <t>602号</t>
    <phoneticPr fontId="3" type="noConversion"/>
  </si>
  <si>
    <t>高超</t>
  </si>
  <si>
    <t>一室一厅一卫一厨</t>
    <phoneticPr fontId="3" type="noConversion"/>
  </si>
  <si>
    <t>高桂红</t>
    <phoneticPr fontId="3" type="noConversion"/>
  </si>
  <si>
    <t>甲19号楼</t>
    <phoneticPr fontId="3" type="noConversion"/>
  </si>
  <si>
    <t>己19号楼</t>
    <phoneticPr fontId="3" type="noConversion"/>
  </si>
  <si>
    <t>己33号楼</t>
    <phoneticPr fontId="3" type="noConversion"/>
  </si>
  <si>
    <t>24号楼</t>
    <phoneticPr fontId="3" type="noConversion"/>
  </si>
  <si>
    <t>李亚芹</t>
  </si>
  <si>
    <t>10号楼</t>
    <phoneticPr fontId="3" type="noConversion"/>
  </si>
  <si>
    <t>3号楼</t>
    <phoneticPr fontId="3" type="noConversion"/>
  </si>
  <si>
    <t>13号楼</t>
    <phoneticPr fontId="3" type="noConversion"/>
  </si>
  <si>
    <t>李亚文</t>
  </si>
  <si>
    <t>孙海涛</t>
  </si>
  <si>
    <t>23号楼</t>
    <phoneticPr fontId="3" type="noConversion"/>
  </si>
  <si>
    <t>吴海军</t>
  </si>
  <si>
    <t>5号楼</t>
    <phoneticPr fontId="3" type="noConversion"/>
  </si>
  <si>
    <t>八单元</t>
    <phoneticPr fontId="3" type="noConversion"/>
  </si>
  <si>
    <t>范大军</t>
  </si>
  <si>
    <t>二室二厅一卫一厨</t>
    <phoneticPr fontId="3" type="noConversion"/>
  </si>
  <si>
    <t>16号楼</t>
    <phoneticPr fontId="3" type="noConversion"/>
  </si>
  <si>
    <t>33号楼</t>
    <phoneticPr fontId="3" type="noConversion"/>
  </si>
  <si>
    <t>二手房</t>
  </si>
  <si>
    <t>十一单元</t>
    <phoneticPr fontId="3" type="noConversion"/>
  </si>
  <si>
    <t>2号楼</t>
    <phoneticPr fontId="3" type="noConversion"/>
  </si>
  <si>
    <t>谢辉</t>
  </si>
  <si>
    <t>正常交易</t>
  </si>
  <si>
    <t>乙19号楼</t>
  </si>
  <si>
    <t>不含税费及出让金</t>
  </si>
  <si>
    <t>董崎山</t>
  </si>
  <si>
    <t>范永刚</t>
    <phoneticPr fontId="3" type="noConversion"/>
  </si>
  <si>
    <t>含出让金、不含税费</t>
    <phoneticPr fontId="3" type="noConversion"/>
  </si>
  <si>
    <t>34号楼</t>
  </si>
  <si>
    <t>一单元</t>
  </si>
  <si>
    <t>一室一厅一卫一厨</t>
  </si>
  <si>
    <t>买卖协议</t>
  </si>
  <si>
    <t>胡灏</t>
  </si>
  <si>
    <t>仓上小区</t>
    <phoneticPr fontId="3" type="noConversion"/>
  </si>
  <si>
    <t>2号楼</t>
    <phoneticPr fontId="3" type="noConversion"/>
  </si>
  <si>
    <t>101</t>
    <phoneticPr fontId="3" type="noConversion"/>
  </si>
  <si>
    <t>楼层</t>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</si>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</sst>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left"/>
      <protection locked="0"/>
    </xf>
    <xf numFmtId="0" fontId="19" fillId="23" borderId="1" xfId="0" applyFont="1" applyFill="1" applyBorder="1" applyAlignment="1" applyProtection="1">
      <alignment horizontal="right"/>
      <protection locked="0"/>
    </xf>
    <xf numFmtId="0" fontId="19" fillId="25" borderId="1" xfId="0"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0" xfId="0" applyFont="1" applyFill="1" applyBorder="1" applyAlignment="1" applyProtection="1">
      <protection locked="0"/>
    </xf>
    <xf numFmtId="0" fontId="80" fillId="25" borderId="1" xfId="0"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185" fontId="19" fillId="0" borderId="1" xfId="0" applyNumberFormat="1" applyFont="1" applyFill="1" applyBorder="1" applyAlignment="1">
      <alignment horizontal="right"/>
    </xf>
    <xf numFmtId="0" fontId="19" fillId="0" borderId="1" xfId="0" applyFont="1" applyFill="1" applyBorder="1" applyAlignment="1">
      <alignment horizontal="center"/>
    </xf>
    <xf numFmtId="31" fontId="19" fillId="0" borderId="1" xfId="0" applyNumberFormat="1" applyFont="1" applyFill="1" applyBorder="1" applyAlignment="1">
      <alignment horizontal="right"/>
    </xf>
    <xf numFmtId="0" fontId="19" fillId="0" borderId="1" xfId="0" applyFont="1" applyFill="1" applyBorder="1" applyAlignment="1" applyProtection="1">
      <alignment horizontal="center"/>
      <protection locked="0"/>
    </xf>
    <xf numFmtId="183" fontId="19" fillId="0" borderId="1" xfId="0" applyNumberFormat="1" applyFont="1" applyFill="1" applyBorder="1" applyAlignment="1" applyProtection="1">
      <protection locked="0"/>
    </xf>
    <xf numFmtId="179" fontId="19" fillId="0" borderId="1" xfId="0" applyNumberFormat="1" applyFont="1" applyFill="1" applyBorder="1" applyAlignment="1">
      <alignment horizontal="right"/>
    </xf>
    <xf numFmtId="0" fontId="19" fillId="0" borderId="0" xfId="0" applyFont="1" applyFill="1" applyBorder="1" applyAlignment="1"/>
    <xf numFmtId="0" fontId="19" fillId="0" borderId="0" xfId="0" applyFont="1" applyFill="1" applyBorder="1" applyAlignment="1">
      <alignment horizontal="left"/>
    </xf>
    <xf numFmtId="0" fontId="19" fillId="0" borderId="0" xfId="0" applyFont="1" applyFill="1" applyBorder="1" applyAlignment="1">
      <alignment horizontal="right"/>
    </xf>
    <xf numFmtId="176" fontId="19" fillId="0" borderId="0" xfId="0" applyNumberFormat="1" applyFont="1" applyFill="1" applyBorder="1" applyAlignment="1">
      <alignment horizontal="right"/>
    </xf>
    <xf numFmtId="185" fontId="19" fillId="0" borderId="0" xfId="0" applyNumberFormat="1" applyFont="1" applyFill="1" applyBorder="1" applyAlignment="1">
      <alignment horizontal="right"/>
    </xf>
    <xf numFmtId="2" fontId="19" fillId="0" borderId="0" xfId="0" applyNumberFormat="1" applyFont="1" applyFill="1" applyBorder="1" applyAlignment="1">
      <alignment horizontal="right"/>
    </xf>
    <xf numFmtId="183" fontId="19" fillId="0" borderId="0" xfId="0" applyNumberFormat="1" applyFont="1" applyFill="1" applyBorder="1" applyAlignment="1" applyProtection="1">
      <protection locked="0"/>
    </xf>
    <xf numFmtId="31" fontId="19" fillId="0" borderId="0" xfId="0" applyNumberFormat="1" applyFont="1" applyFill="1" applyBorder="1" applyAlignment="1"/>
    <xf numFmtId="0" fontId="77" fillId="0" borderId="1" xfId="0" applyFont="1" applyFill="1" applyBorder="1" applyAlignment="1"/>
    <xf numFmtId="49" fontId="77" fillId="0" borderId="1" xfId="0" applyNumberFormat="1" applyFont="1" applyFill="1" applyBorder="1" applyAlignment="1"/>
    <xf numFmtId="0" fontId="77" fillId="0" borderId="1" xfId="0" applyFont="1" applyFill="1" applyBorder="1" applyAlignment="1">
      <alignment horizontal="right"/>
    </xf>
    <xf numFmtId="0" fontId="77" fillId="0" borderId="1" xfId="0" applyFont="1" applyFill="1" applyBorder="1" applyAlignment="1">
      <alignment horizontal="left"/>
    </xf>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1" fontId="77" fillId="0" borderId="1" xfId="0" applyNumberFormat="1" applyFont="1" applyFill="1" applyBorder="1" applyAlignment="1">
      <alignment horizontal="center"/>
    </xf>
    <xf numFmtId="31" fontId="77" fillId="0" borderId="1" xfId="0" applyNumberFormat="1" applyFont="1" applyFill="1" applyBorder="1" applyAlignment="1">
      <alignment horizontal="right"/>
    </xf>
    <xf numFmtId="44" fontId="77" fillId="0" borderId="1" xfId="19" applyFont="1" applyFill="1" applyBorder="1" applyAlignment="1">
      <alignment horizontal="left"/>
    </xf>
    <xf numFmtId="31" fontId="19" fillId="27" borderId="1" xfId="0" applyNumberFormat="1" applyFont="1" applyFill="1" applyBorder="1" applyAlignment="1" applyProtection="1">
      <protection locked="0"/>
    </xf>
    <xf numFmtId="31" fontId="80" fillId="27" borderId="1" xfId="0" applyNumberFormat="1" applyFont="1" applyFill="1" applyBorder="1" applyAlignment="1" applyProtection="1">
      <alignment horizontal="center"/>
      <protection locked="0"/>
    </xf>
    <xf numFmtId="31" fontId="19" fillId="27" borderId="1" xfId="0" applyNumberFormat="1" applyFont="1" applyFill="1" applyBorder="1" applyAlignment="1">
      <alignment horizontal="right"/>
    </xf>
    <xf numFmtId="31" fontId="19" fillId="27" borderId="1" xfId="0" applyNumberFormat="1" applyFont="1" applyFill="1" applyBorder="1" applyAlignment="1" applyProtection="1">
      <alignment horizontal="right"/>
      <protection locked="0"/>
    </xf>
    <xf numFmtId="31" fontId="19" fillId="27" borderId="1" xfId="0" applyNumberFormat="1" applyFont="1" applyFill="1" applyBorder="1" applyAlignment="1">
      <alignment horizontal="left"/>
    </xf>
    <xf numFmtId="31" fontId="19" fillId="27" borderId="0" xfId="0" applyNumberFormat="1" applyFont="1" applyFill="1" applyBorder="1" applyAlignment="1">
      <alignment horizontal="right"/>
    </xf>
    <xf numFmtId="31" fontId="77" fillId="27" borderId="1" xfId="0" applyNumberFormat="1" applyFont="1" applyFill="1" applyBorder="1" applyAlignment="1" applyProtection="1">
      <protection locked="0"/>
    </xf>
    <xf numFmtId="31" fontId="77" fillId="27" borderId="1" xfId="0" applyNumberFormat="1" applyFont="1" applyFill="1" applyBorder="1" applyAlignment="1">
      <alignment horizontal="right"/>
    </xf>
    <xf numFmtId="0" fontId="0" fillId="27" borderId="0" xfId="0" applyFill="1">
      <alignment vertical="center"/>
    </xf>
    <xf numFmtId="0" fontId="19" fillId="27" borderId="1" xfId="0" applyFont="1" applyFill="1" applyBorder="1" applyAlignment="1" applyProtection="1">
      <alignment horizontal="right"/>
      <protection locked="0"/>
    </xf>
    <xf numFmtId="0" fontId="80" fillId="27" borderId="1" xfId="0" applyFont="1" applyFill="1" applyBorder="1" applyAlignment="1" applyProtection="1">
      <alignment horizontal="center"/>
      <protection locked="0"/>
    </xf>
    <xf numFmtId="0" fontId="19" fillId="27" borderId="1" xfId="0" applyFont="1" applyFill="1" applyBorder="1" applyAlignment="1"/>
    <xf numFmtId="1" fontId="19" fillId="27" borderId="1" xfId="0" applyNumberFormat="1" applyFont="1" applyFill="1" applyBorder="1" applyAlignment="1">
      <alignment horizontal="center"/>
    </xf>
    <xf numFmtId="0" fontId="19" fillId="27" borderId="0" xfId="0" applyFont="1" applyFill="1" applyBorder="1" applyAlignment="1"/>
    <xf numFmtId="0" fontId="77" fillId="27" borderId="1" xfId="0" applyFont="1" applyFill="1" applyBorder="1" applyAlignment="1"/>
    <xf numFmtId="1" fontId="77" fillId="27" borderId="1" xfId="0" applyNumberFormat="1" applyFont="1" applyFill="1" applyBorder="1" applyAlignment="1">
      <alignment horizontal="center"/>
    </xf>
    <xf numFmtId="1" fontId="77" fillId="27" borderId="1" xfId="0" applyNumberFormat="1" applyFont="1" applyFill="1" applyBorder="1" applyAlignment="1">
      <alignment horizontal="right"/>
    </xf>
    <xf numFmtId="0" fontId="129" fillId="5" borderId="1" xfId="0" applyFont="1" applyFill="1" applyBorder="1" applyAlignment="1"/>
    <xf numFmtId="0" fontId="129" fillId="5" borderId="1" xfId="0" applyFont="1" applyFill="1" applyBorder="1" applyAlignment="1">
      <alignment horizontal="right"/>
    </xf>
    <xf numFmtId="0" fontId="129" fillId="5" borderId="1" xfId="0" applyFont="1" applyFill="1" applyBorder="1" applyAlignment="1">
      <alignment horizontal="left"/>
    </xf>
    <xf numFmtId="176" fontId="129" fillId="5" borderId="1" xfId="0" applyNumberFormat="1" applyFont="1" applyFill="1" applyBorder="1" applyAlignment="1">
      <alignment horizontal="right"/>
    </xf>
    <xf numFmtId="185" fontId="129" fillId="5" borderId="1" xfId="0" applyNumberFormat="1" applyFont="1" applyFill="1" applyBorder="1" applyAlignment="1">
      <alignment horizontal="right"/>
    </xf>
    <xf numFmtId="2" fontId="129" fillId="5" borderId="1" xfId="0" applyNumberFormat="1" applyFont="1" applyFill="1" applyBorder="1" applyAlignment="1">
      <alignment horizontal="right"/>
    </xf>
    <xf numFmtId="0" fontId="129" fillId="5" borderId="1" xfId="0" applyFont="1" applyFill="1" applyBorder="1" applyAlignment="1" applyProtection="1">
      <protection locked="0"/>
    </xf>
    <xf numFmtId="31" fontId="129" fillId="5" borderId="1" xfId="0" applyNumberFormat="1" applyFont="1" applyFill="1" applyBorder="1" applyAlignment="1">
      <alignment horizontal="right"/>
    </xf>
    <xf numFmtId="31" fontId="129" fillId="5" borderId="1" xfId="0" applyNumberFormat="1" applyFont="1" applyFill="1" applyBorder="1" applyAlignment="1" applyProtection="1">
      <alignment horizontal="right"/>
      <protection locked="0"/>
    </xf>
    <xf numFmtId="31" fontId="129" fillId="5" borderId="1" xfId="0" applyNumberFormat="1" applyFont="1" applyFill="1" applyBorder="1" applyAlignment="1"/>
    <xf numFmtId="0" fontId="272" fillId="5" borderId="0" xfId="0" applyFont="1" applyFill="1">
      <alignment vertical="center"/>
    </xf>
    <xf numFmtId="49" fontId="129" fillId="5" borderId="1" xfId="19" applyNumberFormat="1" applyFont="1" applyFill="1" applyBorder="1" applyAlignment="1">
      <alignment horizontal="left"/>
    </xf>
    <xf numFmtId="183" fontId="129" fillId="5" borderId="1" xfId="0" applyNumberFormat="1" applyFont="1" applyFill="1" applyBorder="1" applyAlignment="1" applyProtection="1">
      <protection locked="0"/>
    </xf>
    <xf numFmtId="0" fontId="129" fillId="5" borderId="1" xfId="0"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49" fontId="208"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9" fontId="208" fillId="0" borderId="3" xfId="0" applyNumberFormat="1"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39034;&#20041;&#20179;&#199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2526</v>
          </cell>
          <cell r="D18">
            <v>60.9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估价对象为北京市房地产，为所有。根据《国有土地使用证》[]，估价对象（分摊）出让国有建设用地使用权面积为30.45平方米，建筑面积为60.9平方米。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估价对象为北京市房地产,属开发建设的，该项目尚在开发建设中。根据《国有土地使用证》[]，估价对象（分摊）出让国有建设用地使用权面积为30.45平方米，规划建筑面积为60.9平方米。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2005年12月3日</v>
      </c>
    </row>
    <row r="13" spans="1:2" s="1203" customFormat="1">
      <c r="A13" s="1201" t="s">
        <v>529</v>
      </c>
      <c r="B13" s="1202" t="str">
        <f>'预评函-1'!A18</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60.9</v>
      </c>
    </row>
    <row r="44" spans="1:2" s="1203" customFormat="1" ht="31.2">
      <c r="A44" s="1201" t="s">
        <v>575</v>
      </c>
      <c r="B44" s="1202" t="str">
        <f>'预评函-3'!C2</f>
        <v>(分摊)土地面积</v>
      </c>
    </row>
    <row r="45" spans="1:2" s="1203" customFormat="1">
      <c r="A45" s="1201" t="s">
        <v>547</v>
      </c>
      <c r="B45" s="1202">
        <f>'预评函-3'!C4</f>
        <v>30.45</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1554" t="s">
        <v>385</v>
      </c>
      <c r="C54" s="1551" t="s">
        <v>583</v>
      </c>
    </row>
    <row r="55" spans="1:4">
      <c r="A55" s="3628"/>
      <c r="B55" s="1554" t="s">
        <v>386</v>
      </c>
      <c r="C55" s="1551" t="s">
        <v>584</v>
      </c>
    </row>
    <row r="56" spans="1:4">
      <c r="A56" s="3628"/>
      <c r="B56" s="1554" t="s">
        <v>387</v>
      </c>
      <c r="C56" s="1551" t="s">
        <v>588</v>
      </c>
    </row>
    <row r="57" spans="1:4">
      <c r="A57" s="36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8" sqref="C8"/>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29" t="s">
        <v>2582</v>
      </c>
      <c r="J2" s="3629"/>
      <c r="K2" s="3629"/>
      <c r="L2" s="3629"/>
      <c r="M2" s="3629"/>
      <c r="N2" s="3629"/>
      <c r="O2" s="3629"/>
      <c r="P2" s="3629"/>
      <c r="Q2" s="3629"/>
      <c r="R2" s="3629"/>
    </row>
    <row r="3" spans="1:18">
      <c r="A3" s="3018" t="s">
        <v>2503</v>
      </c>
      <c r="B3" s="3019">
        <v>38689</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-105.99</v>
      </c>
      <c r="D5" s="3023">
        <f>IF(ISERROR(ROUND(POWER(1+E5,A5-C5)*(POWER(1+E5,C5)-1)/(POWER(1+E5,A5)-1),3)),0,ROUND(POWER(1+E5,A5-C5)*(POWER(1+E5,C5)-1)/(POWER(1+E5,A5)-1),4))</f>
        <v>-79.422700000000006</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-105.99</v>
      </c>
      <c r="D6" s="3023">
        <f>IF(ISERROR(ROUND(POWER(1+E6,A6-C6)*(POWER(1+E6,C6)-1)/(POWER(1+E6,A6)-1),3)),0,ROUND(POWER(1+E6,A6-C6)*(POWER(1+E6,C6)-1)/(POWER(1+E6,A6)-1),4))</f>
        <v>-73.176699999999997</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67.459999999999994</v>
      </c>
      <c r="D7" s="3023">
        <f>IF(ISERROR(ROUND(POWER(1+E7,A7-C7)*(POWER(1+E7,C7)-1)/(POWER(1+E7,A7)-1),3)),0,ROUND(POWER(1+E7,A7-C7)*(POWER(1+E7,C7)-1)/(POWER(1+E7,A7)-1),4))</f>
        <v>0.99280000000000002</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3" sqref="H3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38" t="str">
        <f>IF(B10="北京市","北京市",C10)&amp;F10&amp;IF(结果表!G1="在建","出让国有建设用地使用权及在建建筑物",IF(结果表!G1="土地","出让国有建设用地使用权",))&amp;B9&amp;"预评估"</f>
        <v>北京市房地产市场价值预评估</v>
      </c>
      <c r="C1" s="3639"/>
      <c r="D1" s="3639"/>
      <c r="E1" s="3639"/>
      <c r="F1" s="3639"/>
      <c r="G1" s="3639"/>
      <c r="H1" s="3639"/>
      <c r="I1" s="3640"/>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45671</v>
      </c>
      <c r="C3" s="2373" t="s">
        <v>2171</v>
      </c>
      <c r="D3" s="2372">
        <v>38689</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41"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42"/>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48"/>
      <c r="C16" s="3649"/>
      <c r="D16" s="3650"/>
      <c r="E16" s="2411" t="s">
        <v>2194</v>
      </c>
      <c r="F16" s="3651"/>
      <c r="G16" s="3652"/>
      <c r="H16" s="3652"/>
      <c r="I16" s="3653"/>
      <c r="J16" s="2437"/>
      <c r="K16" s="2615"/>
      <c r="L16" s="2449"/>
      <c r="M16" s="2449"/>
      <c r="N16" s="2507"/>
      <c r="O16" s="2449"/>
      <c r="P16" s="2507"/>
      <c r="Q16" s="2437"/>
      <c r="R16" s="2437"/>
    </row>
    <row r="17" spans="1:28">
      <c r="A17" s="313" t="s">
        <v>2195</v>
      </c>
      <c r="B17" s="302" t="s">
        <v>2196</v>
      </c>
      <c r="C17" s="8">
        <f>'数据-汇总表'!E3</f>
        <v>60.9</v>
      </c>
      <c r="D17" s="2321" t="s">
        <v>2197</v>
      </c>
      <c r="E17" s="3654" t="s">
        <v>2198</v>
      </c>
      <c r="F17" s="3655"/>
      <c r="G17" s="3655"/>
      <c r="H17" s="3655"/>
      <c r="I17" s="3656"/>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30.45</v>
      </c>
      <c r="D18" s="1092" t="s">
        <v>2201</v>
      </c>
      <c r="E18" s="3657" t="s">
        <v>2202</v>
      </c>
      <c r="F18" s="3658"/>
      <c r="G18" s="3658"/>
      <c r="H18" s="3658"/>
      <c r="I18" s="3659"/>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44" t="s">
        <v>2206</v>
      </c>
      <c r="C20" s="3645"/>
      <c r="D20" s="3646" t="s">
        <v>2207</v>
      </c>
      <c r="E20" s="3647"/>
      <c r="F20" s="2645" t="s">
        <v>1056</v>
      </c>
      <c r="G20" s="2662"/>
      <c r="H20" s="2662"/>
      <c r="I20" s="2662"/>
      <c r="J20" s="2437"/>
      <c r="K20" s="36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31"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3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3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32"/>
      <c r="B30" s="302" t="s">
        <v>2218</v>
      </c>
      <c r="C30" s="3633"/>
      <c r="D30" s="3634"/>
      <c r="E30" s="2662"/>
      <c r="F30" s="2662"/>
      <c r="G30" s="2662"/>
      <c r="H30" s="2662"/>
      <c r="I30" s="2662"/>
      <c r="J30" s="2437"/>
      <c r="K30" s="2614"/>
      <c r="L30" s="2611"/>
      <c r="M30" s="2611"/>
      <c r="N30" s="2437"/>
      <c r="O30" s="2448"/>
      <c r="P30" s="2437"/>
      <c r="Q30" s="2437"/>
      <c r="R30" s="2437"/>
      <c r="S30" s="2437"/>
      <c r="T30" s="2437"/>
      <c r="U30" s="2437"/>
      <c r="V30" s="2437"/>
    </row>
    <row r="31" spans="1:28">
      <c r="A31" s="3635"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36"/>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3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30" t="s">
        <v>2228</v>
      </c>
      <c r="T34" s="2426" t="str">
        <f>NUMBERSTRING(7-K34,1)&amp;"通"</f>
        <v>七通</v>
      </c>
      <c r="U34" s="2437"/>
      <c r="V34" s="2437"/>
    </row>
    <row r="35" spans="1:30">
      <c r="A35" s="2427"/>
      <c r="B35" s="3637" t="s">
        <v>2229</v>
      </c>
      <c r="C35" s="3637"/>
      <c r="D35" s="3637"/>
      <c r="E35" s="363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B3/2</f>
        <v>30.45</v>
      </c>
      <c r="B3" s="11">
        <f>IF(C3="否",G5-AT5,G5)</f>
        <v>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60.9</v>
      </c>
      <c r="H5" s="13">
        <f t="shared" ref="H5:AT5" si="0">SUM(H13:H656)</f>
        <v>60.9</v>
      </c>
      <c r="I5" s="13">
        <f t="shared" si="0"/>
        <v>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60.9</v>
      </c>
      <c r="BA5" s="15">
        <f t="shared" si="1"/>
        <v>60.9</v>
      </c>
      <c r="BB5" s="15">
        <f t="shared" si="1"/>
        <v>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30.45</v>
      </c>
      <c r="F6" s="13" t="s">
        <v>0</v>
      </c>
      <c r="G6" s="13" t="s">
        <v>1</v>
      </c>
      <c r="H6" s="17">
        <f>SUMIF(I$12:AB$12,"总值",I6:AB6)</f>
        <v>30.45</v>
      </c>
      <c r="I6" s="13">
        <f t="shared" ref="I6:AB6" si="2">ROUND($A$3*I5/$B$3,2)</f>
        <v>30.45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30.45</v>
      </c>
      <c r="AZ6" s="13" t="s">
        <v>2</v>
      </c>
      <c r="BA6" s="13">
        <f>ROUND($AY$6*BA5/$AZ$5,2)</f>
        <v>30.45</v>
      </c>
      <c r="BB6" s="13">
        <f>ROUND($AY$6*BB5/$AZ$5,2)</f>
        <v>30.45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30.45</v>
      </c>
      <c r="F13" s="29"/>
      <c r="G13" s="30">
        <f>H13+AC13+AT13</f>
        <v>60.9</v>
      </c>
      <c r="H13" s="17">
        <f>SUMIF(I$12:AB$12,"总值",I13:AB13)</f>
        <v>60.9</v>
      </c>
      <c r="I13" s="1626">
        <v>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30.45</v>
      </c>
      <c r="AZ13" s="13">
        <f>BA13+BL13</f>
        <v>60.9</v>
      </c>
      <c r="BA13" s="13">
        <f>SUM(BB13:BK13)</f>
        <v>60.9</v>
      </c>
      <c r="BB13" s="13">
        <f>IF($D13="是",I13-J13,0)</f>
        <v>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0" sqref="G3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69" t="s">
        <v>1131</v>
      </c>
      <c r="B2" s="3669"/>
      <c r="C2" s="3669"/>
      <c r="D2" s="796" t="s">
        <v>1107</v>
      </c>
      <c r="E2" s="1639" t="s">
        <v>1108</v>
      </c>
      <c r="F2" s="2657"/>
      <c r="G2" s="2648"/>
      <c r="H2" s="2649"/>
      <c r="I2" s="2324" t="s">
        <v>1132</v>
      </c>
      <c r="J2" s="2657"/>
      <c r="K2" s="2657"/>
      <c r="L2" s="2657"/>
      <c r="M2" s="2657"/>
      <c r="N2" s="2659"/>
      <c r="O2" s="2657"/>
      <c r="P2" s="2657"/>
    </row>
    <row r="3" spans="1:16" ht="15" thickBot="1">
      <c r="A3" s="3670" t="s">
        <v>1105</v>
      </c>
      <c r="B3" s="3670"/>
      <c r="C3" s="3670"/>
      <c r="D3" s="43">
        <f>'数据-基础表'!AY6</f>
        <v>30.45</v>
      </c>
      <c r="E3" s="43">
        <f>'数据-基础表'!AZ5</f>
        <v>60.9</v>
      </c>
      <c r="F3" s="2657"/>
      <c r="G3" s="1145"/>
      <c r="H3" s="1026" t="s">
        <v>1106</v>
      </c>
      <c r="I3" s="855">
        <f>ROUND('数据-基础表'!B3/'数据-基础表'!A3,2)</f>
        <v>2</v>
      </c>
      <c r="J3" s="2657"/>
      <c r="K3" s="2657"/>
      <c r="L3" s="2657"/>
      <c r="M3" s="2657"/>
      <c r="N3" s="2659"/>
      <c r="O3" s="2657"/>
      <c r="P3" s="2657"/>
    </row>
    <row r="4" spans="1:16" ht="14.4">
      <c r="A4" s="3671"/>
      <c r="B4" s="3672"/>
      <c r="C4" s="3673"/>
      <c r="D4" s="1641" t="s">
        <v>1107</v>
      </c>
      <c r="E4" s="1642" t="s">
        <v>1108</v>
      </c>
      <c r="F4" s="2657"/>
      <c r="G4" s="2650" t="s">
        <v>1133</v>
      </c>
      <c r="H4" s="1026" t="s">
        <v>1113</v>
      </c>
      <c r="I4" s="855">
        <f>ROUND(SUMIF('数据-基础表'!I9:AS9,"地上",'数据-基础表'!I5:AS5)/'数据-基础表'!A3,2)</f>
        <v>2</v>
      </c>
      <c r="J4" s="2657"/>
      <c r="K4" s="2657"/>
      <c r="L4" s="2657"/>
      <c r="M4" s="2657"/>
      <c r="N4" s="2659"/>
      <c r="O4" s="2657"/>
      <c r="P4" s="2657"/>
    </row>
    <row r="5" spans="1:16" ht="14.4">
      <c r="A5" s="44" t="s">
        <v>1109</v>
      </c>
      <c r="B5" s="3674" t="s">
        <v>1110</v>
      </c>
      <c r="C5" s="3674"/>
      <c r="D5" s="45">
        <f>ROUND($D$3*E5/$E$3,2)</f>
        <v>30.45</v>
      </c>
      <c r="E5" s="46">
        <f>SUMIF('数据-基础表'!$11:$11,"住宅",'数据-基础表'!$5:$5)</f>
        <v>60.9</v>
      </c>
      <c r="F5" s="2657"/>
      <c r="G5" s="1145"/>
      <c r="H5" s="1026" t="s">
        <v>1106</v>
      </c>
      <c r="I5" s="855">
        <f>ROUND(E31/D31,2)</f>
        <v>2</v>
      </c>
      <c r="J5" s="2657"/>
      <c r="K5" s="2657"/>
      <c r="L5" s="2657"/>
      <c r="M5" s="2657"/>
      <c r="N5" s="2657"/>
      <c r="O5" s="2657"/>
      <c r="P5" s="2657"/>
    </row>
    <row r="6" spans="1:16" ht="15" thickBot="1">
      <c r="A6" s="1644"/>
      <c r="B6" s="3674" t="s">
        <v>1111</v>
      </c>
      <c r="C6" s="3674"/>
      <c r="D6" s="45">
        <f>ROUND($D$3*E6/$E$3,2)</f>
        <v>0</v>
      </c>
      <c r="E6" s="46">
        <f>E3-E5</f>
        <v>0</v>
      </c>
      <c r="F6" s="2657"/>
      <c r="G6" s="2651" t="s">
        <v>1112</v>
      </c>
      <c r="H6" s="1146" t="s">
        <v>1113</v>
      </c>
      <c r="I6" s="2652">
        <f>ROUND(F31/D31,2)</f>
        <v>2</v>
      </c>
      <c r="J6" s="2657"/>
      <c r="K6" s="2657"/>
      <c r="L6" s="2657"/>
      <c r="M6" s="2657"/>
      <c r="N6" s="2657"/>
      <c r="O6" s="2657"/>
      <c r="P6" s="2657"/>
    </row>
    <row r="7" spans="1:16" ht="15" thickBot="1">
      <c r="A7" s="3666"/>
      <c r="B7" s="3667"/>
      <c r="C7" s="3668"/>
      <c r="D7" s="1641" t="s">
        <v>1107</v>
      </c>
      <c r="E7" s="1645" t="s">
        <v>1114</v>
      </c>
      <c r="F7" s="2657"/>
      <c r="G7" s="2653" t="s">
        <v>1115</v>
      </c>
      <c r="H7" s="2654"/>
      <c r="I7" s="2655">
        <v>2</v>
      </c>
      <c r="J7" s="2657"/>
      <c r="K7" s="2657"/>
      <c r="L7" s="2657"/>
      <c r="M7" s="2657"/>
      <c r="N7" s="2657"/>
      <c r="O7" s="2657"/>
      <c r="P7" s="2657"/>
    </row>
    <row r="8" spans="1:16" ht="14.4">
      <c r="A8" s="44" t="s">
        <v>1116</v>
      </c>
      <c r="B8" s="47" t="s">
        <v>1117</v>
      </c>
      <c r="C8" s="45" t="s">
        <v>1118</v>
      </c>
      <c r="D8" s="45">
        <f t="shared" ref="D8:D15" si="0">ROUND($D$3*E8/$E$3,2)</f>
        <v>30.45</v>
      </c>
      <c r="E8" s="48">
        <f>SUMIF('数据-基础表'!BB10:BK10,"地上",'数据-基础表'!BB5:BK5)</f>
        <v>60.9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30.45</v>
      </c>
      <c r="E16" s="50">
        <f>SUM(E8:E15)</f>
        <v>60.9</v>
      </c>
      <c r="F16" s="2657"/>
      <c r="G16" s="2658"/>
      <c r="H16" s="1648" t="s">
        <v>1135</v>
      </c>
      <c r="I16" s="1649"/>
      <c r="J16" s="1139"/>
      <c r="K16" s="3663" t="s">
        <v>1135</v>
      </c>
      <c r="L16" s="3664"/>
      <c r="M16" s="3664"/>
      <c r="N16" s="3664"/>
      <c r="O16" s="3664"/>
      <c r="P16" s="3665"/>
    </row>
    <row r="17" spans="1:19" ht="14.4">
      <c r="A17" s="1650" t="s">
        <v>1136</v>
      </c>
      <c r="B17" s="1651" t="s">
        <v>1137</v>
      </c>
      <c r="C17" s="1652" t="s">
        <v>1138</v>
      </c>
      <c r="D17" s="1653" t="s">
        <v>1126</v>
      </c>
      <c r="E17" s="1654" t="s">
        <v>1127</v>
      </c>
      <c r="F17" s="1655"/>
      <c r="G17" s="1656"/>
      <c r="H17" s="1657" t="s">
        <v>1139</v>
      </c>
      <c r="I17" s="1658" t="s">
        <v>1124</v>
      </c>
      <c r="J17" s="1139"/>
      <c r="K17" s="3660" t="s">
        <v>1140</v>
      </c>
      <c r="L17" s="3661"/>
      <c r="M17" s="3662"/>
      <c r="N17" s="3660" t="s">
        <v>1141</v>
      </c>
      <c r="O17" s="3661"/>
      <c r="P17" s="366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30.45</v>
      </c>
      <c r="E19" s="53">
        <f t="shared" ref="E19:E26" si="1">SUM(F19:G19)</f>
        <v>60.9</v>
      </c>
      <c r="F19" s="2793">
        <f>'数据-基础表'!I13</f>
        <v>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30.45</v>
      </c>
      <c r="S19" s="1027">
        <f t="shared" si="5"/>
        <v>60.9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30.45</v>
      </c>
      <c r="E27" s="1141">
        <f>IF(SUM(E19:E26)='数据-基础表'!BA5,SUM(E19:E26),IF(F27="地上面积有误","面积有误","地下面积有误"))</f>
        <v>60.9</v>
      </c>
      <c r="F27" s="1140">
        <f>IF(SUM(F19:F26)=E8,SUM(F19:F26),"地上面积有误")</f>
        <v>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30.45</v>
      </c>
      <c r="S27" s="1026">
        <f>IF(SUM(S19:S26)=$E$3,SUM(S19:S26),SUM(S19:S26)&amp;"误差"&amp;ROUND(SUM(S19:S26)-E3,2))</f>
        <v>60.9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30.45</v>
      </c>
      <c r="E31" s="676">
        <f>E27+E30</f>
        <v>60.9</v>
      </c>
      <c r="F31" s="677">
        <f>F27+F30</f>
        <v>60.9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D56" sqref="AD5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38689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60.9</v>
      </c>
      <c r="L6" s="733">
        <v>1800</v>
      </c>
      <c r="M6" s="67">
        <f t="shared" ref="M6:M14" si="0">ROUND(K6*L6/10000,0)</f>
        <v>11</v>
      </c>
      <c r="N6" s="731">
        <v>0.74</v>
      </c>
      <c r="O6" s="67" t="str">
        <f>IF($N$5="成新度","——",ROUND(M6*N6,0))</f>
        <v>——</v>
      </c>
      <c r="P6" s="68" t="str">
        <f>IF($N$5="成新度","——",M6-O6)</f>
        <v>——</v>
      </c>
      <c r="Q6" s="734">
        <v>0.15</v>
      </c>
      <c r="R6" s="69">
        <f ca="1">SUMIF('数据-汇总表'!C$19:C$33,A6,'数据-汇总表'!R$19:R$27)</f>
        <v>30.45</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0.74</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3446</v>
      </c>
      <c r="AO6" s="52">
        <f ca="1">SUMIF(INDIRECT("'"&amp;AN6&amp;"'"&amp;"!A:A"),"总价",INDIRECT("'"&amp;AN6&amp;"'"&amp;"!B:B"))</f>
        <v>50.3538</v>
      </c>
      <c r="AP6" s="1716">
        <f>IF(C6="住宅",K6*L6,0)</f>
        <v>109620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60.9</v>
      </c>
      <c r="L16" s="93">
        <f>ROUND(M16*10000/SUM(K6:K14),0)</f>
        <v>1806</v>
      </c>
      <c r="M16" s="93">
        <f>SUM(M6:M14)</f>
        <v>11</v>
      </c>
      <c r="N16" s="94">
        <f>ROUND(SUMPRODUCT(M6:M14,N6:N14)/M16,3)</f>
        <v>0.74</v>
      </c>
      <c r="O16" s="93">
        <f>SUM(O6:O14)</f>
        <v>0</v>
      </c>
      <c r="P16" s="93">
        <f>SUM(P6:P14)</f>
        <v>0</v>
      </c>
      <c r="Q16" s="95">
        <f>ROUND(SUMPRODUCT(Q6:Q13,K6:K13)/SUMPRODUCT((Q6:Q13&gt;0)*(K6:K13)),2)</f>
        <v>0.15</v>
      </c>
      <c r="R16" s="1034">
        <f ca="1">SUM(R6:R13)</f>
        <v>30.45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ROUND(1-(2005-1992)/50,2)</f>
        <v>0.74</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5.7599999999999998E-2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75" t="s">
        <v>2286</v>
      </c>
      <c r="B1" s="3676"/>
      <c r="C1" s="3676"/>
      <c r="D1" s="3676"/>
      <c r="E1" s="3676"/>
      <c r="F1" s="3676"/>
      <c r="G1" s="36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60.9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38689</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17</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60.9</v>
      </c>
      <c r="C14" s="2516"/>
      <c r="D14" s="2516">
        <f ca="1">结果表!G19</f>
        <v>17</v>
      </c>
      <c r="E14" s="2516">
        <f ca="1">ROUND(D14*10000/B14,0)</f>
        <v>2791</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29" sqref="F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11" t="str">
        <f>项目基本情况!S2</f>
        <v>北京市房地产</v>
      </c>
      <c r="B2" s="3712"/>
      <c r="C2" s="3712"/>
      <c r="D2" s="3712"/>
      <c r="E2" s="3712"/>
      <c r="F2" s="3712"/>
      <c r="G2" s="3712"/>
      <c r="H2" s="3712"/>
      <c r="I2" s="3713"/>
    </row>
    <row r="3" spans="1:12" ht="13.2">
      <c r="A3" s="3715" t="s">
        <v>1264</v>
      </c>
      <c r="B3" s="3716"/>
      <c r="C3" s="3716"/>
      <c r="D3" s="3716"/>
      <c r="E3" s="3716"/>
      <c r="F3" s="3716"/>
      <c r="G3" s="3716"/>
      <c r="H3" s="3716"/>
      <c r="I3" s="3716"/>
    </row>
    <row r="4" spans="1:12" ht="14.4">
      <c r="A4" s="1754" t="s">
        <v>1265</v>
      </c>
      <c r="B4" s="1755" t="s">
        <v>1266</v>
      </c>
      <c r="C4" s="1756" t="s">
        <v>3581</v>
      </c>
      <c r="D4" s="1756" t="s">
        <v>3397</v>
      </c>
      <c r="E4" s="3717" t="s">
        <v>1267</v>
      </c>
      <c r="F4" s="3718"/>
      <c r="G4" s="3718"/>
      <c r="H4" s="3718"/>
      <c r="I4" s="37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1" t="s">
        <v>1268</v>
      </c>
      <c r="B5" s="3678">
        <v>25</v>
      </c>
      <c r="C5" s="3694">
        <v>0</v>
      </c>
      <c r="D5" s="3714">
        <f>10-C5</f>
        <v>10</v>
      </c>
      <c r="E5" s="131" t="s">
        <v>1269</v>
      </c>
      <c r="F5" s="1757"/>
      <c r="G5" s="1757"/>
      <c r="H5" s="1757"/>
      <c r="I5" s="1373"/>
    </row>
    <row r="6" spans="1:12" ht="13.2">
      <c r="A6" s="3691"/>
      <c r="B6" s="3678"/>
      <c r="C6" s="3695"/>
      <c r="D6" s="3714"/>
      <c r="E6" s="131" t="s">
        <v>1270</v>
      </c>
      <c r="F6" s="1757"/>
      <c r="G6" s="1757"/>
      <c r="H6" s="1757"/>
      <c r="I6" s="1373"/>
    </row>
    <row r="7" spans="1:12" ht="13.2">
      <c r="A7" s="3691"/>
      <c r="B7" s="3678"/>
      <c r="C7" s="3696"/>
      <c r="D7" s="3714"/>
      <c r="E7" s="131" t="s">
        <v>1271</v>
      </c>
      <c r="F7" s="1757"/>
      <c r="G7" s="1757"/>
      <c r="H7" s="1757"/>
      <c r="I7" s="1373"/>
    </row>
    <row r="8" spans="1:12" ht="13.2">
      <c r="A8" s="3691" t="s">
        <v>1272</v>
      </c>
      <c r="B8" s="3678">
        <v>15</v>
      </c>
      <c r="C8" s="3694"/>
      <c r="D8" s="3714"/>
      <c r="E8" s="131" t="s">
        <v>1273</v>
      </c>
      <c r="F8" s="1757"/>
      <c r="G8" s="1757"/>
      <c r="H8" s="1757"/>
      <c r="I8" s="1373"/>
    </row>
    <row r="9" spans="1:12" ht="13.2">
      <c r="A9" s="3691"/>
      <c r="B9" s="3678"/>
      <c r="C9" s="3696"/>
      <c r="D9" s="3714"/>
      <c r="E9" s="131" t="s">
        <v>1274</v>
      </c>
      <c r="F9" s="1757"/>
      <c r="G9" s="1757"/>
      <c r="H9" s="1757"/>
      <c r="I9" s="1373"/>
    </row>
    <row r="10" spans="1:12" ht="13.2">
      <c r="A10" s="3691" t="s">
        <v>1275</v>
      </c>
      <c r="B10" s="3678">
        <v>15</v>
      </c>
      <c r="C10" s="3694"/>
      <c r="D10" s="3714"/>
      <c r="E10" s="131" t="s">
        <v>1276</v>
      </c>
      <c r="F10" s="1757"/>
      <c r="G10" s="1757"/>
      <c r="H10" s="1757"/>
      <c r="I10" s="1373"/>
    </row>
    <row r="11" spans="1:12" ht="13.2">
      <c r="A11" s="3691"/>
      <c r="B11" s="3678"/>
      <c r="C11" s="3696"/>
      <c r="D11" s="3714"/>
      <c r="E11" s="131" t="s">
        <v>1277</v>
      </c>
      <c r="F11" s="1757"/>
      <c r="G11" s="1757"/>
      <c r="H11" s="1757"/>
      <c r="I11" s="1373"/>
    </row>
    <row r="12" spans="1:12" ht="13.2">
      <c r="A12" s="3691" t="s">
        <v>1278</v>
      </c>
      <c r="B12" s="3678">
        <v>15</v>
      </c>
      <c r="C12" s="3694"/>
      <c r="D12" s="3714"/>
      <c r="E12" s="131" t="s">
        <v>1279</v>
      </c>
      <c r="F12" s="1757"/>
      <c r="G12" s="1757"/>
      <c r="H12" s="1757"/>
      <c r="I12" s="1373"/>
    </row>
    <row r="13" spans="1:12" ht="13.2">
      <c r="A13" s="3691"/>
      <c r="B13" s="3678"/>
      <c r="C13" s="3696"/>
      <c r="D13" s="3714"/>
      <c r="E13" s="131" t="s">
        <v>1280</v>
      </c>
      <c r="F13" s="1757"/>
      <c r="G13" s="1757"/>
      <c r="H13" s="1757"/>
      <c r="I13" s="1373"/>
    </row>
    <row r="14" spans="1:12" ht="13.2">
      <c r="A14" s="3691" t="s">
        <v>1281</v>
      </c>
      <c r="B14" s="3678">
        <v>30</v>
      </c>
      <c r="C14" s="3694"/>
      <c r="D14" s="3714"/>
      <c r="E14" s="131" t="s">
        <v>1282</v>
      </c>
      <c r="F14" s="1757"/>
      <c r="G14" s="1757"/>
      <c r="H14" s="1757"/>
      <c r="I14" s="1373"/>
    </row>
    <row r="15" spans="1:12" ht="13.2">
      <c r="A15" s="3691"/>
      <c r="B15" s="3678"/>
      <c r="C15" s="3695"/>
      <c r="D15" s="3714"/>
      <c r="E15" s="131" t="s">
        <v>1283</v>
      </c>
      <c r="F15" s="1757"/>
      <c r="G15" s="1757"/>
      <c r="H15" s="1757"/>
      <c r="I15" s="1373"/>
    </row>
    <row r="16" spans="1:12" ht="13.2">
      <c r="A16" s="3691"/>
      <c r="B16" s="3678"/>
      <c r="C16" s="3696"/>
      <c r="D16" s="3714"/>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01" t="s">
        <v>2131</v>
      </c>
      <c r="F18" s="3702"/>
      <c r="G18" s="3702"/>
      <c r="H18" s="3702"/>
      <c r="I18" s="3702"/>
      <c r="K18" s="302" t="s">
        <v>1289</v>
      </c>
      <c r="L18" s="302">
        <f>IF(C1="",'数据-汇总表'!E3,SUMIF(项目类型,C1,'数据-汇总表'!E17:E26)+SUMIF(项目类型,C1,'数据-汇总表'!I17:I26))</f>
        <v>60.9</v>
      </c>
      <c r="M18" s="302">
        <f>IF(C1="",'数据-汇总表'!E3,SUMIF(项目类型,C1,'数据-汇总表'!E17:E26))</f>
        <v>60.9</v>
      </c>
    </row>
    <row r="19" spans="1:36" ht="14.4">
      <c r="A19" s="1761" t="s">
        <v>1290</v>
      </c>
      <c r="B19" s="1762" t="s">
        <v>1291</v>
      </c>
      <c r="C19" s="134">
        <f ca="1">SUMIF(INDIRECT("'"&amp;C4&amp;"'"&amp;"!A:A"),结果表!B19,INDIRECT("'"&amp;C4&amp;"'"&amp;"!B:B"))</f>
        <v>34.552199999999999</v>
      </c>
      <c r="D19" s="135">
        <f ca="1">SUMIF(INDIRECT("'"&amp;D4&amp;"'"&amp;"!A:A"),结果表!B19,INDIRECT("'"&amp;D4&amp;"'"&amp;"!B:B"))</f>
        <v>16.631799999999998</v>
      </c>
      <c r="E19" s="1761" t="s">
        <v>1292</v>
      </c>
      <c r="F19" s="1762" t="s">
        <v>1291</v>
      </c>
      <c r="G19" s="136">
        <f ca="1">ROUND(C19*$C$18+D19*$D$18,0)</f>
        <v>17</v>
      </c>
      <c r="H19" s="1763" t="s">
        <v>1293</v>
      </c>
      <c r="I19" s="129"/>
      <c r="K19" s="302" t="s">
        <v>1294</v>
      </c>
      <c r="L19" s="302">
        <f>IF(C1="",'数据-汇总表'!D3,SUMIF(项目类型,C1,'数据-汇总表'!D17:D26)+SUMIF(项目类型,C1,'数据-汇总表'!H17:H27))</f>
        <v>30.45</v>
      </c>
      <c r="M19" s="302">
        <f>IF(C1="",'数据-汇总表'!D3,SUMIF(项目类型,C1,'数据-汇总表'!D17:D26))</f>
        <v>30.45</v>
      </c>
    </row>
    <row r="20" spans="1:36" ht="14.4">
      <c r="A20" s="1764"/>
      <c r="B20" s="1026" t="s">
        <v>1295</v>
      </c>
      <c r="C20" s="137">
        <f ca="1">SUMIF(INDIRECT("'"&amp;C4&amp;"'"&amp;"!A:A"),结果表!B20,INDIRECT("'"&amp;C4&amp;"'"&amp;"!B:B"))</f>
        <v>5674</v>
      </c>
      <c r="D20" s="138">
        <f ca="1">SUMIF(INDIRECT("'"&amp;D4&amp;"'"&amp;"!A:A"),结果表!B20,INDIRECT("'"&amp;D4&amp;"'"&amp;"!B:B"))</f>
        <v>2731</v>
      </c>
      <c r="E20" s="1764"/>
      <c r="F20" s="1026" t="s">
        <v>1295</v>
      </c>
      <c r="G20" s="139">
        <f ca="1">ROUND(C20*$C$18+D20*$D$18,0)</f>
        <v>2731</v>
      </c>
      <c r="H20" s="808" t="s">
        <v>1296</v>
      </c>
      <c r="I20" s="129"/>
    </row>
    <row r="21" spans="1:36" ht="15" customHeight="1" thickBot="1">
      <c r="A21" s="828"/>
      <c r="B21" s="1765" t="s">
        <v>1297</v>
      </c>
      <c r="C21" s="719">
        <f ca="1">ROUND(C19*10000/L19,0)</f>
        <v>11347</v>
      </c>
      <c r="D21" s="720">
        <f ca="1">ROUND(D19*10000/L19,0)</f>
        <v>5462</v>
      </c>
      <c r="E21" s="828"/>
      <c r="F21" s="1765" t="s">
        <v>1297</v>
      </c>
      <c r="G21" s="140">
        <f ca="1">ROUND(G19*10000/L19,0)</f>
        <v>5583</v>
      </c>
      <c r="H21" s="1766" t="s">
        <v>1296</v>
      </c>
      <c r="I21" s="129"/>
    </row>
    <row r="22" spans="1:36" ht="15" thickBot="1">
      <c r="A22" s="1688" t="s">
        <v>1298</v>
      </c>
      <c r="B22" s="1767"/>
      <c r="C22" s="1768"/>
      <c r="D22" s="721">
        <f ca="1">IF(C19&lt;D19,D19/C19-1,C19/D19-1)</f>
        <v>1.0774780841520464</v>
      </c>
      <c r="E22" s="129"/>
      <c r="F22" s="129"/>
      <c r="G22" s="129">
        <f ca="1">G20*'数据-汇总表'!E19</f>
        <v>166317.9</v>
      </c>
      <c r="H22" s="129"/>
      <c r="I22" s="129"/>
    </row>
    <row r="23" spans="1:36" ht="13.8" thickBot="1">
      <c r="A23" s="1747"/>
      <c r="B23" s="1747"/>
      <c r="C23" s="1747"/>
      <c r="D23" s="1747"/>
      <c r="E23" s="129"/>
      <c r="F23" s="129"/>
      <c r="G23" s="129"/>
      <c r="H23" s="129"/>
      <c r="I23" s="129"/>
    </row>
    <row r="24" spans="1:36" ht="14.4">
      <c r="A24" s="3685" t="s">
        <v>1299</v>
      </c>
      <c r="B24" s="1762" t="s">
        <v>1291</v>
      </c>
      <c r="C24" s="136">
        <f>IF(B30=0,0,D30)</f>
        <v>0</v>
      </c>
      <c r="D24" s="1769"/>
      <c r="E24" s="129"/>
      <c r="F24" s="129"/>
      <c r="G24" s="129"/>
      <c r="H24" s="129"/>
      <c r="I24" s="129"/>
    </row>
    <row r="25" spans="1:36" ht="14.4">
      <c r="A25" s="36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2731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05" t="s">
        <v>1312</v>
      </c>
      <c r="B36" s="1787" t="s">
        <v>1313</v>
      </c>
      <c r="C36" s="145"/>
      <c r="D36" s="1788"/>
      <c r="E36" s="1789"/>
      <c r="F36" s="1790"/>
      <c r="G36" s="129"/>
      <c r="H36" s="129"/>
      <c r="I36" s="129"/>
    </row>
    <row r="37" spans="1:15" ht="15" thickBot="1">
      <c r="A37" s="3706"/>
      <c r="B37" s="1674" t="s">
        <v>1314</v>
      </c>
      <c r="C37" s="147"/>
      <c r="D37" s="1139"/>
      <c r="E37" s="1139"/>
      <c r="F37" s="1790"/>
      <c r="G37" s="129"/>
      <c r="H37" s="129"/>
      <c r="I37" s="129"/>
    </row>
    <row r="38" spans="1:15" ht="15" thickBot="1">
      <c r="A38" s="370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2" t="s">
        <v>1326</v>
      </c>
      <c r="B45" s="3683"/>
      <c r="C45" s="3684"/>
      <c r="D45" s="155" t="e">
        <f ca="1">ROUND(H101*F45,0)</f>
        <v>#REF!</v>
      </c>
      <c r="E45" s="156" t="s">
        <v>1327</v>
      </c>
      <c r="F45" s="157">
        <v>1</v>
      </c>
      <c r="G45" s="158" t="s">
        <v>1328</v>
      </c>
      <c r="H45" s="129"/>
      <c r="I45" s="129"/>
      <c r="J45" s="3760" t="s">
        <v>1329</v>
      </c>
      <c r="K45" s="3760"/>
      <c r="L45" s="3760"/>
      <c r="M45" s="3760"/>
      <c r="N45" s="3760"/>
      <c r="O45" s="3760"/>
    </row>
    <row r="46" spans="1:15" ht="14.25" customHeight="1">
      <c r="A46" s="3679" t="s">
        <v>1330</v>
      </c>
      <c r="B46" s="3680"/>
      <c r="C46" s="3680"/>
      <c r="D46" s="3680"/>
      <c r="E46" s="3680"/>
      <c r="F46" s="3680"/>
      <c r="G46" s="3681"/>
      <c r="H46" s="1806"/>
      <c r="I46" s="159"/>
      <c r="J46" s="2521">
        <v>1</v>
      </c>
      <c r="K46" s="3741" t="s">
        <v>1331</v>
      </c>
      <c r="L46" s="3741"/>
      <c r="M46" s="3761"/>
      <c r="N46" s="3761"/>
      <c r="O46" s="3761"/>
    </row>
    <row r="47" spans="1:15" ht="12" customHeight="1">
      <c r="A47" s="160" t="s">
        <v>1332</v>
      </c>
      <c r="B47" s="161"/>
      <c r="C47" s="162"/>
      <c r="D47" s="1087" t="s">
        <v>1333</v>
      </c>
      <c r="E47" s="302" t="s">
        <v>1334</v>
      </c>
      <c r="F47" s="163" t="s">
        <v>1335</v>
      </c>
      <c r="G47" s="2544" t="s">
        <v>1336</v>
      </c>
      <c r="H47" s="2545"/>
      <c r="I47" s="159"/>
      <c r="J47" s="2521">
        <v>2</v>
      </c>
      <c r="K47" s="3741" t="s">
        <v>1337</v>
      </c>
      <c r="L47" s="3741"/>
      <c r="M47" s="3762">
        <f>'数据-取费表'!B2</f>
        <v>38689</v>
      </c>
      <c r="N47" s="3762"/>
      <c r="O47" s="3762"/>
    </row>
    <row r="48" spans="1:15" ht="26.4">
      <c r="A48" s="3710" t="s">
        <v>1338</v>
      </c>
      <c r="B48" s="3693"/>
      <c r="C48" s="3693"/>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6"/>
      <c r="J48" s="2521">
        <v>3</v>
      </c>
      <c r="K48" s="3741" t="s">
        <v>1340</v>
      </c>
      <c r="L48" s="3741"/>
      <c r="M48" s="3763" t="e">
        <f ca="1">H101</f>
        <v>#REF!</v>
      </c>
      <c r="N48" s="3763"/>
      <c r="O48" s="3763"/>
    </row>
    <row r="49" spans="1:35" ht="25.5" customHeight="1">
      <c r="A49" s="2332" t="s">
        <v>1341</v>
      </c>
      <c r="B49" s="3677" t="s">
        <v>1342</v>
      </c>
      <c r="C49" s="3677"/>
      <c r="D49" s="1590">
        <v>0</v>
      </c>
      <c r="E49" s="324" t="s">
        <v>1343</v>
      </c>
      <c r="F49" s="2422" t="s">
        <v>28</v>
      </c>
      <c r="G49" s="3747"/>
      <c r="H49" s="2309" t="s">
        <v>2134</v>
      </c>
      <c r="I49" s="2310"/>
      <c r="J49" s="2521">
        <v>4</v>
      </c>
      <c r="K49" s="3741" t="str">
        <f>IF(项目基本情况!E8="房地产抵押价值","房地产抵押价值","抵押担保权已注销时的房地产抵押价值")</f>
        <v>抵押担保权已注销时的房地产抵押价值</v>
      </c>
      <c r="L49" s="3741"/>
      <c r="M49" s="3763" t="str">
        <f>IF(项目基本情况!E8="房地产抵押价值",H107,H109)</f>
        <v>——</v>
      </c>
      <c r="N49" s="3763"/>
      <c r="O49" s="3763"/>
    </row>
    <row r="50" spans="1:35" ht="25.5" customHeight="1">
      <c r="A50" s="2549"/>
      <c r="B50" s="3677" t="s">
        <v>1344</v>
      </c>
      <c r="C50" s="3677"/>
      <c r="D50" s="2550"/>
      <c r="E50" s="332"/>
      <c r="F50" s="2422"/>
      <c r="G50" s="3748"/>
      <c r="H50" s="2311" t="s">
        <v>2135</v>
      </c>
      <c r="I50" s="2310"/>
      <c r="J50" s="3760" t="s">
        <v>1345</v>
      </c>
      <c r="K50" s="3760"/>
      <c r="L50" s="3760"/>
      <c r="M50" s="3760"/>
      <c r="N50" s="3760"/>
      <c r="O50" s="3760"/>
    </row>
    <row r="51" spans="1:35" ht="20.399999999999999" customHeight="1">
      <c r="A51" s="2551"/>
      <c r="B51" s="3677" t="s">
        <v>1346</v>
      </c>
      <c r="C51" s="3677"/>
      <c r="D51" s="1087"/>
      <c r="E51" s="327"/>
      <c r="F51" s="2422"/>
      <c r="G51" s="3749"/>
      <c r="H51" s="2311" t="s">
        <v>2136</v>
      </c>
      <c r="I51" s="2310"/>
      <c r="J51" s="2522" t="s">
        <v>1347</v>
      </c>
      <c r="K51" s="3741" t="s">
        <v>1348</v>
      </c>
      <c r="L51" s="3741"/>
      <c r="M51" s="2522" t="s">
        <v>1349</v>
      </c>
      <c r="N51" s="2522" t="s">
        <v>1350</v>
      </c>
      <c r="O51" s="2522" t="s">
        <v>1351</v>
      </c>
    </row>
    <row r="52" spans="1:35" ht="24" customHeight="1">
      <c r="A52" s="2334" t="s">
        <v>1352</v>
      </c>
      <c r="B52" s="3677" t="s">
        <v>1353</v>
      </c>
      <c r="C52" s="3677"/>
      <c r="D52" s="1087" t="e">
        <f ca="1">ROUND(D45*'数据-取费表'!B41/(1+'数据-取费表'!C42),0)</f>
        <v>#REF!</v>
      </c>
      <c r="E52" s="2333" t="s">
        <v>1354</v>
      </c>
      <c r="F52" s="2552">
        <f>'数据-取费表'!B41</f>
        <v>5.5000000000000007E-2</v>
      </c>
      <c r="G52" s="2553"/>
      <c r="H52" s="2542"/>
      <c r="I52" s="1807"/>
      <c r="J52" s="2521">
        <v>1</v>
      </c>
      <c r="K52" s="3742" t="s">
        <v>1355</v>
      </c>
      <c r="L52" s="3742"/>
      <c r="M52" s="2523" t="b">
        <f>D48</f>
        <v>0</v>
      </c>
      <c r="N52" s="2521" t="str">
        <f>E48</f>
        <v>销售额×税（费）率</v>
      </c>
      <c r="O52" s="2524">
        <f>F48</f>
        <v>5.5000000000000007E-2</v>
      </c>
    </row>
    <row r="53" spans="1:35" ht="12" customHeight="1">
      <c r="A53" s="2334" t="s">
        <v>1356</v>
      </c>
      <c r="B53" s="3703" t="s">
        <v>2291</v>
      </c>
      <c r="C53" s="3704"/>
      <c r="D53" s="1087" t="e">
        <f ca="1">ROUND(D45*'数据-取费表'!B41/(1+'数据-取费表'!C42),0)</f>
        <v>#REF!</v>
      </c>
      <c r="E53" s="2333" t="s">
        <v>1354</v>
      </c>
      <c r="F53" s="2552">
        <f>'数据-取费表'!B41</f>
        <v>5.5000000000000007E-2</v>
      </c>
      <c r="G53" s="2553"/>
      <c r="H53" s="2542"/>
      <c r="I53" s="1807"/>
      <c r="J53" s="2521">
        <v>2</v>
      </c>
      <c r="K53" s="3742" t="s">
        <v>1357</v>
      </c>
      <c r="L53" s="3742"/>
      <c r="M53" s="2523" t="e">
        <f t="shared" ref="M53:O54" ca="1" si="0">D55</f>
        <v>#REF!</v>
      </c>
      <c r="N53" s="2521" t="str">
        <f t="shared" si="0"/>
        <v>销售额×税（费）率</v>
      </c>
      <c r="O53" s="2524" t="str">
        <f t="shared" si="0"/>
        <v>免征</v>
      </c>
    </row>
    <row r="54" spans="1:35" ht="12" customHeight="1">
      <c r="A54" s="2334" t="s">
        <v>1358</v>
      </c>
      <c r="B54" s="3703" t="s">
        <v>2292</v>
      </c>
      <c r="C54" s="3704"/>
      <c r="D54" s="1087" t="e">
        <f ca="1">C68</f>
        <v>#REF!</v>
      </c>
      <c r="E54" s="327" t="s">
        <v>1359</v>
      </c>
      <c r="F54" s="2552">
        <f>'数据-取费表'!B41</f>
        <v>5.5000000000000007E-2</v>
      </c>
      <c r="G54" s="2553"/>
      <c r="H54" s="2554"/>
      <c r="I54" s="1807"/>
      <c r="J54" s="2521">
        <v>3</v>
      </c>
      <c r="K54" s="3742" t="s">
        <v>1360</v>
      </c>
      <c r="L54" s="3742"/>
      <c r="M54" s="2523" t="e">
        <f t="shared" ca="1" si="0"/>
        <v>#REF!</v>
      </c>
      <c r="N54" s="2521" t="str">
        <f t="shared" si="0"/>
        <v>增值额×税（费）率</v>
      </c>
      <c r="O54" s="2525" t="str">
        <f t="shared" si="0"/>
        <v>免征</v>
      </c>
    </row>
    <row r="55" spans="1:35" ht="24" customHeight="1">
      <c r="A55" s="3692" t="s">
        <v>1361</v>
      </c>
      <c r="B55" s="3693"/>
      <c r="C55" s="3693"/>
      <c r="D55" s="2323" t="e">
        <f ca="1">IF(H55="个人住宅",0,ROUND(D45*I55,0))</f>
        <v>#REF!</v>
      </c>
      <c r="E55" s="2333" t="s">
        <v>1362</v>
      </c>
      <c r="F55" s="2552" t="str">
        <f>IF(H55="正常",I55,"免征")</f>
        <v>免征</v>
      </c>
      <c r="G55" s="2553"/>
      <c r="H55" s="2548"/>
      <c r="I55" s="165">
        <f>'数据-取费表'!B49</f>
        <v>5.0000000000000001E-4</v>
      </c>
      <c r="J55" s="2521">
        <f>IF(H59="非个人房产","",4)</f>
        <v>4</v>
      </c>
      <c r="K55" s="3742" t="str">
        <f>IF(H59="非个人房产","——","个人所得税")</f>
        <v>个人所得税</v>
      </c>
      <c r="L55" s="3742"/>
      <c r="M55" s="2526" t="e">
        <f ca="1">D59</f>
        <v>#REF!</v>
      </c>
      <c r="N55" s="2039" t="str">
        <f>E59</f>
        <v>差额计税</v>
      </c>
      <c r="O55" s="2527">
        <f>F59</f>
        <v>0.01</v>
      </c>
    </row>
    <row r="56" spans="1:35" ht="25.2">
      <c r="A56" s="3692" t="s">
        <v>1363</v>
      </c>
      <c r="B56" s="3693"/>
      <c r="C56" s="3693"/>
      <c r="D56" s="2323" t="e">
        <f ca="1">IF(H56="个人住宅",D57,D58)</f>
        <v>#REF!</v>
      </c>
      <c r="E56" s="2333" t="s">
        <v>1364</v>
      </c>
      <c r="F56" s="2552" t="str">
        <f>IF(H56="正常",F58,"免征")</f>
        <v>免征</v>
      </c>
      <c r="G56" s="2555" t="s">
        <v>1365</v>
      </c>
      <c r="H56" s="2556"/>
      <c r="I56" s="1808"/>
      <c r="J56" s="2521" t="str">
        <f>IF(项目基本情况!K6="上海银行",IF(J55="",4,J55+1),"")</f>
        <v/>
      </c>
      <c r="K56" s="3765" t="str">
        <f>IF(项目基本情况!K6="上海银行","其他处置费用","")</f>
        <v/>
      </c>
      <c r="L56" s="3766"/>
      <c r="M56" s="2523" t="str">
        <f>IF(项目基本情况!K6="上海银行",M69,"")</f>
        <v/>
      </c>
      <c r="N56" s="3765" t="str">
        <f>IF(项目基本情况!K6="上海银行","包含处置中涉及的律师、诉讼、拍卖、评估等费用","")</f>
        <v/>
      </c>
      <c r="O56" s="3768"/>
    </row>
    <row r="57" spans="1:35" ht="13.2">
      <c r="A57" s="2334" t="s">
        <v>1341</v>
      </c>
      <c r="B57" s="3703" t="s">
        <v>1366</v>
      </c>
      <c r="C57" s="3704"/>
      <c r="D57" s="1590">
        <v>0</v>
      </c>
      <c r="E57" s="324" t="s">
        <v>1343</v>
      </c>
      <c r="F57" s="302"/>
      <c r="G57" s="2553"/>
      <c r="H57" s="2557"/>
      <c r="I57" s="1808"/>
      <c r="J57" s="3742">
        <f>IF(AND(J55="",J56=""),4,IF(项目基本情况!K6="上海银行",结果表!J56+1,结果表!J55+1))</f>
        <v>5</v>
      </c>
      <c r="K57" s="3742" t="s">
        <v>1367</v>
      </c>
      <c r="L57" s="2528" t="s">
        <v>1368</v>
      </c>
      <c r="M57" s="2529"/>
      <c r="N57" s="2530">
        <f ca="1">SUMIF(M52:M56,"&lt;9e307")</f>
        <v>0</v>
      </c>
      <c r="O57" s="2531"/>
      <c r="P57" s="2688" t="e">
        <f ca="1">N57/M49</f>
        <v>#VALUE!</v>
      </c>
    </row>
    <row r="58" spans="1:35" ht="25.2">
      <c r="A58" s="2334" t="s">
        <v>1352</v>
      </c>
      <c r="B58" s="3703" t="s">
        <v>1369</v>
      </c>
      <c r="C58" s="3677"/>
      <c r="D58" s="2323" t="e">
        <f ca="1">IF(H58="转让取得",C81,C97)</f>
        <v>#REF!</v>
      </c>
      <c r="E58" s="2333" t="s">
        <v>1364</v>
      </c>
      <c r="F58" s="302" t="s">
        <v>28</v>
      </c>
      <c r="G58" s="2553"/>
      <c r="H58" s="2556"/>
      <c r="I58" s="1808"/>
      <c r="J58" s="3742"/>
      <c r="K58" s="3742"/>
      <c r="L58" s="2528" t="s">
        <v>1370</v>
      </c>
      <c r="M58" s="2532"/>
      <c r="N58" s="2533" t="str">
        <f ca="1">NUMBERSTRING(INT(N57*10000),2)&amp;"元整"</f>
        <v>零元整</v>
      </c>
      <c r="O58" s="2534"/>
    </row>
    <row r="59" spans="1:35" ht="24.6" thickBot="1">
      <c r="A59" s="3745" t="s">
        <v>1371</v>
      </c>
      <c r="B59" s="3746"/>
      <c r="C59" s="3746"/>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43">
        <f>J57+1</f>
        <v>6</v>
      </c>
      <c r="K59" s="3742" t="s">
        <v>1372</v>
      </c>
      <c r="L59" s="2521" t="s">
        <v>1368</v>
      </c>
      <c r="M59" s="2535"/>
      <c r="N59" s="2536" t="e">
        <f ca="1">M49-N57</f>
        <v>#VALUE!</v>
      </c>
      <c r="O59" s="2537"/>
    </row>
    <row r="60" spans="1:35" ht="12" customHeight="1">
      <c r="A60" s="1809"/>
      <c r="B60" s="1747"/>
      <c r="C60" s="1747"/>
      <c r="D60" s="1747"/>
      <c r="E60" s="1578"/>
      <c r="F60" s="1808"/>
      <c r="G60" s="1808"/>
      <c r="H60" s="1810"/>
      <c r="I60" s="129"/>
      <c r="J60" s="3744"/>
      <c r="K60" s="3742"/>
      <c r="L60" s="2528" t="s">
        <v>1370</v>
      </c>
      <c r="M60" s="2532"/>
      <c r="N60" s="2533" t="e">
        <f ca="1">NUMBERSTRING(INT(N59*10000),2)&amp;"元整"</f>
        <v>#VALUE!</v>
      </c>
      <c r="O60" s="2534"/>
    </row>
    <row r="61" spans="1:35" ht="13.8" thickBot="1">
      <c r="A61" s="3690" t="s">
        <v>1373</v>
      </c>
      <c r="B61" s="3690"/>
      <c r="C61" s="3690"/>
      <c r="D61" s="3690"/>
      <c r="E61" s="3690"/>
      <c r="F61" s="1808"/>
      <c r="G61" s="1808"/>
      <c r="H61" s="1810"/>
      <c r="I61" s="129"/>
      <c r="J61" s="2521">
        <f>J59+1</f>
        <v>7</v>
      </c>
      <c r="K61" s="3742" t="s">
        <v>1374</v>
      </c>
      <c r="L61" s="3742"/>
      <c r="M61" s="2538"/>
      <c r="N61" s="2539" t="e">
        <f ca="1">ROUND(N59*10000/'数据-汇总表'!E3,0)</f>
        <v>#VALUE!</v>
      </c>
      <c r="O61" s="2540"/>
    </row>
    <row r="62" spans="1:35" ht="13.2">
      <c r="A62" s="3708" t="s">
        <v>1375</v>
      </c>
      <c r="B62" s="3709"/>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76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6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6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76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6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29" t="s">
        <v>1394</v>
      </c>
      <c r="B70" s="3730"/>
      <c r="C70" s="3730"/>
      <c r="D70" s="3730"/>
      <c r="E70" s="3730"/>
      <c r="F70" s="3730"/>
      <c r="G70" s="3730"/>
      <c r="H70" s="37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08" t="s">
        <v>1375</v>
      </c>
      <c r="B71" s="3709"/>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03" t="s">
        <v>1402</v>
      </c>
      <c r="F76" s="3677"/>
      <c r="G76" s="3677"/>
      <c r="H76" s="37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87" t="s">
        <v>1406</v>
      </c>
      <c r="F78" s="3688"/>
      <c r="G78" s="3688"/>
      <c r="H78" s="36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29" t="s">
        <v>1410</v>
      </c>
      <c r="B83" s="3730"/>
      <c r="C83" s="3730"/>
      <c r="D83" s="3730"/>
      <c r="E83" s="3730"/>
      <c r="F83" s="3730"/>
      <c r="G83" s="3730"/>
      <c r="H83" s="37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08" t="s">
        <v>1375</v>
      </c>
      <c r="B84" s="3709"/>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769" t="s">
        <v>2129</v>
      </c>
      <c r="H90" s="3770"/>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87" t="s">
        <v>1419</v>
      </c>
      <c r="F91" s="3688"/>
      <c r="G91" s="36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87" t="s">
        <v>1422</v>
      </c>
      <c r="F92" s="3688"/>
      <c r="G92" s="3688"/>
      <c r="H92" s="3697"/>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87" t="s">
        <v>1406</v>
      </c>
      <c r="F93" s="3688"/>
      <c r="G93" s="3688"/>
      <c r="H93" s="36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98" t="s">
        <v>1426</v>
      </c>
      <c r="F94" s="3699"/>
      <c r="G94" s="3699"/>
      <c r="H94" s="37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1" t="s">
        <v>1428</v>
      </c>
      <c r="B100" s="3672"/>
      <c r="C100" s="3672"/>
      <c r="D100" s="3689"/>
      <c r="E100" s="3672" t="s">
        <v>1429</v>
      </c>
      <c r="F100" s="3672"/>
      <c r="G100" s="3672"/>
      <c r="H100" s="3689"/>
      <c r="I100" s="129"/>
    </row>
    <row r="101" spans="1:35" ht="18.75" customHeight="1">
      <c r="A101" s="3750" t="s">
        <v>1430</v>
      </c>
      <c r="B101" s="3751"/>
      <c r="C101" s="2583" t="str">
        <f>C4</f>
        <v>成本法 (元)</v>
      </c>
      <c r="D101" s="2584" t="str">
        <f>D4</f>
        <v>比较法-住宅</v>
      </c>
      <c r="E101" s="3764" t="s">
        <v>1431</v>
      </c>
      <c r="F101" s="3721"/>
      <c r="G101" s="1827" t="s">
        <v>1432</v>
      </c>
      <c r="H101" s="2593" t="e">
        <f ca="1">H118</f>
        <v>#REF!</v>
      </c>
      <c r="I101" s="129"/>
    </row>
    <row r="102" spans="1:35" ht="18.75" customHeight="1">
      <c r="A102" s="3723" t="s">
        <v>1433</v>
      </c>
      <c r="B102" s="2582" t="s">
        <v>1432</v>
      </c>
      <c r="C102" s="2583">
        <f ca="1">IF(D32="楼面单价",ROUND(C19,0),C19)</f>
        <v>34.552199999999999</v>
      </c>
      <c r="D102" s="2584">
        <f ca="1">IF(D32="楼面单价",ROUND(D19,0),D19)</f>
        <v>16.631799999999998</v>
      </c>
      <c r="E102" s="3764"/>
      <c r="F102" s="3721"/>
      <c r="G102" s="1827" t="s">
        <v>1434</v>
      </c>
      <c r="H102" s="2553" t="e">
        <f ca="1">I118</f>
        <v>#REF!</v>
      </c>
      <c r="I102" s="129"/>
    </row>
    <row r="103" spans="1:35" ht="42.75" customHeight="1">
      <c r="A103" s="3723"/>
      <c r="B103" s="2582" t="s">
        <v>1434</v>
      </c>
      <c r="C103" s="2585">
        <f ca="1">C20</f>
        <v>5674</v>
      </c>
      <c r="D103" s="2586">
        <f ca="1">D20</f>
        <v>2731</v>
      </c>
      <c r="E103" s="3758" t="s">
        <v>1435</v>
      </c>
      <c r="F103" s="3759"/>
      <c r="G103" s="1828" t="s">
        <v>1436</v>
      </c>
      <c r="H103" s="2593">
        <f>IF(D36="正常操作",H104+H105+H106,H105+H106)</f>
        <v>0</v>
      </c>
      <c r="I103" s="129"/>
    </row>
    <row r="104" spans="1:35" ht="18.75" customHeight="1">
      <c r="A104" s="3723"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4"/>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20" t="str">
        <f>IF(项目基本情况!E8="已注销","——","3.房地产抵押价值")</f>
        <v>3.房地产抵押价值</v>
      </c>
      <c r="F107" s="3721"/>
      <c r="G107" s="1827" t="s">
        <v>1432</v>
      </c>
      <c r="H107" s="2593" t="e">
        <f ca="1">IF(E107="——","——",H101-H103)</f>
        <v>#REF!</v>
      </c>
      <c r="I107" s="129"/>
    </row>
    <row r="108" spans="1:35" ht="18.75" customHeight="1">
      <c r="A108" s="129"/>
      <c r="B108" s="129"/>
      <c r="C108" s="129"/>
      <c r="D108" s="129"/>
      <c r="E108" s="3720"/>
      <c r="F108" s="3721"/>
      <c r="G108" s="1827" t="s">
        <v>1434</v>
      </c>
      <c r="H108" s="2553">
        <f ca="1">IF(H107=H101,H102,ROUND(H107*10000/'数据-汇总表'!E3,0))</f>
        <v>0</v>
      </c>
      <c r="I108" s="129"/>
    </row>
    <row r="109" spans="1:35" ht="18.75" customHeight="1">
      <c r="A109" s="129"/>
      <c r="B109" s="129"/>
      <c r="C109" s="129"/>
      <c r="D109" s="129"/>
      <c r="E109" s="3720" t="str">
        <f>IF(项目基本情况!E8="已注销及未注销","4.抵押担保权已注销时的房地产抵押价值",IF(项目基本情况!E8="已注销","3.抵押担保权已注销时的房地产抵押价值","——"))</f>
        <v>——</v>
      </c>
      <c r="F109" s="3721"/>
      <c r="G109" s="1827" t="s">
        <v>1432</v>
      </c>
      <c r="H109" s="2596" t="str">
        <f>IF(E109="——","——",H101-H105-H106)</f>
        <v>——</v>
      </c>
      <c r="I109" s="129"/>
    </row>
    <row r="110" spans="1:35" ht="18.75" customHeight="1">
      <c r="A110" s="129"/>
      <c r="B110" s="129"/>
      <c r="C110" s="129"/>
      <c r="D110" s="129"/>
      <c r="E110" s="3720"/>
      <c r="F110" s="3721"/>
      <c r="G110" s="1827" t="s">
        <v>1434</v>
      </c>
      <c r="H110" s="2553"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22"/>
      <c r="G111" s="1827" t="s">
        <v>1432</v>
      </c>
      <c r="H111" s="2593" t="str">
        <f>IF(E111="——","——",N59)</f>
        <v>——</v>
      </c>
      <c r="I111" s="129"/>
    </row>
    <row r="112" spans="1:35" ht="18.75" customHeight="1" thickBot="1">
      <c r="A112" s="129"/>
      <c r="B112" s="129"/>
      <c r="C112" s="129"/>
      <c r="D112" s="129"/>
      <c r="E112" s="3753"/>
      <c r="F112" s="3754"/>
      <c r="G112" s="1830" t="s">
        <v>1434</v>
      </c>
      <c r="H112" s="2597" t="str">
        <f>IF(E111="——","——",N61)</f>
        <v>——</v>
      </c>
      <c r="I112" s="129"/>
    </row>
    <row r="113" spans="1:27" ht="18.75" customHeight="1">
      <c r="A113" s="129"/>
      <c r="B113" s="129"/>
      <c r="C113" s="129"/>
      <c r="D113" s="129"/>
      <c r="E113" s="3725" t="s">
        <v>1440</v>
      </c>
      <c r="F113" s="3725"/>
      <c r="G113" s="3725"/>
      <c r="H113" s="3725"/>
      <c r="I113" s="129"/>
    </row>
    <row r="114" spans="1:27" ht="3.75" customHeight="1">
      <c r="A114" s="1747"/>
      <c r="B114" s="1747"/>
      <c r="C114" s="1747"/>
      <c r="D114" s="1747"/>
      <c r="E114" s="1809"/>
      <c r="F114" s="1809"/>
      <c r="G114" s="1809"/>
      <c r="H114" s="1809"/>
      <c r="I114" s="1747"/>
    </row>
    <row r="115" spans="1:27" ht="18.75" customHeight="1">
      <c r="A115" s="3735" t="s">
        <v>1442</v>
      </c>
      <c r="B115" s="3736"/>
      <c r="C115" s="3736"/>
      <c r="D115" s="3736"/>
      <c r="E115" s="3736"/>
      <c r="F115" s="3736"/>
      <c r="G115" s="3736"/>
      <c r="H115" s="3736"/>
      <c r="I115" s="3737"/>
    </row>
    <row r="116" spans="1:27" ht="27" customHeight="1">
      <c r="A116" s="3691" t="s">
        <v>1443</v>
      </c>
      <c r="B116" s="3726" t="s">
        <v>1444</v>
      </c>
      <c r="C116" s="3726" t="s">
        <v>1445</v>
      </c>
      <c r="D116" s="3739" t="s">
        <v>1446</v>
      </c>
      <c r="E116" s="3740"/>
      <c r="F116" s="3734" t="s">
        <v>1447</v>
      </c>
      <c r="G116" s="3734"/>
      <c r="H116" s="3691" t="s">
        <v>1448</v>
      </c>
      <c r="I116" s="3691"/>
    </row>
    <row r="117" spans="1:27" ht="18.75" customHeight="1">
      <c r="A117" s="3691"/>
      <c r="B117" s="3727"/>
      <c r="C117" s="3727"/>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60.9</v>
      </c>
      <c r="C118" s="2328">
        <f>M19</f>
        <v>30.45</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1" t="s">
        <v>1452</v>
      </c>
      <c r="B119" s="3691"/>
      <c r="C119" s="3691"/>
      <c r="D119" s="3731" t="e">
        <f ca="1">NUMBERSTRING(INT(D118*10000),2)&amp;"元整"</f>
        <v>#REF!</v>
      </c>
      <c r="E119" s="3733"/>
      <c r="F119" s="3731" t="e">
        <f ca="1">NUMBERSTRING(INT(F118*10000),2)&amp;"元整"</f>
        <v>#REF!</v>
      </c>
      <c r="G119" s="3733"/>
      <c r="H119" s="3731" t="e">
        <f ca="1">NUMBERSTRING(INT(H118*10000),2)&amp;"元整"</f>
        <v>#REF!</v>
      </c>
      <c r="I119" s="3733"/>
    </row>
    <row r="120" spans="1:27" ht="18.75" customHeight="1">
      <c r="A120" s="3755" t="str">
        <f>IF(项目基本情况!B9="房地产市场价值","",MID(E103,3,LEN(E103)-2))</f>
        <v/>
      </c>
      <c r="B120" s="3756"/>
      <c r="C120" s="3757"/>
      <c r="D120" s="3755">
        <f>H103</f>
        <v>0</v>
      </c>
      <c r="E120" s="3756"/>
      <c r="F120" s="3756"/>
      <c r="G120" s="3756"/>
      <c r="H120" s="3756"/>
      <c r="I120" s="37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1" t="s">
        <v>1452</v>
      </c>
      <c r="B121" s="3732"/>
      <c r="C121" s="3733"/>
      <c r="D121" s="3731" t="str">
        <f>IF(D120=0,"零元整",NUMBERSTRING(INT(D120*10000),2)&amp;"元整")</f>
        <v>零元整</v>
      </c>
      <c r="E121" s="3732"/>
      <c r="F121" s="3732"/>
      <c r="G121" s="3732"/>
      <c r="H121" s="3732"/>
      <c r="I121" s="3733"/>
      <c r="AA121" s="725"/>
    </row>
    <row r="122" spans="1:27" ht="18.75" customHeight="1">
      <c r="A122" s="3722" t="str">
        <f>IF(项目基本情况!B9="房地产市场价值","",MID(E107,3,LEN(E107)-2))</f>
        <v/>
      </c>
      <c r="B122" s="3722"/>
      <c r="C122" s="3722"/>
      <c r="D122" s="3755" t="e">
        <f ca="1">H107</f>
        <v>#REF!</v>
      </c>
      <c r="E122" s="3756"/>
      <c r="F122" s="3756"/>
      <c r="G122" s="3756"/>
      <c r="H122" s="3756"/>
      <c r="I122" s="3757"/>
      <c r="AA122" s="725"/>
    </row>
    <row r="123" spans="1:27" ht="18.75" customHeight="1">
      <c r="A123" s="3691" t="s">
        <v>1452</v>
      </c>
      <c r="B123" s="3691"/>
      <c r="C123" s="3691"/>
      <c r="D123" s="3731" t="e">
        <f ca="1">NUMBERSTRING(INT(D122*10000),2)&amp;"元整"</f>
        <v>#REF!</v>
      </c>
      <c r="E123" s="3732"/>
      <c r="F123" s="3732"/>
      <c r="G123" s="3732"/>
      <c r="H123" s="3732"/>
      <c r="I123" s="3733"/>
      <c r="AA123" s="725"/>
    </row>
    <row r="124" spans="1:27" ht="18.75" customHeight="1">
      <c r="A124" s="3722" t="str">
        <f>IF(项目基本情况!B9="房地产市场价值","",MID(E109,3,LEN(E109)-2))</f>
        <v/>
      </c>
      <c r="B124" s="3722"/>
      <c r="C124" s="3722"/>
      <c r="D124" s="3755" t="str">
        <f>H109</f>
        <v>——</v>
      </c>
      <c r="E124" s="3756"/>
      <c r="F124" s="3756"/>
      <c r="G124" s="3756"/>
      <c r="H124" s="3756"/>
      <c r="I124" s="3757"/>
      <c r="AA124" s="725"/>
    </row>
    <row r="125" spans="1:27" ht="18.75" customHeight="1">
      <c r="A125" s="3691" t="s">
        <v>1452</v>
      </c>
      <c r="B125" s="3691"/>
      <c r="C125" s="3691"/>
      <c r="D125" s="3731" t="e">
        <f>NUMBERSTRING(INT(D124*10000),2)&amp;"元整"</f>
        <v>#VALUE!</v>
      </c>
      <c r="E125" s="3732"/>
      <c r="F125" s="3732"/>
      <c r="G125" s="3732"/>
      <c r="H125" s="3732"/>
      <c r="I125" s="3733"/>
      <c r="AA125" s="725"/>
    </row>
    <row r="126" spans="1:27" ht="18.75" customHeight="1">
      <c r="A126" s="3722" t="str">
        <f>IF(项目基本情况!B9="房地产市场价值","",MID(E111,3,LEN(E111)-2))</f>
        <v/>
      </c>
      <c r="B126" s="3722"/>
      <c r="C126" s="3722"/>
      <c r="D126" s="3755" t="str">
        <f>H111</f>
        <v>——</v>
      </c>
      <c r="E126" s="3756"/>
      <c r="F126" s="3756"/>
      <c r="G126" s="3756"/>
      <c r="H126" s="3756"/>
      <c r="I126" s="3757"/>
      <c r="AA126" s="725"/>
    </row>
    <row r="127" spans="1:27" ht="18.75" customHeight="1">
      <c r="A127" s="3691" t="s">
        <v>1452</v>
      </c>
      <c r="B127" s="3691"/>
      <c r="C127" s="3691"/>
      <c r="D127" s="3731" t="e">
        <f>NUMBERSTRING(INT(D126*10000),2)&amp;"元整"</f>
        <v>#VALUE!</v>
      </c>
      <c r="E127" s="3732"/>
      <c r="F127" s="3732"/>
      <c r="G127" s="3732"/>
      <c r="H127" s="3732"/>
      <c r="I127" s="3733"/>
      <c r="AA127" s="725"/>
    </row>
    <row r="128" spans="1:27" ht="21.75" customHeight="1">
      <c r="A128" s="3738" t="s">
        <v>1453</v>
      </c>
      <c r="B128" s="3738"/>
      <c r="C128" s="3738"/>
      <c r="D128" s="3738"/>
      <c r="E128" s="3738"/>
      <c r="F128" s="3738"/>
      <c r="G128" s="3738"/>
      <c r="H128" s="3738"/>
      <c r="I128" s="37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60.9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60.9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60.9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1" t="s">
        <v>1544</v>
      </c>
    </row>
    <row r="43" spans="1:7" ht="13.5" customHeight="1">
      <c r="A43" s="780" t="s">
        <v>347</v>
      </c>
      <c r="B43" s="215" t="s">
        <v>1545</v>
      </c>
      <c r="C43" s="238">
        <f ca="1">ROUND(IF('数据-取费表'!B22&lt;=1,C39*F22*'数据-取费表'!B21/2,C39*(POWER((1+F22),'数据-取费表'!B21/2)-1)),0)</f>
        <v>0</v>
      </c>
      <c r="D43" s="238"/>
      <c r="E43" s="238"/>
      <c r="F43" s="239"/>
      <c r="G43" s="3772"/>
    </row>
    <row r="44" spans="1:7" ht="13.5" customHeight="1">
      <c r="A44" s="780" t="s">
        <v>348</v>
      </c>
      <c r="B44" s="215" t="s">
        <v>1546</v>
      </c>
      <c r="C44" s="238">
        <f ca="1">ROUND(IF('数据-取费表'!B22&lt;=1,C40*F22*'数据-取费表'!B21/2,C40*(POWER((1+F22),'数据-取费表'!B21/2)-1)),4)</f>
        <v>5.9999999999999995E-4</v>
      </c>
      <c r="D44" s="238"/>
      <c r="E44" s="238"/>
      <c r="F44" s="239"/>
      <c r="G44" s="3773"/>
    </row>
    <row r="45" spans="1:7" s="214" customFormat="1" ht="13.5" customHeight="1">
      <c r="A45" s="255" t="s">
        <v>1547</v>
      </c>
      <c r="B45" s="244" t="s">
        <v>1513</v>
      </c>
      <c r="C45" s="245">
        <f ca="1">C46</f>
        <v>2</v>
      </c>
      <c r="D45" s="235">
        <f ca="1">C47</f>
        <v>1.5E-3</v>
      </c>
      <c r="E45" s="236" t="s">
        <v>1539</v>
      </c>
      <c r="F45" s="246">
        <f ca="1">F27</f>
        <v>0.15</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5.5E-2</v>
      </c>
      <c r="D48" s="236" t="s">
        <v>1539</v>
      </c>
      <c r="E48" s="232"/>
      <c r="F48" s="237">
        <f>F30</f>
        <v>5.5000000000000007E-2</v>
      </c>
      <c r="G48" s="234" t="s">
        <v>1552</v>
      </c>
    </row>
    <row r="49" spans="1:7" ht="16.5" customHeight="1">
      <c r="A49" s="255" t="s">
        <v>1518</v>
      </c>
      <c r="B49" s="210" t="s">
        <v>1553</v>
      </c>
      <c r="C49" s="232">
        <f ca="1">ROUND((C33+C39+C41+C45)/(1-C40-D41-D45-C48),0)</f>
        <v>17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13</v>
      </c>
      <c r="D51" s="232"/>
      <c r="E51" s="232"/>
      <c r="F51" s="264"/>
      <c r="G51" s="234" t="s">
        <v>1560</v>
      </c>
    </row>
    <row r="52" spans="1:7" s="208" customFormat="1" ht="16.8" thickBot="1">
      <c r="A52" s="265" t="s">
        <v>1561</v>
      </c>
      <c r="B52" s="266"/>
      <c r="C52" s="267">
        <f ca="1">C31+C51</f>
        <v>14</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88" t="str">
        <f>项目基本情况!B1</f>
        <v>北京市房地产市场价值预评估</v>
      </c>
      <c r="C37" s="3588"/>
      <c r="D37" s="3588"/>
      <c r="E37" s="3588"/>
      <c r="F37" s="3588"/>
      <c r="G37" s="3588"/>
      <c r="H37" s="3588"/>
      <c r="I37" s="35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34.552199999999999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158525.4</v>
      </c>
      <c r="D5" s="211" t="s">
        <v>1469</v>
      </c>
      <c r="E5" s="212" t="s">
        <v>1470</v>
      </c>
      <c r="F5" s="212" t="s">
        <v>1471</v>
      </c>
      <c r="G5" s="213"/>
    </row>
    <row r="6" spans="1:8" s="214" customFormat="1" ht="13.5" customHeight="1">
      <c r="A6" s="778" t="s">
        <v>1472</v>
      </c>
      <c r="B6" s="215" t="s">
        <v>1473</v>
      </c>
      <c r="C6" s="216">
        <f>'[2]2002基准地价'!$C$18*'[2]2002基准地价'!$D$18</f>
        <v>153833.4</v>
      </c>
      <c r="D6" s="217"/>
      <c r="E6" s="218"/>
      <c r="F6" s="218"/>
      <c r="G6" s="219"/>
    </row>
    <row r="7" spans="1:8" s="214" customFormat="1" ht="13.5" customHeight="1">
      <c r="A7" s="778" t="s">
        <v>1474</v>
      </c>
      <c r="B7" s="215" t="s">
        <v>1475</v>
      </c>
      <c r="C7" s="220">
        <f>ROUND(C6*F7,0)</f>
        <v>4692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9744</v>
      </c>
      <c r="D9" s="845">
        <f ca="1">IF(B1="",'数据-汇总表'!E5,IF(INDIRECT("'数据-取费表'!c"&amp;$G$1)="住宅",INDIRECT("'数据-取费表'!k"&amp;$G$1),0))</f>
        <v>60.9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60.9</v>
      </c>
      <c r="E19" s="211">
        <f>'数据-取费表'!B31</f>
        <v>200</v>
      </c>
      <c r="F19" s="231"/>
      <c r="G19" s="1856" t="s">
        <v>3407</v>
      </c>
    </row>
    <row r="20" spans="1:7" s="214" customFormat="1" ht="13.5" customHeight="1">
      <c r="A20" s="255" t="s">
        <v>1574</v>
      </c>
      <c r="B20" s="210" t="s">
        <v>1575</v>
      </c>
      <c r="C20" s="232">
        <f>ROUND((C5+C19)*F20,0)</f>
        <v>1585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18879</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18788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24017</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24017</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5.5E-2</v>
      </c>
      <c r="D30" s="236" t="s">
        <v>1514</v>
      </c>
      <c r="E30" s="241"/>
      <c r="F30" s="237">
        <f>'数据-取费表'!B41</f>
        <v>5.5000000000000007E-2</v>
      </c>
      <c r="G30" s="234" t="s">
        <v>1520</v>
      </c>
    </row>
    <row r="31" spans="1:7" ht="16.5" customHeight="1">
      <c r="A31" s="209">
        <v>1</v>
      </c>
      <c r="B31" s="210" t="s">
        <v>1521</v>
      </c>
      <c r="C31" s="211">
        <f ca="1">ROUND((C5+C19+C20+C22+C27)/(1-C21-D22-D27-C30),0)</f>
        <v>217608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132214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109620</v>
      </c>
      <c r="D34" s="217"/>
      <c r="E34" s="220"/>
      <c r="F34" s="257"/>
      <c r="G34" s="219"/>
    </row>
    <row r="35" spans="1:7" ht="13.5" customHeight="1">
      <c r="A35" s="780" t="s">
        <v>351</v>
      </c>
      <c r="B35" s="215" t="s">
        <v>1527</v>
      </c>
      <c r="C35" s="220">
        <f ca="1">ROUND(C34*F35,0)</f>
        <v>3289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5481</v>
      </c>
      <c r="D36" s="220"/>
      <c r="E36" s="220"/>
      <c r="F36" s="259">
        <f>'数据-取费表'!B34</f>
        <v>0.05</v>
      </c>
      <c r="G36" s="260" t="s">
        <v>1530</v>
      </c>
    </row>
    <row r="37" spans="1:7" s="258" customFormat="1" ht="13.5" customHeight="1">
      <c r="A37" s="780" t="s">
        <v>353</v>
      </c>
      <c r="B37" s="215" t="s">
        <v>1531</v>
      </c>
      <c r="C37" s="249">
        <f ca="1">ROUND(E37*D37,0)</f>
        <v>12180</v>
      </c>
      <c r="D37" s="217">
        <f ca="1">D19</f>
        <v>60.9</v>
      </c>
      <c r="E37" s="249">
        <f>'数据-取费表'!B35</f>
        <v>200</v>
      </c>
      <c r="F37" s="259"/>
      <c r="G37" s="261"/>
    </row>
    <row r="38" spans="1:7" ht="13.5" customHeight="1">
      <c r="A38" s="780" t="s">
        <v>354</v>
      </c>
      <c r="B38" s="215" t="s">
        <v>1533</v>
      </c>
      <c r="C38" s="220">
        <f ca="1">ROUND(C34*F38,0)</f>
        <v>1644</v>
      </c>
      <c r="D38" s="220"/>
      <c r="E38" s="220"/>
      <c r="F38" s="259">
        <f>'数据-取费表'!B36</f>
        <v>1.4999999999999999E-2</v>
      </c>
      <c r="G38" s="219" t="s">
        <v>1528</v>
      </c>
    </row>
    <row r="39" spans="1:7" s="214" customFormat="1" ht="13.5" customHeight="1">
      <c r="A39" s="255" t="s">
        <v>1534</v>
      </c>
      <c r="B39" s="210" t="s">
        <v>1535</v>
      </c>
      <c r="C39" s="232">
        <f ca="1">ROUND(C33*F20,0)</f>
        <v>1322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7692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7616</v>
      </c>
      <c r="D42" s="238"/>
      <c r="E42" s="238"/>
      <c r="F42" s="239"/>
      <c r="G42" s="3771" t="s">
        <v>1591</v>
      </c>
    </row>
    <row r="43" spans="1:7" ht="13.5" customHeight="1">
      <c r="A43" s="780" t="s">
        <v>347</v>
      </c>
      <c r="B43" s="215" t="s">
        <v>1545</v>
      </c>
      <c r="C43" s="238">
        <f ca="1">ROUND(IF('数据-取费表'!B22&lt;=1,C39*F22*'数据-取费表'!B20/2,C39*(POWER((1+F22),'数据-取费表'!B20/2)-1)),0)</f>
        <v>76</v>
      </c>
      <c r="D43" s="238"/>
      <c r="E43" s="238"/>
      <c r="F43" s="239"/>
      <c r="G43" s="3772"/>
    </row>
    <row r="44" spans="1:7" ht="13.5" customHeight="1">
      <c r="A44" s="780" t="s">
        <v>348</v>
      </c>
      <c r="B44" s="215" t="s">
        <v>1546</v>
      </c>
      <c r="C44" s="238">
        <f ca="1">ROUND(IF('数据-取费表'!B22&lt;=1,C40*F22*'数据-取费表'!B20/2,C40*(POWER((1+F22),'数据-取费表'!B20/2)-1)),4)</f>
        <v>5.9999999999999995E-4</v>
      </c>
      <c r="D44" s="238"/>
      <c r="E44" s="238"/>
      <c r="F44" s="239"/>
      <c r="G44" s="3773"/>
    </row>
    <row r="45" spans="1:7" s="214" customFormat="1" ht="13.5" customHeight="1">
      <c r="A45" s="255" t="s">
        <v>1547</v>
      </c>
      <c r="B45" s="244" t="s">
        <v>1513</v>
      </c>
      <c r="C45" s="245">
        <f ca="1">C46</f>
        <v>20030</v>
      </c>
      <c r="D45" s="235">
        <f ca="1">C47</f>
        <v>1.5E-3</v>
      </c>
      <c r="E45" s="236" t="s">
        <v>1539</v>
      </c>
      <c r="F45" s="246">
        <f ca="1">F27</f>
        <v>0.15</v>
      </c>
      <c r="G45" s="247" t="s">
        <v>1548</v>
      </c>
    </row>
    <row r="46" spans="1:7" s="214" customFormat="1" ht="13.5" customHeight="1">
      <c r="A46" s="780" t="s">
        <v>346</v>
      </c>
      <c r="B46" s="248" t="s">
        <v>1549</v>
      </c>
      <c r="C46" s="249">
        <f ca="1">ROUND((C33+C39)*F27,0)</f>
        <v>20030</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5.5E-2</v>
      </c>
      <c r="D48" s="236" t="s">
        <v>1539</v>
      </c>
      <c r="E48" s="232"/>
      <c r="F48" s="237">
        <f>F30</f>
        <v>5.5000000000000007E-2</v>
      </c>
      <c r="G48" s="234" t="s">
        <v>1552</v>
      </c>
    </row>
    <row r="49" spans="1:7" ht="16.5" customHeight="1">
      <c r="A49" s="255" t="s">
        <v>1518</v>
      </c>
      <c r="B49" s="210" t="s">
        <v>1592</v>
      </c>
      <c r="C49" s="232">
        <f ca="1">ROUND((C33+C39+C41+C45)/(1-C40-D41-D45-C48),0)</f>
        <v>172857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127914</v>
      </c>
      <c r="D51" s="232"/>
      <c r="E51" s="232"/>
      <c r="F51" s="264"/>
      <c r="G51" s="234" t="s">
        <v>1560</v>
      </c>
    </row>
    <row r="52" spans="1:7" s="208" customFormat="1" ht="16.8" thickBot="1">
      <c r="A52" s="265" t="s">
        <v>1561</v>
      </c>
      <c r="B52" s="266"/>
      <c r="C52" s="267">
        <f ca="1">C31+C51</f>
        <v>345522</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-164</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60.9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v>
      </c>
      <c r="C2" s="1387" t="s">
        <v>805</v>
      </c>
      <c r="D2" s="1387"/>
      <c r="E2" s="1388"/>
      <c r="F2" s="1389"/>
      <c r="G2" s="2704"/>
      <c r="H2" s="2693"/>
      <c r="I2" s="2693"/>
      <c r="J2" s="2693"/>
      <c r="K2" s="2694"/>
      <c r="L2" s="2693"/>
      <c r="M2" s="2693"/>
    </row>
    <row r="3" spans="1:37" ht="18" customHeight="1" thickBot="1">
      <c r="A3" s="1390" t="s">
        <v>806</v>
      </c>
      <c r="B3" s="1391">
        <f ca="1">IF(ISERROR(B2*10000/F43),0,ROUND(B2*10000/F43,0))</f>
        <v>8539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76" t="s">
        <v>694</v>
      </c>
      <c r="C6" s="1074">
        <f ca="1">ROUND(F6*F8*F7*(1-F9)/10000,0)</f>
        <v>3</v>
      </c>
      <c r="D6" s="155" t="s">
        <v>2109</v>
      </c>
      <c r="E6" s="302" t="s">
        <v>696</v>
      </c>
      <c r="F6" s="303">
        <f ca="1">INDIRECT("'数据-取费表'!u"&amp;$G$1)</f>
        <v>2400</v>
      </c>
      <c r="G6" s="1384"/>
      <c r="H6" s="1069" t="s">
        <v>398</v>
      </c>
      <c r="I6" s="3776" t="s">
        <v>694</v>
      </c>
      <c r="J6" s="301">
        <f ca="1">ROUND(M6*M8*M7*(1-M9)/10000,0)</f>
        <v>0</v>
      </c>
      <c r="K6" s="155" t="s">
        <v>2108</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v>
      </c>
      <c r="D14" s="1345" t="s">
        <v>708</v>
      </c>
      <c r="E14" s="1342"/>
      <c r="F14" s="319"/>
      <c r="G14" s="1384"/>
      <c r="H14" s="982" t="s">
        <v>398</v>
      </c>
      <c r="I14" s="302" t="s">
        <v>709</v>
      </c>
      <c r="J14" s="21">
        <f ca="1">C29</f>
        <v>17</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0.43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ROUND(C29*F36,2)</f>
        <v>0.43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8539</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-52</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17</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116</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52</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3443</v>
      </c>
      <c r="O55" s="1411" t="s">
        <v>811</v>
      </c>
      <c r="P55" s="1412" t="s">
        <v>812</v>
      </c>
      <c r="Q55" s="1413" t="s">
        <v>813</v>
      </c>
      <c r="R55" s="1413" t="s">
        <v>814</v>
      </c>
    </row>
    <row r="56" spans="1:18" s="1384" customFormat="1" ht="37.200000000000003" thickTop="1" thickBot="1">
      <c r="A56" s="957">
        <v>2</v>
      </c>
      <c r="B56" s="958" t="s">
        <v>704</v>
      </c>
      <c r="C56" s="232">
        <f ca="1">C13</f>
        <v>13</v>
      </c>
      <c r="D56" s="1447"/>
      <c r="E56" s="1448"/>
      <c r="F56" s="1440"/>
      <c r="I56" s="1449" t="s">
        <v>842</v>
      </c>
      <c r="J56" s="1450" t="s">
        <v>3442</v>
      </c>
      <c r="K56" s="1421" t="s">
        <v>843</v>
      </c>
      <c r="L56" s="1424">
        <f ca="1">IF(L48&lt;J51,"——",L48-J53)</f>
        <v>0</v>
      </c>
      <c r="O56" s="1418" t="s">
        <v>403</v>
      </c>
      <c r="P56" s="1419" t="s">
        <v>817</v>
      </c>
      <c r="Q56" s="1420">
        <f ca="1">C40+J29</f>
        <v>52</v>
      </c>
      <c r="R56" s="1420" t="s">
        <v>818</v>
      </c>
    </row>
    <row r="57" spans="1:18" s="1384" customFormat="1" ht="24.6" thickBot="1">
      <c r="A57" s="1451"/>
      <c r="B57" s="950" t="s">
        <v>767</v>
      </c>
      <c r="C57" s="238">
        <f ca="1">C29</f>
        <v>17</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52</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0.43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52</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116</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13</v>
      </c>
      <c r="R70" s="1420" t="s">
        <v>818</v>
      </c>
    </row>
    <row r="71" spans="1:18" s="1384" customFormat="1" ht="13.8" thickBot="1">
      <c r="A71" s="971" t="s">
        <v>396</v>
      </c>
      <c r="B71" s="972" t="s">
        <v>776</v>
      </c>
      <c r="C71" s="336">
        <f ca="1">ROUND(C68*10000/F71,0)</f>
        <v>0</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50.3538</v>
      </c>
      <c r="C2" s="1387" t="s">
        <v>879</v>
      </c>
      <c r="D2" s="1471">
        <f ca="1">C40+J29+L46</f>
        <v>503538</v>
      </c>
      <c r="E2" s="1388" t="s">
        <v>880</v>
      </c>
      <c r="F2" s="1389"/>
      <c r="G2" s="2704"/>
      <c r="H2" s="2693"/>
      <c r="I2" s="2693"/>
      <c r="J2" s="2693"/>
      <c r="K2" s="2694"/>
      <c r="L2" s="2693"/>
      <c r="M2" s="2693"/>
    </row>
    <row r="3" spans="1:37" ht="18" customHeight="1" thickBot="1">
      <c r="A3" s="1390" t="s">
        <v>881</v>
      </c>
      <c r="B3" s="1391">
        <f ca="1">IF(ISERROR(D2/F43),0,ROUND(D2/F43,0))</f>
        <v>8268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76" t="s">
        <v>694</v>
      </c>
      <c r="C6" s="1074">
        <f ca="1">ROUND(F6*F8*F7*(1-F9),0)</f>
        <v>25344</v>
      </c>
      <c r="D6" s="155" t="s">
        <v>2106</v>
      </c>
      <c r="E6" s="302" t="s">
        <v>696</v>
      </c>
      <c r="F6" s="303">
        <f ca="1">INDIRECT("'数据-取费表'!u"&amp;$G$1)</f>
        <v>2400</v>
      </c>
      <c r="G6" s="1384"/>
      <c r="H6" s="1069" t="s">
        <v>398</v>
      </c>
      <c r="I6" s="3776" t="s">
        <v>694</v>
      </c>
      <c r="J6" s="301">
        <f ca="1">ROUND(M6*M8*M7*(1-M9),0)</f>
        <v>0</v>
      </c>
      <c r="K6" s="1376" t="s">
        <v>2107</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v>
      </c>
      <c r="G7" s="1384"/>
      <c r="H7" s="304"/>
      <c r="I7" s="3777"/>
      <c r="J7" s="306"/>
      <c r="K7" s="307"/>
      <c r="L7" s="302" t="s">
        <v>697</v>
      </c>
      <c r="M7" s="303">
        <f ca="1">F7</f>
        <v>1</v>
      </c>
    </row>
    <row r="8" spans="1:37" ht="18" customHeight="1">
      <c r="A8" s="304"/>
      <c r="B8" s="3777"/>
      <c r="C8" s="306"/>
      <c r="D8" s="307"/>
      <c r="E8" s="302" t="s">
        <v>698</v>
      </c>
      <c r="F8" s="303">
        <f ca="1">INDIRECT("'数据-取费表'!ai"&amp;$G$1)</f>
        <v>12</v>
      </c>
      <c r="G8" s="1384"/>
      <c r="H8" s="304"/>
      <c r="I8" s="3777"/>
      <c r="J8" s="306"/>
      <c r="K8" s="307"/>
      <c r="L8" s="302" t="s">
        <v>698</v>
      </c>
      <c r="M8" s="303">
        <f ca="1">INDIRECT("'数据-取费表'!ai"&amp;$G$1)</f>
        <v>12</v>
      </c>
    </row>
    <row r="9" spans="1:37" ht="18" customHeight="1">
      <c r="A9" s="304"/>
      <c r="B9" s="3778"/>
      <c r="C9" s="306"/>
      <c r="D9" s="307"/>
      <c r="E9" s="302" t="s">
        <v>699</v>
      </c>
      <c r="F9" s="312">
        <f ca="1">INDIRECT("'数据-取费表'!w"&amp;$G$1)</f>
        <v>0.12</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127914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109620</v>
      </c>
      <c r="D14" s="1345" t="s">
        <v>708</v>
      </c>
      <c r="E14" s="1342"/>
      <c r="F14" s="319"/>
      <c r="G14" s="1384"/>
      <c r="H14" s="982" t="s">
        <v>398</v>
      </c>
      <c r="I14" s="302" t="s">
        <v>709</v>
      </c>
      <c r="J14" s="21">
        <f ca="1">C29</f>
        <v>172857</v>
      </c>
      <c r="K14" s="12"/>
      <c r="L14" s="807"/>
      <c r="M14" s="808"/>
    </row>
    <row r="15" spans="1:37" s="1397" customFormat="1" ht="18" customHeight="1" thickBot="1">
      <c r="A15" s="982" t="s">
        <v>399</v>
      </c>
      <c r="B15" s="302" t="s">
        <v>710</v>
      </c>
      <c r="C15" s="21">
        <f ca="1">ROUND(C14*F15,0)</f>
        <v>3289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5481</v>
      </c>
      <c r="D16" s="302" t="s">
        <v>711</v>
      </c>
      <c r="E16" s="302" t="s">
        <v>712</v>
      </c>
      <c r="F16" s="322">
        <f ca="1">IF(INDIRECT("'数据-取费表'!c"&amp;$G$1)="住宅",'数据-取费表'!B34,0)</f>
        <v>0.05</v>
      </c>
      <c r="G16" s="1384"/>
      <c r="H16" s="1079" t="s">
        <v>393</v>
      </c>
      <c r="I16" s="1080" t="s">
        <v>714</v>
      </c>
      <c r="J16" s="310">
        <f ca="1">ROUND(J17+J22+J23+J24,0)</f>
        <v>4321</v>
      </c>
      <c r="K16" s="1087" t="s">
        <v>715</v>
      </c>
      <c r="L16" s="1088"/>
      <c r="M16" s="1072"/>
    </row>
    <row r="17" spans="1:37" s="1397" customFormat="1" ht="18" customHeight="1">
      <c r="A17" s="982" t="s">
        <v>681</v>
      </c>
      <c r="B17" s="302" t="s">
        <v>716</v>
      </c>
      <c r="C17" s="21">
        <f ca="1">ROUND(F17*(F43+INDIRECT("'数据-取费表'!S"&amp;$G$1)),0)</f>
        <v>12180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132214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1322</v>
      </c>
      <c r="D20" s="323" t="s">
        <v>729</v>
      </c>
      <c r="E20" s="302" t="s">
        <v>712</v>
      </c>
      <c r="F20" s="322">
        <f>'数据-取费表'!B37</f>
        <v>0.01</v>
      </c>
      <c r="G20" s="1396"/>
      <c r="H20" s="982" t="s">
        <v>680</v>
      </c>
      <c r="I20" s="155" t="s">
        <v>730</v>
      </c>
      <c r="J20" s="22">
        <f ca="1">ROUND(M20*M21,0)</f>
        <v>46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30.45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4321</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7692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-4321</v>
      </c>
      <c r="K25" s="1095" t="s">
        <v>753</v>
      </c>
      <c r="L25" s="1096"/>
      <c r="M25" s="1097"/>
    </row>
    <row r="26" spans="1:37" ht="18" customHeight="1">
      <c r="A26" s="982" t="s">
        <v>397</v>
      </c>
      <c r="B26" s="302" t="s">
        <v>754</v>
      </c>
      <c r="C26" s="21">
        <f ca="1">ROUND((C19+C20)*F26,0)</f>
        <v>20030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5.5E-2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172857</v>
      </c>
      <c r="D29" s="1092"/>
      <c r="E29" s="1090"/>
      <c r="F29" s="1093"/>
      <c r="G29" s="1396"/>
      <c r="H29" s="334" t="s">
        <v>396</v>
      </c>
      <c r="I29" s="335" t="s">
        <v>768</v>
      </c>
      <c r="J29" s="336">
        <f ca="1">ROUND(J26/(1+F40)^F41,0)</f>
        <v>0</v>
      </c>
      <c r="K29" s="337" t="s">
        <v>769</v>
      </c>
      <c r="L29" s="338"/>
      <c r="M29" s="339">
        <f ca="1">INDIRECT("'数据-取费表'!k"&amp;$G$1)</f>
        <v>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5909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30.45</v>
      </c>
      <c r="G35" s="1384"/>
      <c r="H35" s="2695"/>
      <c r="I35" s="1398"/>
      <c r="J35" s="1399"/>
      <c r="K35" s="2699"/>
      <c r="L35" s="2698"/>
      <c r="M35" s="2698"/>
    </row>
    <row r="36" spans="1:18" ht="18" customHeight="1">
      <c r="A36" s="1102" t="s">
        <v>402</v>
      </c>
      <c r="B36" s="302" t="s">
        <v>738</v>
      </c>
      <c r="C36" s="21">
        <f ca="1">ROUND(C29*F36,0)</f>
        <v>4321</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320</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19435</v>
      </c>
      <c r="D39" s="1095" t="s">
        <v>773</v>
      </c>
      <c r="E39" s="1096"/>
      <c r="F39" s="1097"/>
      <c r="G39" s="1384"/>
      <c r="H39" s="2698"/>
      <c r="I39" s="1398"/>
      <c r="J39" s="1399"/>
      <c r="K39" s="2702"/>
      <c r="L39" s="2698"/>
      <c r="M39" s="2698"/>
    </row>
    <row r="40" spans="1:18" ht="18" customHeight="1">
      <c r="A40" s="299" t="s">
        <v>395</v>
      </c>
      <c r="B40" s="300" t="s">
        <v>774</v>
      </c>
      <c r="C40" s="301">
        <f ca="1">ROUND(C39*(1-((1+F42)/(1+F40))^F41)/(F40-F42),0)</f>
        <v>503538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8268</v>
      </c>
      <c r="D43" s="337" t="s">
        <v>777</v>
      </c>
      <c r="E43" s="338" t="s">
        <v>778</v>
      </c>
      <c r="F43" s="339">
        <f ca="1">INDIRECT("'数据-取费表'!k"&amp;$G$1)</f>
        <v>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-59.3307</v>
      </c>
      <c r="D45" s="3430" t="s">
        <v>3355</v>
      </c>
      <c r="E45" s="1400"/>
      <c r="F45" s="1400"/>
      <c r="O45" s="1403" t="s">
        <v>808</v>
      </c>
      <c r="P45" s="1461"/>
      <c r="Q45" s="1461"/>
      <c r="R45" s="1461"/>
    </row>
    <row r="46" spans="1:18" s="1384" customFormat="1" ht="13.8" thickBot="1">
      <c r="A46" s="1404" t="s">
        <v>809</v>
      </c>
      <c r="C46" s="1405">
        <f ca="1">ROUND(C45,0)</f>
        <v>-59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503538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3441</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172857</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58</v>
      </c>
      <c r="K51" s="1434" t="s">
        <v>830</v>
      </c>
      <c r="L51" s="1435">
        <f ca="1">ROUND(-PV(INDIRECT("'数据-取费表'!h"&amp;$G$1),J51,(C39-C13*C76),0),0)</f>
        <v>1127230</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4" t="s">
        <v>837</v>
      </c>
      <c r="L53" s="3775"/>
      <c r="O53" s="1418" t="s">
        <v>409</v>
      </c>
      <c r="P53" s="1419" t="s">
        <v>838</v>
      </c>
      <c r="Q53" s="1420">
        <f ca="1">Q47+Q48</f>
        <v>503538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127914</v>
      </c>
      <c r="D56" s="1447"/>
      <c r="E56" s="1448"/>
      <c r="F56" s="1440"/>
      <c r="I56" s="1449" t="s">
        <v>842</v>
      </c>
      <c r="J56" s="1450" t="s">
        <v>3442</v>
      </c>
      <c r="K56" s="1421" t="s">
        <v>843</v>
      </c>
      <c r="L56" s="1424">
        <f ca="1">IF(L48&lt;J51,"——",L48-J51)</f>
        <v>12</v>
      </c>
      <c r="O56" s="1418" t="s">
        <v>403</v>
      </c>
      <c r="P56" s="1419" t="s">
        <v>817</v>
      </c>
      <c r="Q56" s="1420">
        <f ca="1">C40+J29</f>
        <v>503538</v>
      </c>
      <c r="R56" s="1420" t="s">
        <v>818</v>
      </c>
    </row>
    <row r="57" spans="1:18" s="1384" customFormat="1" ht="24.6" thickBot="1">
      <c r="A57" s="1451"/>
      <c r="B57" s="950" t="s">
        <v>767</v>
      </c>
      <c r="C57" s="238">
        <f ca="1">C29</f>
        <v>172857</v>
      </c>
      <c r="D57" s="1452"/>
      <c r="E57" s="1453"/>
      <c r="F57" s="1454"/>
      <c r="I57" s="1455" t="s">
        <v>844</v>
      </c>
      <c r="J57" s="1456" t="str">
        <f ca="1">IF(OR(M47="住宅",J51&lt;L48,J56="是"),"——",J51-L48)</f>
        <v>——</v>
      </c>
      <c r="K57" s="1421" t="s">
        <v>892</v>
      </c>
      <c r="L57" s="1424">
        <f ca="1">IF(L48&lt;J51,"——",IF(L55="比较法",L49,IF(L55="基准地价",L50,L51)))</f>
        <v>1127230</v>
      </c>
      <c r="O57" s="1418" t="s">
        <v>404</v>
      </c>
      <c r="P57" s="1419" t="s">
        <v>893</v>
      </c>
      <c r="Q57" s="1420">
        <f ca="1">L60</f>
        <v>0</v>
      </c>
      <c r="R57" s="1420" t="s">
        <v>894</v>
      </c>
    </row>
    <row r="58" spans="1:18" s="1384" customFormat="1" ht="24.6" thickBot="1">
      <c r="A58" s="315" t="s">
        <v>393</v>
      </c>
      <c r="B58" s="958" t="s">
        <v>714</v>
      </c>
      <c r="C58" s="316">
        <f ca="1">ROUND(C59+C64+C65+C66,0)</f>
        <v>4641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503538</v>
      </c>
      <c r="R62" s="1420" t="s">
        <v>410</v>
      </c>
    </row>
    <row r="63" spans="1:18" s="1384" customFormat="1" ht="13.8" thickBot="1">
      <c r="A63" s="326"/>
      <c r="B63" s="956"/>
      <c r="C63" s="26"/>
      <c r="D63" s="966"/>
      <c r="E63" s="950" t="s">
        <v>788</v>
      </c>
      <c r="F63" s="303">
        <f t="shared" ca="1" si="0"/>
        <v>30.45</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4321</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320</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503538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-4641</v>
      </c>
      <c r="D67" s="963" t="s">
        <v>753</v>
      </c>
      <c r="E67" s="968"/>
      <c r="F67" s="969"/>
      <c r="O67" s="1428" t="s">
        <v>405</v>
      </c>
      <c r="P67" s="1419" t="s">
        <v>850</v>
      </c>
      <c r="Q67" s="1466">
        <f ca="1">L51</f>
        <v>1127230</v>
      </c>
      <c r="R67" s="1420" t="s">
        <v>870</v>
      </c>
    </row>
    <row r="68" spans="1:18" s="1384" customFormat="1" ht="16.2" thickBot="1">
      <c r="A68" s="947" t="s">
        <v>395</v>
      </c>
      <c r="B68" s="948" t="s">
        <v>774</v>
      </c>
      <c r="C68" s="301">
        <f ca="1">ROUND(C67*(1-((1+F70)/(1+F68))^F69)/(F68-F70),0)</f>
        <v>-89769</v>
      </c>
      <c r="D68" s="965" t="s">
        <v>758</v>
      </c>
      <c r="E68" s="950" t="s">
        <v>759</v>
      </c>
      <c r="F68" s="312">
        <f ca="1">F40</f>
        <v>0.05</v>
      </c>
      <c r="O68" s="1428" t="s">
        <v>406</v>
      </c>
      <c r="P68" s="1467" t="s">
        <v>871</v>
      </c>
      <c r="Q68" s="1420">
        <f ca="1">ROUND(Q69-Q70*Q71,0)</f>
        <v>19435</v>
      </c>
      <c r="R68" s="1420" t="s">
        <v>414</v>
      </c>
    </row>
    <row r="69" spans="1:18" s="1384" customFormat="1" ht="13.8" thickBot="1">
      <c r="A69" s="951"/>
      <c r="B69" s="952"/>
      <c r="C69" s="306"/>
      <c r="D69" s="970" t="s">
        <v>762</v>
      </c>
      <c r="E69" s="950" t="s">
        <v>763</v>
      </c>
      <c r="F69" s="333">
        <f ca="1">F41</f>
        <v>70</v>
      </c>
      <c r="O69" s="1428" t="s">
        <v>411</v>
      </c>
      <c r="P69" s="1467" t="s">
        <v>872</v>
      </c>
      <c r="Q69" s="1420">
        <f ca="1">C39</f>
        <v>19435</v>
      </c>
      <c r="R69" s="1420" t="s">
        <v>818</v>
      </c>
    </row>
    <row r="70" spans="1:18" s="1384" customFormat="1" ht="13.8" thickBot="1">
      <c r="A70" s="954"/>
      <c r="B70" s="955"/>
      <c r="C70" s="310"/>
      <c r="D70" s="966"/>
      <c r="E70" s="950" t="s">
        <v>766</v>
      </c>
      <c r="F70" s="1054"/>
      <c r="O70" s="1428" t="s">
        <v>412</v>
      </c>
      <c r="P70" s="1467" t="s">
        <v>873</v>
      </c>
      <c r="Q70" s="1420">
        <f ca="1">C13</f>
        <v>127914</v>
      </c>
      <c r="R70" s="1420" t="s">
        <v>818</v>
      </c>
    </row>
    <row r="71" spans="1:18" s="1384" customFormat="1" ht="13.8" thickBot="1">
      <c r="A71" s="971" t="s">
        <v>396</v>
      </c>
      <c r="B71" s="972" t="s">
        <v>776</v>
      </c>
      <c r="C71" s="336">
        <f ca="1">ROUND(C68/F71,0)</f>
        <v>-1474</v>
      </c>
      <c r="D71" s="973" t="s">
        <v>777</v>
      </c>
      <c r="E71" s="974" t="s">
        <v>778</v>
      </c>
      <c r="F71" s="339">
        <f ca="1">F43</f>
        <v>60.9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503538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85" t="s">
        <v>2319</v>
      </c>
      <c r="K2" s="3786"/>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7" t="s">
        <v>2329</v>
      </c>
      <c r="K3" s="3788"/>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7" t="s">
        <v>2331</v>
      </c>
      <c r="K4" s="3788"/>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93" t="s">
        <v>2335</v>
      </c>
      <c r="B6" s="3794"/>
      <c r="C6" s="3795"/>
      <c r="D6" s="2868"/>
      <c r="E6" s="2869"/>
      <c r="F6" s="2870"/>
      <c r="G6" s="2871"/>
      <c r="H6" s="2846"/>
      <c r="I6" s="2847"/>
      <c r="J6" s="3779">
        <v>1</v>
      </c>
      <c r="K6" s="3780"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79"/>
      <c r="K7" s="3781"/>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96" t="s">
        <v>2349</v>
      </c>
      <c r="C8" s="3797"/>
      <c r="D8" s="2887" t="s">
        <v>2350</v>
      </c>
      <c r="E8" s="2888" t="s">
        <v>2351</v>
      </c>
      <c r="F8" s="2889" t="s">
        <v>2352</v>
      </c>
      <c r="G8" s="2890"/>
      <c r="H8" s="2846"/>
      <c r="I8" s="2847"/>
      <c r="J8" s="3779"/>
      <c r="K8" s="3781"/>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96" t="s">
        <v>2355</v>
      </c>
      <c r="C9" s="3797"/>
      <c r="D9" s="2887">
        <f>ROUND(D6*E9,0)</f>
        <v>0</v>
      </c>
      <c r="E9" s="2891"/>
      <c r="F9" s="2892" t="s">
        <v>2356</v>
      </c>
      <c r="G9" s="2871"/>
      <c r="H9" s="2846"/>
      <c r="I9" s="2847"/>
      <c r="J9" s="3779"/>
      <c r="K9" s="3781"/>
      <c r="L9" s="2881" t="s">
        <v>2357</v>
      </c>
      <c r="M9" s="2882"/>
      <c r="N9" s="2858"/>
      <c r="O9" s="2883"/>
      <c r="P9" s="2883"/>
      <c r="Q9" s="2884">
        <v>365</v>
      </c>
      <c r="R9" s="2885">
        <f t="shared" si="0"/>
        <v>0</v>
      </c>
      <c r="S9" s="2839"/>
      <c r="T9" s="2839"/>
      <c r="U9" s="2839"/>
      <c r="V9" s="2847"/>
    </row>
    <row r="10" spans="1:22" s="2851" customFormat="1" ht="13.2" customHeight="1">
      <c r="A10" s="2886">
        <v>2</v>
      </c>
      <c r="B10" s="3796" t="s">
        <v>2358</v>
      </c>
      <c r="C10" s="3797"/>
      <c r="D10" s="2887">
        <f>ROUND(D6*E10,0)</f>
        <v>0</v>
      </c>
      <c r="E10" s="2891"/>
      <c r="F10" s="2892" t="s">
        <v>2359</v>
      </c>
      <c r="G10" s="2871"/>
      <c r="H10" s="2846"/>
      <c r="I10" s="2847"/>
      <c r="J10" s="3779"/>
      <c r="K10" s="3781"/>
      <c r="L10" s="2881" t="s">
        <v>2360</v>
      </c>
      <c r="M10" s="2882"/>
      <c r="N10" s="2858"/>
      <c r="O10" s="2883"/>
      <c r="P10" s="2883"/>
      <c r="Q10" s="2884">
        <v>365</v>
      </c>
      <c r="R10" s="2885">
        <f t="shared" si="0"/>
        <v>0</v>
      </c>
      <c r="S10" s="2839"/>
      <c r="T10" s="2839"/>
      <c r="U10" s="2839"/>
      <c r="V10" s="2847"/>
    </row>
    <row r="11" spans="1:22" s="2851" customFormat="1" ht="13.2" customHeight="1">
      <c r="A11" s="2886">
        <v>3</v>
      </c>
      <c r="B11" s="3796" t="s">
        <v>2361</v>
      </c>
      <c r="C11" s="3797"/>
      <c r="D11" s="2887">
        <f>D12+D14+D15+D16</f>
        <v>0</v>
      </c>
      <c r="E11" s="2893" t="e">
        <f>D11/D6</f>
        <v>#DIV/0!</v>
      </c>
      <c r="F11" s="2889"/>
      <c r="G11" s="2890"/>
      <c r="H11" s="2846"/>
      <c r="I11" s="2847"/>
      <c r="J11" s="3779"/>
      <c r="K11" s="3781"/>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89" t="s">
        <v>2364</v>
      </c>
      <c r="C12" s="3790"/>
      <c r="D12" s="2895">
        <f>ROUND(D13*1.2%*(1-30%),0)</f>
        <v>0</v>
      </c>
      <c r="E12" s="2896">
        <v>1.2E-2</v>
      </c>
      <c r="F12" s="2889" t="s">
        <v>2365</v>
      </c>
      <c r="G12" s="2890"/>
      <c r="H12" s="2846"/>
      <c r="I12" s="2847"/>
      <c r="J12" s="3779"/>
      <c r="K12" s="3781"/>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79"/>
      <c r="K13" s="3781"/>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89" t="s">
        <v>2370</v>
      </c>
      <c r="C14" s="3790"/>
      <c r="D14" s="2895">
        <f>ROUND(E14*B5/10000,0)</f>
        <v>0</v>
      </c>
      <c r="E14" s="2884"/>
      <c r="F14" s="2889" t="s">
        <v>2371</v>
      </c>
      <c r="G14" s="2890"/>
      <c r="H14" s="2846"/>
      <c r="I14" s="2847"/>
      <c r="J14" s="3779"/>
      <c r="K14" s="3782"/>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89" t="s">
        <v>2374</v>
      </c>
      <c r="C15" s="3790"/>
      <c r="D15" s="2895">
        <f>ROUND(D6*E15,0)</f>
        <v>0</v>
      </c>
      <c r="E15" s="2896">
        <v>5.5E-2</v>
      </c>
      <c r="F15" s="2889" t="s">
        <v>2375</v>
      </c>
      <c r="G15" s="2871"/>
      <c r="H15" s="2846"/>
      <c r="I15" s="2847"/>
      <c r="J15" s="3779">
        <v>2</v>
      </c>
      <c r="K15" s="3780"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89" t="s">
        <v>2383</v>
      </c>
      <c r="C16" s="3790"/>
      <c r="D16" s="2906">
        <f>D6*E16</f>
        <v>0</v>
      </c>
      <c r="E16" s="2907"/>
      <c r="F16" s="2892" t="s">
        <v>2384</v>
      </c>
      <c r="G16" s="2871"/>
      <c r="H16" s="2846"/>
      <c r="I16" s="2847"/>
      <c r="J16" s="3779"/>
      <c r="K16" s="3781"/>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1" t="s">
        <v>2386</v>
      </c>
      <c r="C17" s="3792"/>
      <c r="D17" s="2909">
        <f>ROUND(D6*E17,0)</f>
        <v>0</v>
      </c>
      <c r="E17" s="2910"/>
      <c r="F17" s="2911" t="s">
        <v>2387</v>
      </c>
      <c r="G17" s="2871"/>
      <c r="H17" s="2846"/>
      <c r="I17" s="2847"/>
      <c r="J17" s="3779"/>
      <c r="K17" s="3781"/>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79"/>
      <c r="K18" s="3781"/>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79"/>
      <c r="K19" s="3782"/>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79">
        <v>3</v>
      </c>
      <c r="K20" s="3780"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79"/>
      <c r="K21" s="3781"/>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79"/>
      <c r="K22" s="3781"/>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79"/>
      <c r="K23" s="3781"/>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79"/>
      <c r="K24" s="3782"/>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83">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84"/>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85" t="s">
        <v>2319</v>
      </c>
      <c r="K32" s="3786"/>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7" t="s">
        <v>2329</v>
      </c>
      <c r="K33" s="3788"/>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7" t="s">
        <v>2331</v>
      </c>
      <c r="K34" s="3788"/>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79">
        <v>1</v>
      </c>
      <c r="K36" s="3780"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79"/>
      <c r="K37" s="3781"/>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79"/>
      <c r="K38" s="3781"/>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79"/>
      <c r="K39" s="3781"/>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79"/>
      <c r="K40" s="3782"/>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83">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84"/>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50.3538</v>
      </c>
      <c r="C2" s="1872" t="s">
        <v>1651</v>
      </c>
      <c r="D2" s="1873" t="s">
        <v>1652</v>
      </c>
      <c r="E2" s="2605">
        <f>SUM(E6:E13)</f>
        <v>60.9</v>
      </c>
      <c r="F2" s="2705"/>
      <c r="G2" s="1489"/>
      <c r="H2" s="1489"/>
      <c r="I2" s="1489"/>
      <c r="J2" s="1489"/>
      <c r="K2" s="1489"/>
      <c r="L2" s="1489"/>
      <c r="M2" s="1489"/>
      <c r="N2" s="1489"/>
      <c r="O2" s="1489"/>
      <c r="P2" s="1489"/>
      <c r="Q2" s="1489"/>
      <c r="R2" s="1489"/>
      <c r="S2" s="1489"/>
    </row>
    <row r="3" spans="1:22" ht="15.6">
      <c r="A3" s="1870" t="s">
        <v>686</v>
      </c>
      <c r="B3" s="2599">
        <f ca="1">ROUND(B2*10000/E2,0)</f>
        <v>8268</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8" t="s">
        <v>1654</v>
      </c>
      <c r="C5" s="3799"/>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50.3538</v>
      </c>
      <c r="C6" s="1872" t="s">
        <v>1651</v>
      </c>
      <c r="D6" s="2707"/>
      <c r="E6" s="2604">
        <f>IF(OR(A6=0,F6="否"),0,'数据-取费表'!K6+'数据-取费表'!S6)</f>
        <v>60.9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07"/>
      <c r="B4" s="3808"/>
      <c r="C4" s="3808"/>
      <c r="D4" s="3809"/>
      <c r="E4" s="3809"/>
      <c r="F4" s="3809"/>
      <c r="G4" s="3809"/>
      <c r="H4" s="3809"/>
      <c r="I4" s="3809"/>
      <c r="J4" s="381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4" t="s">
        <v>1960</v>
      </c>
      <c r="X8" s="380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06"/>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0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1" t="s">
        <v>3256</v>
      </c>
      <c r="B20" s="167" t="s">
        <v>1994</v>
      </c>
      <c r="C20" s="3323" t="e">
        <f>ROUND(IF(F21="与级别开发程度一致",0,(G21-E21)/C21),0)</f>
        <v>#DIV/0!</v>
      </c>
      <c r="D20" s="3339" t="s">
        <v>1998</v>
      </c>
      <c r="E20" s="3340"/>
      <c r="F20" s="3817" t="s">
        <v>1995</v>
      </c>
      <c r="G20" s="3818"/>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2"/>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38689</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5.7599999999999998E-2</v>
      </c>
      <c r="M36" s="3356">
        <f ca="1">ROUND($L$36*(1+M31),3)</f>
        <v>7.1999999999999995E-2</v>
      </c>
      <c r="N36" s="3356">
        <f ca="1">ROUND($L$36*(1+N31),3)</f>
        <v>6.9000000000000006E-2</v>
      </c>
      <c r="O36" s="3356">
        <f ca="1">ROUND($L$36*(1+O31),3)</f>
        <v>6.6000000000000003E-2</v>
      </c>
      <c r="P36" s="3356">
        <f ca="1">ROUND($L$36*(1+P31),3)</f>
        <v>6.3E-2</v>
      </c>
      <c r="Q36" s="3356">
        <f ca="1">ROUND($L$36*(1+Q31),3)</f>
        <v>6.6000000000000003E-2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15"/>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6.2600000000000003E-2</v>
      </c>
      <c r="M37" s="3356">
        <f ca="1">ROUND($L$37*(1+M31),3)</f>
        <v>7.8E-2</v>
      </c>
      <c r="N37" s="3356">
        <f t="shared" ref="N37:Q37" ca="1" si="3">ROUND($L$37*(1+N31),3)</f>
        <v>7.4999999999999997E-2</v>
      </c>
      <c r="O37" s="3356">
        <f t="shared" ca="1" si="3"/>
        <v>7.1999999999999995E-2</v>
      </c>
      <c r="P37" s="3356">
        <f t="shared" ca="1" si="3"/>
        <v>6.9000000000000006E-2</v>
      </c>
      <c r="Q37" s="3356">
        <f t="shared" ca="1" si="3"/>
        <v>7.1999999999999995E-2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6"/>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16"/>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3" t="s">
        <v>3296</v>
      </c>
      <c r="B103" s="3813"/>
      <c r="C103" s="3813"/>
      <c r="D103" s="3813"/>
      <c r="E103" s="3813"/>
      <c r="F103" s="3813"/>
      <c r="G103" s="3813"/>
      <c r="H103" s="3813"/>
      <c r="I103" s="3813"/>
      <c r="J103" s="3813"/>
      <c r="K103" s="3388"/>
      <c r="L103" s="3388"/>
      <c r="M103" s="3388"/>
      <c r="N103" s="3388"/>
    </row>
    <row r="104" spans="1:14">
      <c r="A104" s="3814" t="s">
        <v>3297</v>
      </c>
      <c r="B104" s="3814" t="s">
        <v>3298</v>
      </c>
      <c r="C104" s="3389" t="s">
        <v>3299</v>
      </c>
      <c r="D104" s="3390"/>
      <c r="E104" s="3390"/>
      <c r="F104" s="3390"/>
      <c r="G104" s="3390"/>
      <c r="H104" s="3390"/>
      <c r="I104" s="3390"/>
      <c r="J104" s="3391"/>
      <c r="K104" s="3392"/>
      <c r="L104" s="3392"/>
      <c r="M104" s="3392"/>
      <c r="N104" s="3392"/>
    </row>
    <row r="105" spans="1:14">
      <c r="A105" s="3814"/>
      <c r="B105" s="3814"/>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0"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1"/>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3" t="s">
        <v>3313</v>
      </c>
      <c r="B113" s="3803"/>
      <c r="C113" s="3803"/>
      <c r="D113" s="3803"/>
      <c r="E113" s="3803"/>
      <c r="F113" s="3803"/>
      <c r="G113" s="3803"/>
      <c r="H113" s="3803"/>
      <c r="I113" s="3803"/>
      <c r="J113" s="380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2</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5">I118</f>
        <v>0.81259999999999999</v>
      </c>
      <c r="K118" s="3386">
        <f t="shared" si="35"/>
        <v>0.81259999999999999</v>
      </c>
      <c r="L118" s="3386">
        <f t="shared" si="35"/>
        <v>0.81259999999999999</v>
      </c>
      <c r="M118" s="3409">
        <f t="shared" si="35"/>
        <v>0.81259999999999999</v>
      </c>
      <c r="N118" s="3396"/>
    </row>
    <row r="119" spans="1:14">
      <c r="A119" s="3408" t="s">
        <v>3331</v>
      </c>
      <c r="B119" s="3386">
        <f>ROUND(0.993-0.0112*B116,4)</f>
        <v>0.97060000000000002</v>
      </c>
      <c r="C119" s="3386">
        <f>B119</f>
        <v>0.97060000000000002</v>
      </c>
      <c r="D119" s="3386">
        <f>ROUND(0.9415-0.0142*B116,4)</f>
        <v>0.91310000000000002</v>
      </c>
      <c r="E119" s="3386">
        <f t="shared" ref="E119:H120" si="36">D119</f>
        <v>0.91310000000000002</v>
      </c>
      <c r="F119" s="3386">
        <f t="shared" si="36"/>
        <v>0.91310000000000002</v>
      </c>
      <c r="G119" s="3386">
        <f t="shared" si="36"/>
        <v>0.91310000000000002</v>
      </c>
      <c r="H119" s="3386">
        <f t="shared" si="36"/>
        <v>0.91310000000000002</v>
      </c>
      <c r="I119" s="3386">
        <f>ROUND(0.838-0.0182*B116,4)</f>
        <v>0.80159999999999998</v>
      </c>
      <c r="J119" s="3386">
        <f t="shared" si="35"/>
        <v>0.80159999999999998</v>
      </c>
      <c r="K119" s="3386">
        <f t="shared" si="35"/>
        <v>0.80159999999999998</v>
      </c>
      <c r="L119" s="3386">
        <f t="shared" si="35"/>
        <v>0.80159999999999998</v>
      </c>
      <c r="M119" s="3409">
        <f t="shared" si="35"/>
        <v>0.80159999999999998</v>
      </c>
      <c r="N119" s="3396"/>
    </row>
    <row r="120" spans="1:14">
      <c r="A120" s="3408" t="s">
        <v>3332</v>
      </c>
      <c r="B120" s="3386">
        <f>ROUND(0.9448-0.0115*B116,4)</f>
        <v>0.92179999999999995</v>
      </c>
      <c r="C120" s="3386">
        <f>B120</f>
        <v>0.92179999999999995</v>
      </c>
      <c r="D120" s="3386">
        <f>ROUND(0.937-0.0145*B116,4)</f>
        <v>0.90800000000000003</v>
      </c>
      <c r="E120" s="3386">
        <f t="shared" si="36"/>
        <v>0.90800000000000003</v>
      </c>
      <c r="F120" s="3386">
        <f t="shared" si="36"/>
        <v>0.90800000000000003</v>
      </c>
      <c r="G120" s="3386">
        <f t="shared" si="36"/>
        <v>0.90800000000000003</v>
      </c>
      <c r="H120" s="3386">
        <f t="shared" si="36"/>
        <v>0.90800000000000003</v>
      </c>
      <c r="I120" s="3386">
        <f>ROUND(0.7965-0.0185*B116,4)</f>
        <v>0.75949999999999995</v>
      </c>
      <c r="J120" s="3386">
        <f t="shared" si="35"/>
        <v>0.75949999999999995</v>
      </c>
      <c r="K120" s="3386">
        <f t="shared" si="35"/>
        <v>0.75949999999999995</v>
      </c>
      <c r="L120" s="3386">
        <f t="shared" si="35"/>
        <v>0.75949999999999995</v>
      </c>
      <c r="M120" s="3409">
        <f t="shared" si="35"/>
        <v>0.75949999999999995</v>
      </c>
      <c r="N120" s="3396"/>
    </row>
    <row r="121" spans="1:14" ht="13.8" thickBot="1">
      <c r="A121" s="3410" t="s">
        <v>3333</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5"/>
        <v>0.55249999999999999</v>
      </c>
      <c r="K121" s="3411">
        <f t="shared" si="35"/>
        <v>0.55249999999999999</v>
      </c>
      <c r="L121" s="3411">
        <f t="shared" si="35"/>
        <v>0.55249999999999999</v>
      </c>
      <c r="M121" s="3412">
        <f t="shared" si="35"/>
        <v>0.55249999999999999</v>
      </c>
      <c r="N121" s="3396"/>
    </row>
    <row r="122" spans="1:14">
      <c r="A122" s="3413" t="s">
        <v>2614</v>
      </c>
      <c r="B122" s="3386">
        <f>ROUND(0.9404-0.0106*B116,4)</f>
        <v>0.91920000000000002</v>
      </c>
      <c r="C122" s="3386">
        <f>B122</f>
        <v>0.91920000000000002</v>
      </c>
      <c r="D122" s="3386">
        <f>ROUND(0.8955-0.0135*B116,4)</f>
        <v>0.86850000000000005</v>
      </c>
      <c r="E122" s="3386">
        <f t="shared" ref="E122:H122" si="37">D122</f>
        <v>0.86850000000000005</v>
      </c>
      <c r="F122" s="3386">
        <f t="shared" si="37"/>
        <v>0.86850000000000005</v>
      </c>
      <c r="G122" s="3386">
        <f t="shared" si="37"/>
        <v>0.86850000000000005</v>
      </c>
      <c r="H122" s="3386">
        <f t="shared" si="37"/>
        <v>0.86850000000000005</v>
      </c>
      <c r="I122" s="3386">
        <f>ROUND(0.7632-0.0166*B116,4)</f>
        <v>0.73</v>
      </c>
      <c r="J122" s="3386">
        <f t="shared" si="35"/>
        <v>0.73</v>
      </c>
      <c r="K122" s="3386">
        <f t="shared" si="35"/>
        <v>0.73</v>
      </c>
      <c r="L122" s="3386">
        <f t="shared" si="35"/>
        <v>0.73</v>
      </c>
      <c r="M122" s="3409">
        <f t="shared" si="35"/>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Normal="60" zoomScaleSheetLayoutView="100" workbookViewId="0">
      <selection activeCell="F28" sqref="F28"/>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16.631799999999998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2731</v>
      </c>
      <c r="C3" s="354" t="s">
        <v>1665</v>
      </c>
      <c r="D3" s="353">
        <f>IF(D1="",'数据-汇总表'!E3,SUMIF('数据-汇总表'!$C19:$C33,D1,'数据-汇总表'!$E19:$E33))</f>
        <v>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37" t="s">
        <v>1667</v>
      </c>
      <c r="D4" s="3838"/>
      <c r="E4" s="3839" t="s">
        <v>1668</v>
      </c>
      <c r="F4" s="3840"/>
      <c r="G4" s="3837" t="s">
        <v>1669</v>
      </c>
      <c r="H4" s="3838"/>
      <c r="I4" s="3837" t="s">
        <v>1670</v>
      </c>
      <c r="J4" s="3838"/>
      <c r="K4" s="1889" t="s">
        <v>1671</v>
      </c>
      <c r="L4" s="2713"/>
      <c r="M4" s="2714"/>
      <c r="N4" s="2714"/>
      <c r="O4" s="2714"/>
      <c r="P4" s="3841" t="s">
        <v>1672</v>
      </c>
      <c r="Q4" s="3842"/>
      <c r="R4" s="3847" t="s">
        <v>1668</v>
      </c>
      <c r="S4" s="3848"/>
      <c r="T4" s="3847" t="s">
        <v>1669</v>
      </c>
      <c r="U4" s="3848"/>
      <c r="V4" s="3853" t="s">
        <v>1670</v>
      </c>
      <c r="W4" s="3853"/>
      <c r="X4" s="1355"/>
      <c r="Y4" s="3847" t="s">
        <v>1672</v>
      </c>
      <c r="Z4" s="3848"/>
      <c r="AA4" s="3834" t="s">
        <v>1668</v>
      </c>
      <c r="AB4" s="3834" t="s">
        <v>1669</v>
      </c>
      <c r="AC4" s="3834" t="s">
        <v>1670</v>
      </c>
    </row>
    <row r="5" spans="1:29">
      <c r="A5" s="358"/>
      <c r="B5" s="359"/>
      <c r="C5" s="3861" t="s">
        <v>1673</v>
      </c>
      <c r="D5" s="3857"/>
      <c r="E5" s="3865" t="str">
        <f>Sheet1!B48</f>
        <v>仓上小区</v>
      </c>
      <c r="F5" s="3866"/>
      <c r="G5" s="3856" t="str">
        <f>E5</f>
        <v>仓上小区</v>
      </c>
      <c r="H5" s="3857"/>
      <c r="I5" s="3862" t="str">
        <f>E5</f>
        <v>仓上小区</v>
      </c>
      <c r="J5" s="3857"/>
      <c r="K5" s="1890"/>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1890"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f>Sheet1!Q44</f>
        <v>38607</v>
      </c>
      <c r="F7" s="367">
        <f>SUMIF(58:58,YEAR(E7)&amp;"-"&amp;MONTH(E7),59:59)</f>
        <v>98.5</v>
      </c>
      <c r="G7" s="366">
        <f>Sheet1!Q51</f>
        <v>38634</v>
      </c>
      <c r="H7" s="365">
        <f>SUMIF(58:58,YEAR(G7)&amp;"-"&amp;MONTH(G7),59:59)</f>
        <v>99</v>
      </c>
      <c r="I7" s="366">
        <f>Sheet1!Q56</f>
        <v>38645</v>
      </c>
      <c r="J7" s="365">
        <f>SUMIF(58:58,YEAR(I7)&amp;"-"&amp;MONTH(I7),59:59)</f>
        <v>99</v>
      </c>
      <c r="K7" s="1891"/>
      <c r="L7" s="2715"/>
      <c r="M7" s="2716"/>
      <c r="N7" s="2716"/>
      <c r="O7" s="2716"/>
      <c r="P7" s="3858" t="s">
        <v>1680</v>
      </c>
      <c r="Q7" s="3860"/>
      <c r="R7" s="701" t="s">
        <v>20</v>
      </c>
      <c r="S7" s="702">
        <f t="shared" ref="S7:S15" si="0">F7</f>
        <v>98.5</v>
      </c>
      <c r="T7" s="701" t="s">
        <v>20</v>
      </c>
      <c r="U7" s="702">
        <f t="shared" ref="U7:U15" si="1">H7</f>
        <v>99</v>
      </c>
      <c r="V7" s="701" t="s">
        <v>20</v>
      </c>
      <c r="W7" s="702">
        <f t="shared" ref="W7:W15" si="2">J7</f>
        <v>99</v>
      </c>
      <c r="X7" s="703"/>
      <c r="Y7" s="3858" t="s">
        <v>1680</v>
      </c>
      <c r="Z7" s="3859"/>
      <c r="AA7" s="704">
        <f>D7/F7</f>
        <v>1.015228426395939</v>
      </c>
      <c r="AB7" s="704">
        <f>D7/H7</f>
        <v>1.0101010101010102</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58" t="s">
        <v>1683</v>
      </c>
      <c r="Q8" s="3859"/>
      <c r="R8" s="701" t="s">
        <v>20</v>
      </c>
      <c r="S8" s="702">
        <f t="shared" si="0"/>
        <v>100</v>
      </c>
      <c r="T8" s="701" t="s">
        <v>20</v>
      </c>
      <c r="U8" s="702">
        <f t="shared" si="1"/>
        <v>100</v>
      </c>
      <c r="V8" s="701" t="s">
        <v>20</v>
      </c>
      <c r="W8" s="702">
        <f t="shared" si="2"/>
        <v>100</v>
      </c>
      <c r="X8" s="703"/>
      <c r="Y8" s="3858" t="s">
        <v>1683</v>
      </c>
      <c r="Z8" s="3859"/>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33"/>
      <c r="Q11" s="1343" t="str">
        <f t="shared" si="6"/>
        <v>容积率</v>
      </c>
      <c r="R11" s="701" t="s">
        <v>18</v>
      </c>
      <c r="S11" s="702">
        <f t="shared" si="0"/>
        <v>100</v>
      </c>
      <c r="T11" s="701" t="s">
        <v>18</v>
      </c>
      <c r="U11" s="702">
        <f t="shared" si="1"/>
        <v>100</v>
      </c>
      <c r="V11" s="701" t="s">
        <v>18</v>
      </c>
      <c r="W11" s="702">
        <f t="shared" si="2"/>
        <v>100</v>
      </c>
      <c r="X11" s="703"/>
      <c r="Y11" s="3678"/>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33"/>
      <c r="Q12" s="1343">
        <f t="shared" si="6"/>
        <v>111</v>
      </c>
      <c r="R12" s="701" t="s">
        <v>18</v>
      </c>
      <c r="S12" s="702">
        <f t="shared" si="0"/>
        <v>100</v>
      </c>
      <c r="T12" s="701" t="s">
        <v>18</v>
      </c>
      <c r="U12" s="702">
        <f t="shared" si="1"/>
        <v>100</v>
      </c>
      <c r="V12" s="701" t="s">
        <v>18</v>
      </c>
      <c r="W12" s="702">
        <f t="shared" si="2"/>
        <v>100</v>
      </c>
      <c r="X12" s="703"/>
      <c r="Y12" s="367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33"/>
      <c r="Q13" s="1343">
        <f t="shared" si="6"/>
        <v>111</v>
      </c>
      <c r="R13" s="701" t="s">
        <v>18</v>
      </c>
      <c r="S13" s="702">
        <f t="shared" si="0"/>
        <v>100</v>
      </c>
      <c r="T13" s="701" t="s">
        <v>18</v>
      </c>
      <c r="U13" s="702">
        <f t="shared" si="1"/>
        <v>100</v>
      </c>
      <c r="V13" s="701" t="s">
        <v>18</v>
      </c>
      <c r="W13" s="702">
        <f t="shared" si="2"/>
        <v>100</v>
      </c>
      <c r="X13" s="703"/>
      <c r="Y13" s="3678"/>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33"/>
      <c r="Q14" s="1343">
        <f t="shared" si="6"/>
        <v>111</v>
      </c>
      <c r="R14" s="701" t="s">
        <v>18</v>
      </c>
      <c r="S14" s="702">
        <f t="shared" si="0"/>
        <v>100</v>
      </c>
      <c r="T14" s="701" t="s">
        <v>18</v>
      </c>
      <c r="U14" s="702">
        <f t="shared" si="1"/>
        <v>100</v>
      </c>
      <c r="V14" s="701" t="s">
        <v>18</v>
      </c>
      <c r="W14" s="702">
        <f t="shared" si="2"/>
        <v>100</v>
      </c>
      <c r="X14" s="703"/>
      <c r="Y14" s="3678"/>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31" t="s">
        <v>1691</v>
      </c>
      <c r="Q15" s="1352" t="str">
        <f t="shared" si="6"/>
        <v>居住社区成熟度</v>
      </c>
      <c r="R15" s="705" t="s">
        <v>18</v>
      </c>
      <c r="S15" s="706">
        <f t="shared" si="0"/>
        <v>100</v>
      </c>
      <c r="T15" s="705" t="s">
        <v>18</v>
      </c>
      <c r="U15" s="706">
        <f t="shared" si="1"/>
        <v>100</v>
      </c>
      <c r="V15" s="705" t="s">
        <v>18</v>
      </c>
      <c r="W15" s="706">
        <f t="shared" si="2"/>
        <v>100</v>
      </c>
      <c r="X15" s="1355"/>
      <c r="Y15" s="382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32"/>
      <c r="Q16" s="1352"/>
      <c r="R16" s="705"/>
      <c r="S16" s="706"/>
      <c r="T16" s="705"/>
      <c r="U16" s="706"/>
      <c r="V16" s="705"/>
      <c r="W16" s="706"/>
      <c r="X16" s="1355"/>
      <c r="Y16" s="3825"/>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32"/>
      <c r="Q17" s="1352" t="str">
        <f>B17</f>
        <v>交通便捷度</v>
      </c>
      <c r="R17" s="705" t="s">
        <v>18</v>
      </c>
      <c r="S17" s="706">
        <f>F17</f>
        <v>100</v>
      </c>
      <c r="T17" s="705" t="s">
        <v>18</v>
      </c>
      <c r="U17" s="706">
        <f>H17</f>
        <v>100</v>
      </c>
      <c r="V17" s="705" t="s">
        <v>18</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32"/>
      <c r="Q18" s="1352"/>
      <c r="R18" s="705"/>
      <c r="S18" s="706"/>
      <c r="T18" s="705"/>
      <c r="U18" s="706"/>
      <c r="V18" s="705"/>
      <c r="W18" s="706"/>
      <c r="X18" s="1355"/>
      <c r="Y18" s="3825"/>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32"/>
      <c r="Q19" s="1352" t="str">
        <f>B19</f>
        <v>公共配套设施</v>
      </c>
      <c r="R19" s="705" t="s">
        <v>18</v>
      </c>
      <c r="S19" s="706">
        <f>F19</f>
        <v>100</v>
      </c>
      <c r="T19" s="705" t="s">
        <v>18</v>
      </c>
      <c r="U19" s="706">
        <f>H19</f>
        <v>100</v>
      </c>
      <c r="V19" s="705" t="s">
        <v>18</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32"/>
      <c r="Q22" s="1352"/>
      <c r="R22" s="705"/>
      <c r="S22" s="706"/>
      <c r="T22" s="705"/>
      <c r="U22" s="706"/>
      <c r="V22" s="705"/>
      <c r="W22" s="706"/>
      <c r="X22" s="1355"/>
      <c r="Y22" s="3825"/>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32"/>
      <c r="Q23" s="1352" t="str">
        <f>B23</f>
        <v>自然及人文环境</v>
      </c>
      <c r="R23" s="705" t="s">
        <v>18</v>
      </c>
      <c r="S23" s="706">
        <f>F23</f>
        <v>100</v>
      </c>
      <c r="T23" s="705" t="s">
        <v>18</v>
      </c>
      <c r="U23" s="706">
        <f>H23</f>
        <v>100</v>
      </c>
      <c r="V23" s="705" t="s">
        <v>18</v>
      </c>
      <c r="W23" s="706">
        <f>J23</f>
        <v>100</v>
      </c>
      <c r="X23" s="1355"/>
      <c r="Y23" s="382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32"/>
      <c r="Q24" s="1352"/>
      <c r="R24" s="705"/>
      <c r="S24" s="706"/>
      <c r="T24" s="705"/>
      <c r="U24" s="706"/>
      <c r="V24" s="705"/>
      <c r="W24" s="706"/>
      <c r="X24" s="1355"/>
      <c r="Y24" s="3825"/>
      <c r="Z24" s="1356"/>
      <c r="AA24" s="1353">
        <v>1</v>
      </c>
      <c r="AB24" s="1353">
        <v>1</v>
      </c>
      <c r="AC24" s="1353">
        <v>1</v>
      </c>
    </row>
    <row r="25" spans="1:29" ht="27.6" hidden="1">
      <c r="A25" s="379"/>
      <c r="B25" s="375" t="s">
        <v>1692</v>
      </c>
      <c r="C25" s="411" t="s">
        <v>3439</v>
      </c>
      <c r="D25" s="386">
        <v>100</v>
      </c>
      <c r="E25" s="1906" t="s">
        <v>3439</v>
      </c>
      <c r="F25" s="386">
        <f>SUMIF(86:86,E25,87:87)-SUMIF(86:86,C25,87:87)+100</f>
        <v>100</v>
      </c>
      <c r="G25" s="1906" t="s">
        <v>3439</v>
      </c>
      <c r="H25" s="386">
        <f>SUMIF(86:86,G25,87:87)-SUMIF(86:86,C25,87:87)+100</f>
        <v>100</v>
      </c>
      <c r="I25" s="1906" t="s">
        <v>3439</v>
      </c>
      <c r="J25" s="386">
        <f>SUMIF(86:86,I25,87:87)-SUMIF(86:86,C25,87:87)+100</f>
        <v>100</v>
      </c>
      <c r="K25" s="377">
        <v>2</v>
      </c>
      <c r="L25" s="2720"/>
      <c r="M25" s="2714"/>
      <c r="N25" s="2714"/>
      <c r="O25" s="2714"/>
      <c r="P25" s="38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3486</v>
      </c>
      <c r="D26" s="386">
        <v>100</v>
      </c>
      <c r="E26" s="1906" t="s">
        <v>3486</v>
      </c>
      <c r="F26" s="386">
        <f>SUMIF(88:88,E26,89:89)-SUMIF(88:88,C26,89:89)+100</f>
        <v>100</v>
      </c>
      <c r="G26" s="1907" t="s">
        <v>3486</v>
      </c>
      <c r="H26" s="386">
        <f>SUMIF(88:88,G26,89:89)-SUMIF(88:88,C26,89:89)+100</f>
        <v>100</v>
      </c>
      <c r="I26" s="411" t="s">
        <v>3486</v>
      </c>
      <c r="J26" s="386">
        <f>SUMIF(88:88,I26,89:89)-SUMIF(88:88,C26,89:89)+100</f>
        <v>100</v>
      </c>
      <c r="K26" s="377">
        <v>1</v>
      </c>
      <c r="L26" s="2720"/>
      <c r="M26" s="2714"/>
      <c r="N26" s="2714"/>
      <c r="O26" s="2714"/>
      <c r="P26" s="3832"/>
      <c r="Q26" s="1352" t="str">
        <f t="shared" si="11"/>
        <v>朝向</v>
      </c>
      <c r="R26" s="705" t="s">
        <v>18</v>
      </c>
      <c r="S26" s="706">
        <f t="shared" si="12"/>
        <v>100</v>
      </c>
      <c r="T26" s="705" t="s">
        <v>18</v>
      </c>
      <c r="U26" s="706">
        <f t="shared" si="13"/>
        <v>100</v>
      </c>
      <c r="V26" s="705" t="s">
        <v>18</v>
      </c>
      <c r="W26" s="706">
        <f t="shared" si="14"/>
        <v>100</v>
      </c>
      <c r="X26" s="1355"/>
      <c r="Y26" s="3825"/>
      <c r="Z26" s="1356" t="str">
        <f>Q26</f>
        <v>朝向</v>
      </c>
      <c r="AA26" s="1353">
        <f t="shared" si="15"/>
        <v>1</v>
      </c>
      <c r="AB26" s="1353">
        <f t="shared" si="16"/>
        <v>1</v>
      </c>
      <c r="AC26" s="1353">
        <f t="shared" si="17"/>
        <v>1</v>
      </c>
    </row>
    <row r="27" spans="1:29" s="108" customFormat="1" ht="15">
      <c r="A27" s="382"/>
      <c r="B27" s="3451" t="s">
        <v>3767</v>
      </c>
      <c r="C27" s="411" t="s">
        <v>3768</v>
      </c>
      <c r="D27" s="413">
        <v>100</v>
      </c>
      <c r="E27" s="1906" t="s">
        <v>3769</v>
      </c>
      <c r="F27" s="413">
        <f>SUMIF(90:90,E27,91:91)-SUMIF(90:90,C27,91:91)+100</f>
        <v>100</v>
      </c>
      <c r="G27" s="1907" t="s">
        <v>3770</v>
      </c>
      <c r="H27" s="413">
        <f>SUMIF(90:90,G27,91:91)-SUMIF(90:90,C27,91:91)+100</f>
        <v>100</v>
      </c>
      <c r="I27" s="1907" t="s">
        <v>3771</v>
      </c>
      <c r="J27" s="413">
        <f>SUMIF(90:90,I27,91:91)-SUMIF(90:90,C27,91:91)+100</f>
        <v>100</v>
      </c>
      <c r="K27" s="1894"/>
      <c r="L27" s="2715"/>
      <c r="M27" s="2716"/>
      <c r="N27" s="2716"/>
      <c r="O27" s="2716"/>
      <c r="P27" s="3832"/>
      <c r="Q27" s="1343" t="str">
        <f t="shared" si="11"/>
        <v>楼层</v>
      </c>
      <c r="R27" s="701" t="s">
        <v>18</v>
      </c>
      <c r="S27" s="702">
        <f t="shared" si="12"/>
        <v>100</v>
      </c>
      <c r="T27" s="701" t="s">
        <v>18</v>
      </c>
      <c r="U27" s="702">
        <f t="shared" si="13"/>
        <v>100</v>
      </c>
      <c r="V27" s="701" t="s">
        <v>18</v>
      </c>
      <c r="W27" s="702">
        <f t="shared" si="14"/>
        <v>100</v>
      </c>
      <c r="X27" s="703"/>
      <c r="Y27" s="3825"/>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32"/>
      <c r="Q28" s="1352">
        <f t="shared" si="11"/>
        <v>111</v>
      </c>
      <c r="R28" s="705" t="s">
        <v>18</v>
      </c>
      <c r="S28" s="706">
        <f t="shared" si="12"/>
        <v>100</v>
      </c>
      <c r="T28" s="705" t="s">
        <v>18</v>
      </c>
      <c r="U28" s="706">
        <f t="shared" si="13"/>
        <v>100</v>
      </c>
      <c r="V28" s="705" t="s">
        <v>18</v>
      </c>
      <c r="W28" s="706">
        <f t="shared" si="14"/>
        <v>100</v>
      </c>
      <c r="X28" s="1355"/>
      <c r="Y28" s="382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32"/>
      <c r="Q29" s="1352">
        <f t="shared" si="11"/>
        <v>111</v>
      </c>
      <c r="R29" s="705" t="s">
        <v>18</v>
      </c>
      <c r="S29" s="706">
        <f t="shared" si="12"/>
        <v>100</v>
      </c>
      <c r="T29" s="705" t="s">
        <v>18</v>
      </c>
      <c r="U29" s="706">
        <f t="shared" si="13"/>
        <v>100</v>
      </c>
      <c r="V29" s="705" t="s">
        <v>18</v>
      </c>
      <c r="W29" s="706">
        <f t="shared" si="14"/>
        <v>100</v>
      </c>
      <c r="X29" s="1355"/>
      <c r="Y29" s="382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32"/>
      <c r="Q30" s="1352">
        <f t="shared" si="11"/>
        <v>111</v>
      </c>
      <c r="R30" s="705" t="s">
        <v>18</v>
      </c>
      <c r="S30" s="706">
        <f t="shared" si="12"/>
        <v>100</v>
      </c>
      <c r="T30" s="705" t="s">
        <v>18</v>
      </c>
      <c r="U30" s="706">
        <f t="shared" si="13"/>
        <v>100</v>
      </c>
      <c r="V30" s="705" t="s">
        <v>18</v>
      </c>
      <c r="W30" s="706">
        <f t="shared" si="14"/>
        <v>100</v>
      </c>
      <c r="X30" s="1355"/>
      <c r="Y30" s="382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32"/>
      <c r="Q31" s="1352">
        <f t="shared" si="11"/>
        <v>111</v>
      </c>
      <c r="R31" s="705" t="s">
        <v>18</v>
      </c>
      <c r="S31" s="706">
        <f t="shared" si="12"/>
        <v>100</v>
      </c>
      <c r="T31" s="705" t="s">
        <v>18</v>
      </c>
      <c r="U31" s="706">
        <f t="shared" si="13"/>
        <v>100</v>
      </c>
      <c r="V31" s="705" t="s">
        <v>18</v>
      </c>
      <c r="W31" s="706">
        <f t="shared" si="14"/>
        <v>100</v>
      </c>
      <c r="X31" s="1355"/>
      <c r="Y31" s="3825"/>
      <c r="Z31" s="1356">
        <f t="shared" si="18"/>
        <v>111</v>
      </c>
      <c r="AA31" s="1353">
        <f t="shared" si="15"/>
        <v>1</v>
      </c>
      <c r="AB31" s="1353">
        <f t="shared" si="16"/>
        <v>1</v>
      </c>
      <c r="AC31" s="1353">
        <f t="shared" si="17"/>
        <v>1</v>
      </c>
    </row>
    <row r="32" spans="1:29" ht="15">
      <c r="A32" s="391" t="s">
        <v>1694</v>
      </c>
      <c r="B32" s="63" t="s">
        <v>1695</v>
      </c>
      <c r="C32" s="1910" t="s">
        <v>3404</v>
      </c>
      <c r="D32" s="418">
        <v>100</v>
      </c>
      <c r="E32" s="1911" t="str">
        <f>C32</f>
        <v>多层板楼</v>
      </c>
      <c r="F32" s="412">
        <f>SUMIF(100:100,E32,101:101)-SUMIF(100:100,C32,101:101)+100</f>
        <v>100</v>
      </c>
      <c r="G32" s="1910" t="s">
        <v>3404</v>
      </c>
      <c r="H32" s="418">
        <f>SUMIF(100:100,G32,101:101)-SUMIF(100:100,C32,101:101)+100</f>
        <v>100</v>
      </c>
      <c r="I32" s="1911" t="s">
        <v>3404</v>
      </c>
      <c r="J32" s="386">
        <f>SUMIF(100:100,I32,101:101)-SUMIF(100:100,C32,101:101)+100</f>
        <v>100</v>
      </c>
      <c r="K32" s="377">
        <v>3</v>
      </c>
      <c r="L32" s="2720"/>
      <c r="M32" s="2714"/>
      <c r="N32" s="2714"/>
      <c r="O32" s="2714"/>
      <c r="P32" s="3826" t="s">
        <v>1696</v>
      </c>
      <c r="Q32" s="1352" t="str">
        <f t="shared" si="11"/>
        <v>建筑类型</v>
      </c>
      <c r="R32" s="705" t="s">
        <v>18</v>
      </c>
      <c r="S32" s="706">
        <f t="shared" si="12"/>
        <v>100</v>
      </c>
      <c r="T32" s="705" t="s">
        <v>18</v>
      </c>
      <c r="U32" s="706">
        <f t="shared" si="13"/>
        <v>100</v>
      </c>
      <c r="V32" s="705" t="s">
        <v>18</v>
      </c>
      <c r="W32" s="706">
        <f t="shared" si="14"/>
        <v>100</v>
      </c>
      <c r="X32" s="1355"/>
      <c r="Y32" s="3829"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60.9</v>
      </c>
      <c r="D33" s="127">
        <v>100</v>
      </c>
      <c r="E33" s="381">
        <f>Sheet1!G44</f>
        <v>69.02</v>
      </c>
      <c r="F33" s="376">
        <f>LOOKUP(E33,103:103,104:104)-LOOKUP(C33,103:103,104:104)+100</f>
        <v>100</v>
      </c>
      <c r="G33" s="380">
        <f>Sheet1!G51</f>
        <v>76.17</v>
      </c>
      <c r="H33" s="127">
        <f>LOOKUP(G33,103:103,104:104)-LOOKUP(C33,103:103,104:104)+100</f>
        <v>98</v>
      </c>
      <c r="I33" s="381">
        <f>Sheet1!G56</f>
        <v>64.83</v>
      </c>
      <c r="J33" s="127">
        <f>LOOKUP(I33,103:103,104:104)-LOOKUP(C33,103:103,104:104)+100</f>
        <v>100</v>
      </c>
      <c r="K33" s="1894"/>
      <c r="L33" s="2719"/>
      <c r="M33" s="2721"/>
      <c r="N33" s="2721"/>
      <c r="O33" s="2721"/>
      <c r="P33" s="3827"/>
      <c r="Q33" s="707" t="str">
        <f t="shared" si="11"/>
        <v>项目建筑规模</v>
      </c>
      <c r="R33" s="708" t="s">
        <v>18</v>
      </c>
      <c r="S33" s="709">
        <f t="shared" si="12"/>
        <v>100</v>
      </c>
      <c r="T33" s="708" t="s">
        <v>18</v>
      </c>
      <c r="U33" s="709">
        <f t="shared" si="13"/>
        <v>98</v>
      </c>
      <c r="V33" s="708" t="s">
        <v>18</v>
      </c>
      <c r="W33" s="709">
        <f t="shared" si="14"/>
        <v>100</v>
      </c>
      <c r="X33" s="710"/>
      <c r="Y33" s="3829"/>
      <c r="Z33" s="711" t="str">
        <f t="shared" si="18"/>
        <v>项目建筑规模</v>
      </c>
      <c r="AA33" s="1353">
        <f t="shared" si="15"/>
        <v>1</v>
      </c>
      <c r="AB33" s="1353">
        <f t="shared" si="16"/>
        <v>1.0204081632653061</v>
      </c>
      <c r="AC33" s="1353">
        <f t="shared" si="17"/>
        <v>1</v>
      </c>
    </row>
    <row r="34" spans="1:29" ht="15">
      <c r="A34" s="423"/>
      <c r="B34" s="375" t="s">
        <v>1698</v>
      </c>
      <c r="C34" s="1912" t="s">
        <v>3437</v>
      </c>
      <c r="D34" s="386">
        <v>100</v>
      </c>
      <c r="E34" s="1912" t="s">
        <v>3437</v>
      </c>
      <c r="F34" s="412">
        <f>SUMIF(105:105,E34,106:106)-SUMIF(105:105,C34,106:106)+100</f>
        <v>100</v>
      </c>
      <c r="G34" s="1912" t="s">
        <v>3437</v>
      </c>
      <c r="H34" s="386">
        <f>SUMIF(105:105,G34,106:106)-SUMIF(105:105,C34,106:106)+100</f>
        <v>100</v>
      </c>
      <c r="I34" s="1912" t="s">
        <v>3437</v>
      </c>
      <c r="J34" s="386">
        <f>SUMIF(105:105,I34,106:106)-SUMIF(105:105,C34,106:106)+100</f>
        <v>100</v>
      </c>
      <c r="K34" s="377">
        <v>2</v>
      </c>
      <c r="L34" s="2720"/>
      <c r="M34" s="2714"/>
      <c r="N34" s="2714"/>
      <c r="O34" s="2714"/>
      <c r="P34" s="3827"/>
      <c r="Q34" s="1352" t="str">
        <f t="shared" si="11"/>
        <v>建筑结构</v>
      </c>
      <c r="R34" s="705" t="s">
        <v>18</v>
      </c>
      <c r="S34" s="706">
        <f t="shared" si="12"/>
        <v>100</v>
      </c>
      <c r="T34" s="705" t="s">
        <v>18</v>
      </c>
      <c r="U34" s="706">
        <f t="shared" si="13"/>
        <v>100</v>
      </c>
      <c r="V34" s="705" t="s">
        <v>18</v>
      </c>
      <c r="W34" s="706">
        <f t="shared" si="14"/>
        <v>100</v>
      </c>
      <c r="X34" s="1355"/>
      <c r="Y34" s="382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27"/>
      <c r="Q35" s="1352" t="str">
        <f t="shared" si="11"/>
        <v>建筑品质</v>
      </c>
      <c r="R35" s="705" t="s">
        <v>18</v>
      </c>
      <c r="S35" s="706">
        <f t="shared" si="12"/>
        <v>100</v>
      </c>
      <c r="T35" s="705" t="s">
        <v>18</v>
      </c>
      <c r="U35" s="706">
        <f t="shared" si="13"/>
        <v>100</v>
      </c>
      <c r="V35" s="705" t="s">
        <v>18</v>
      </c>
      <c r="W35" s="706">
        <f t="shared" si="14"/>
        <v>100</v>
      </c>
      <c r="X35" s="1355"/>
      <c r="Y35" s="382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27"/>
      <c r="Q36" s="1352" t="str">
        <f t="shared" si="11"/>
        <v>公共部分装修</v>
      </c>
      <c r="R36" s="705" t="s">
        <v>18</v>
      </c>
      <c r="S36" s="706">
        <f t="shared" si="12"/>
        <v>100</v>
      </c>
      <c r="T36" s="705" t="s">
        <v>18</v>
      </c>
      <c r="U36" s="706">
        <f t="shared" si="13"/>
        <v>100</v>
      </c>
      <c r="V36" s="705" t="s">
        <v>18</v>
      </c>
      <c r="W36" s="706">
        <f t="shared" si="14"/>
        <v>100</v>
      </c>
      <c r="X36" s="1355"/>
      <c r="Y36" s="3829"/>
      <c r="Z36" s="1356" t="str">
        <f t="shared" si="18"/>
        <v>公共部分装修</v>
      </c>
      <c r="AA36" s="1353">
        <f t="shared" si="15"/>
        <v>1</v>
      </c>
      <c r="AB36" s="1353">
        <f t="shared" si="16"/>
        <v>1</v>
      </c>
      <c r="AC36" s="1353">
        <f t="shared" si="17"/>
        <v>1</v>
      </c>
    </row>
    <row r="37" spans="1:29" s="108" customFormat="1" ht="15">
      <c r="A37" s="424"/>
      <c r="B37" s="375" t="s">
        <v>1701</v>
      </c>
      <c r="C37" s="425">
        <f>'数据-取费表'!Y6</f>
        <v>0.74</v>
      </c>
      <c r="D37" s="127">
        <v>100</v>
      </c>
      <c r="E37" s="425">
        <f>C37</f>
        <v>0.74</v>
      </c>
      <c r="F37" s="376">
        <f>LOOKUP(E37,112:112,113:113)-LOOKUP(C37,112:112,113:113)+100</f>
        <v>100</v>
      </c>
      <c r="G37" s="427">
        <f>C37</f>
        <v>0.74</v>
      </c>
      <c r="H37" s="127">
        <f>LOOKUP(G37,112:112,113:113)-LOOKUP(C37,112:112,113:113)+100</f>
        <v>100</v>
      </c>
      <c r="I37" s="426">
        <f>C37</f>
        <v>0.74</v>
      </c>
      <c r="J37" s="127">
        <f>LOOKUP(I37,112:112,113:113)-LOOKUP(C37,112:112,113:113)+100</f>
        <v>100</v>
      </c>
      <c r="K37" s="377"/>
      <c r="L37" s="2715"/>
      <c r="M37" s="2716"/>
      <c r="N37" s="2716"/>
      <c r="O37" s="2716"/>
      <c r="P37" s="3827"/>
      <c r="Q37" s="1343" t="str">
        <f t="shared" si="11"/>
        <v>成新度</v>
      </c>
      <c r="R37" s="701" t="s">
        <v>18</v>
      </c>
      <c r="S37" s="702">
        <f t="shared" si="12"/>
        <v>100</v>
      </c>
      <c r="T37" s="701" t="s">
        <v>18</v>
      </c>
      <c r="U37" s="702">
        <f t="shared" si="13"/>
        <v>100</v>
      </c>
      <c r="V37" s="701" t="s">
        <v>18</v>
      </c>
      <c r="W37" s="702">
        <f t="shared" si="14"/>
        <v>100</v>
      </c>
      <c r="X37" s="703"/>
      <c r="Y37" s="3829"/>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27" t="s">
        <v>1696</v>
      </c>
      <c r="Q38" s="1352" t="str">
        <f t="shared" si="11"/>
        <v>物业管理</v>
      </c>
      <c r="R38" s="705" t="s">
        <v>18</v>
      </c>
      <c r="S38" s="706">
        <f t="shared" si="12"/>
        <v>100</v>
      </c>
      <c r="T38" s="705" t="s">
        <v>18</v>
      </c>
      <c r="U38" s="706">
        <f t="shared" si="13"/>
        <v>100</v>
      </c>
      <c r="V38" s="705" t="s">
        <v>18</v>
      </c>
      <c r="W38" s="706">
        <f t="shared" si="14"/>
        <v>100</v>
      </c>
      <c r="X38" s="1355"/>
      <c r="Y38" s="382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27"/>
      <c r="Q39" s="1352" t="str">
        <f t="shared" si="11"/>
        <v>市政基础设施</v>
      </c>
      <c r="R39" s="705" t="s">
        <v>18</v>
      </c>
      <c r="S39" s="706">
        <f t="shared" si="12"/>
        <v>100</v>
      </c>
      <c r="T39" s="705" t="s">
        <v>18</v>
      </c>
      <c r="U39" s="706">
        <f t="shared" si="13"/>
        <v>100</v>
      </c>
      <c r="V39" s="705" t="s">
        <v>18</v>
      </c>
      <c r="W39" s="706">
        <f t="shared" si="14"/>
        <v>100</v>
      </c>
      <c r="X39" s="1355"/>
      <c r="Y39" s="382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27"/>
      <c r="Q40" s="1352" t="str">
        <f t="shared" si="11"/>
        <v>房型</v>
      </c>
      <c r="R40" s="705" t="s">
        <v>18</v>
      </c>
      <c r="S40" s="706">
        <f t="shared" si="12"/>
        <v>100</v>
      </c>
      <c r="T40" s="705" t="s">
        <v>18</v>
      </c>
      <c r="U40" s="706">
        <f t="shared" si="13"/>
        <v>100</v>
      </c>
      <c r="V40" s="705" t="s">
        <v>18</v>
      </c>
      <c r="W40" s="706">
        <f t="shared" si="14"/>
        <v>100</v>
      </c>
      <c r="X40" s="1355"/>
      <c r="Y40" s="3829"/>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27"/>
      <c r="Q41" s="707" t="str">
        <f t="shared" si="11"/>
        <v>单套/主力户型建筑面积</v>
      </c>
      <c r="R41" s="708" t="s">
        <v>18</v>
      </c>
      <c r="S41" s="709">
        <f t="shared" si="12"/>
        <v>100</v>
      </c>
      <c r="T41" s="708" t="s">
        <v>18</v>
      </c>
      <c r="U41" s="709">
        <f t="shared" si="13"/>
        <v>100</v>
      </c>
      <c r="V41" s="708" t="s">
        <v>18</v>
      </c>
      <c r="W41" s="709">
        <f t="shared" si="14"/>
        <v>100</v>
      </c>
      <c r="X41" s="710"/>
      <c r="Y41" s="3829"/>
      <c r="Z41" s="711" t="str">
        <f t="shared" si="18"/>
        <v>单套/主力户型建筑面积</v>
      </c>
      <c r="AA41" s="1353">
        <f t="shared" si="15"/>
        <v>1</v>
      </c>
      <c r="AB41" s="1353">
        <f t="shared" si="16"/>
        <v>1</v>
      </c>
      <c r="AC41" s="1353">
        <f t="shared" si="17"/>
        <v>1</v>
      </c>
    </row>
    <row r="42" spans="1:29" ht="15">
      <c r="A42" s="423"/>
      <c r="B42" s="375" t="s">
        <v>1706</v>
      </c>
      <c r="C42" s="3452" t="s">
        <v>3590</v>
      </c>
      <c r="D42" s="386">
        <v>100</v>
      </c>
      <c r="E42" s="1907" t="s">
        <v>3590</v>
      </c>
      <c r="F42" s="412">
        <f>SUMIF(122:122,E42,123:123)-SUMIF(122:122,C42,123:123)+100</f>
        <v>100</v>
      </c>
      <c r="G42" s="1906" t="s">
        <v>3590</v>
      </c>
      <c r="H42" s="386">
        <f>SUMIF(122:122,G42,123:123)-SUMIF(122:122,C42,123:123)+100</f>
        <v>100</v>
      </c>
      <c r="I42" s="1907" t="s">
        <v>3590</v>
      </c>
      <c r="J42" s="386">
        <f>SUMIF(122:122,I42,123:123)-SUMIF(122:122,C42,123:123)+100</f>
        <v>100</v>
      </c>
      <c r="K42" s="3454">
        <v>2</v>
      </c>
      <c r="L42" s="2720"/>
      <c r="M42" s="2714"/>
      <c r="N42" s="2714"/>
      <c r="O42" s="2714"/>
      <c r="P42" s="3827"/>
      <c r="Q42" s="1352" t="str">
        <f t="shared" si="11"/>
        <v>内部装修</v>
      </c>
      <c r="R42" s="705" t="s">
        <v>18</v>
      </c>
      <c r="S42" s="706">
        <f t="shared" si="12"/>
        <v>100</v>
      </c>
      <c r="T42" s="705" t="s">
        <v>18</v>
      </c>
      <c r="U42" s="706">
        <f t="shared" si="13"/>
        <v>100</v>
      </c>
      <c r="V42" s="705" t="s">
        <v>18</v>
      </c>
      <c r="W42" s="706">
        <f t="shared" si="14"/>
        <v>100</v>
      </c>
      <c r="X42" s="1355"/>
      <c r="Y42" s="3829"/>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27"/>
      <c r="Q43" s="1352" t="str">
        <f t="shared" si="11"/>
        <v>内部装修维护情况</v>
      </c>
      <c r="R43" s="705" t="s">
        <v>18</v>
      </c>
      <c r="S43" s="706">
        <f t="shared" si="12"/>
        <v>100</v>
      </c>
      <c r="T43" s="705" t="s">
        <v>18</v>
      </c>
      <c r="U43" s="706">
        <f t="shared" si="13"/>
        <v>100</v>
      </c>
      <c r="V43" s="705" t="s">
        <v>18</v>
      </c>
      <c r="W43" s="706">
        <f t="shared" si="14"/>
        <v>100</v>
      </c>
      <c r="X43" s="1355"/>
      <c r="Y43" s="3829"/>
      <c r="Z43" s="1356" t="str">
        <f t="shared" si="18"/>
        <v>内部装修维护情况</v>
      </c>
      <c r="AA43" s="1353">
        <f t="shared" si="15"/>
        <v>1</v>
      </c>
      <c r="AB43" s="1353">
        <f t="shared" si="16"/>
        <v>1</v>
      </c>
      <c r="AC43" s="1353">
        <f t="shared" si="17"/>
        <v>1</v>
      </c>
    </row>
    <row r="44" spans="1:29" s="108" customFormat="1" ht="15">
      <c r="A44" s="424"/>
      <c r="B44" s="3451" t="s">
        <v>3406</v>
      </c>
      <c r="C44" s="420">
        <v>1992</v>
      </c>
      <c r="D44" s="127">
        <v>100</v>
      </c>
      <c r="E44" s="420">
        <f>C44</f>
        <v>1992</v>
      </c>
      <c r="F44" s="376">
        <f>SUMIF(126:126,E44,127:127)-SUMIF(126:126,C44,127:127)+100</f>
        <v>100</v>
      </c>
      <c r="G44" s="420">
        <f>C44</f>
        <v>1992</v>
      </c>
      <c r="H44" s="127">
        <f>SUMIF(126:126,G44,127:127)-SUMIF(126:126,C44,127:127)+100</f>
        <v>100</v>
      </c>
      <c r="I44" s="420">
        <f>C44</f>
        <v>1992</v>
      </c>
      <c r="J44" s="127">
        <f>SUMIF(126:126,I44,127:127)-SUMIF(126:126,C44,127:127)+100</f>
        <v>100</v>
      </c>
      <c r="K44" s="1894"/>
      <c r="L44" s="2715"/>
      <c r="M44" s="2716"/>
      <c r="N44" s="2716"/>
      <c r="O44" s="2716"/>
      <c r="P44" s="3827"/>
      <c r="Q44" s="1343" t="str">
        <f t="shared" si="11"/>
        <v>建成年代</v>
      </c>
      <c r="R44" s="701" t="s">
        <v>18</v>
      </c>
      <c r="S44" s="702">
        <f t="shared" si="12"/>
        <v>100</v>
      </c>
      <c r="T44" s="701" t="s">
        <v>18</v>
      </c>
      <c r="U44" s="702">
        <f t="shared" si="13"/>
        <v>100</v>
      </c>
      <c r="V44" s="701" t="s">
        <v>18</v>
      </c>
      <c r="W44" s="702">
        <f t="shared" si="14"/>
        <v>100</v>
      </c>
      <c r="X44" s="703"/>
      <c r="Y44" s="3829"/>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27"/>
      <c r="Q45" s="1352">
        <f t="shared" si="11"/>
        <v>111</v>
      </c>
      <c r="R45" s="705" t="s">
        <v>18</v>
      </c>
      <c r="S45" s="706">
        <f t="shared" si="12"/>
        <v>100</v>
      </c>
      <c r="T45" s="705" t="s">
        <v>18</v>
      </c>
      <c r="U45" s="706">
        <f t="shared" si="13"/>
        <v>100</v>
      </c>
      <c r="V45" s="705" t="s">
        <v>18</v>
      </c>
      <c r="W45" s="706">
        <f t="shared" si="14"/>
        <v>100</v>
      </c>
      <c r="X45" s="1355"/>
      <c r="Y45" s="3829"/>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28"/>
      <c r="Q46" s="1352">
        <f t="shared" si="11"/>
        <v>111</v>
      </c>
      <c r="R46" s="705" t="s">
        <v>17</v>
      </c>
      <c r="S46" s="706">
        <f t="shared" si="12"/>
        <v>100</v>
      </c>
      <c r="T46" s="705" t="s">
        <v>17</v>
      </c>
      <c r="U46" s="706">
        <f t="shared" si="13"/>
        <v>100</v>
      </c>
      <c r="V46" s="705" t="s">
        <v>17</v>
      </c>
      <c r="W46" s="706">
        <f t="shared" si="14"/>
        <v>100</v>
      </c>
      <c r="X46" s="1355"/>
      <c r="Y46" s="3830"/>
      <c r="Z46" s="1356">
        <f t="shared" si="18"/>
        <v>111</v>
      </c>
      <c r="AA46" s="1353">
        <f t="shared" si="15"/>
        <v>1</v>
      </c>
      <c r="AB46" s="1353">
        <f t="shared" si="16"/>
        <v>1</v>
      </c>
      <c r="AC46" s="1353">
        <f t="shared" si="17"/>
        <v>1</v>
      </c>
    </row>
    <row r="47" spans="1:29" ht="14.4">
      <c r="A47" s="430" t="s">
        <v>1708</v>
      </c>
      <c r="B47" s="431"/>
      <c r="C47" s="1154" t="s">
        <v>16</v>
      </c>
      <c r="D47" s="1155"/>
      <c r="E47" s="1156">
        <f>Sheet1!M44</f>
        <v>2898</v>
      </c>
      <c r="F47" s="1157"/>
      <c r="G47" s="1158">
        <f>Sheet1!M51</f>
        <v>2494</v>
      </c>
      <c r="H47" s="1159"/>
      <c r="I47" s="3501">
        <f>Sheet1!M56</f>
        <v>2653</v>
      </c>
      <c r="J47" s="1159"/>
      <c r="K47" s="1913"/>
      <c r="L47" s="2722"/>
      <c r="M47" s="2723"/>
      <c r="N47" s="2714"/>
      <c r="O47" s="2723"/>
      <c r="P47" s="3822" t="str">
        <f>A47</f>
        <v>成交单价（元/平方米）</v>
      </c>
      <c r="Q47" s="3822"/>
      <c r="R47" s="3823">
        <f>E47</f>
        <v>2898</v>
      </c>
      <c r="S47" s="3823"/>
      <c r="T47" s="3823">
        <f>G47</f>
        <v>2494</v>
      </c>
      <c r="U47" s="3823"/>
      <c r="V47" s="3823">
        <f>I47</f>
        <v>2653</v>
      </c>
      <c r="W47" s="3823"/>
      <c r="X47" s="690"/>
      <c r="Y47" s="712"/>
      <c r="Z47" s="690"/>
      <c r="AA47" s="690"/>
      <c r="AB47" s="690"/>
      <c r="AC47" s="690"/>
    </row>
    <row r="48" spans="1:29" ht="15" thickBot="1">
      <c r="A48" s="437" t="s">
        <v>1709</v>
      </c>
      <c r="B48" s="438"/>
      <c r="C48" s="1160">
        <f>R49</f>
        <v>2731</v>
      </c>
      <c r="D48" s="2316" t="s">
        <v>2138</v>
      </c>
      <c r="E48" s="1161">
        <f>R48</f>
        <v>2942</v>
      </c>
      <c r="F48" s="2317"/>
      <c r="G48" s="1160">
        <f>T48</f>
        <v>2571</v>
      </c>
      <c r="H48" s="2317"/>
      <c r="I48" s="1161">
        <f>V48</f>
        <v>2680</v>
      </c>
      <c r="J48" s="2317"/>
      <c r="K48" s="2318">
        <f>F48+H48+J48</f>
        <v>0</v>
      </c>
      <c r="L48" s="2722"/>
      <c r="M48" s="2723"/>
      <c r="N48" s="2723"/>
      <c r="O48" s="2723"/>
      <c r="P48" s="3822" t="str">
        <f>A48</f>
        <v>比较价值（元/平方米）</v>
      </c>
      <c r="Q48" s="3822"/>
      <c r="R48" s="3823">
        <f>IF(F1="售价",ROUND(PRODUCT(R47,AA7:AA46),0),ROUND(PRODUCT(R47,AA7:AA46),1))</f>
        <v>2942</v>
      </c>
      <c r="S48" s="3823"/>
      <c r="T48" s="3823">
        <f>IF(F1="售价",ROUND(PRODUCT(T47,AB7:AB46),0),ROUND(PRODUCT(T47,AB7:AB46),1))</f>
        <v>2571</v>
      </c>
      <c r="U48" s="3823"/>
      <c r="V48" s="3823">
        <f>IF(F1="售价",ROUND(PRODUCT(V47,AC7:AC46),0),ROUND(PRODUCT(V47,AC7:AC46),1))</f>
        <v>2680</v>
      </c>
      <c r="W48" s="3823"/>
      <c r="X48" s="690"/>
      <c r="Y48" s="690"/>
      <c r="Z48" s="690"/>
      <c r="AA48" s="690"/>
      <c r="AB48" s="690"/>
      <c r="AC48" s="690"/>
    </row>
    <row r="49" spans="1:29" ht="15" thickBot="1">
      <c r="A49" s="441" t="s">
        <v>1710</v>
      </c>
      <c r="B49" s="442"/>
      <c r="C49" s="1162">
        <f>R49</f>
        <v>2731</v>
      </c>
      <c r="D49" s="1163"/>
      <c r="E49" s="1163"/>
      <c r="F49" s="1163"/>
      <c r="G49" s="1163"/>
      <c r="H49" s="1163"/>
      <c r="I49" s="1163"/>
      <c r="J49" s="1163"/>
      <c r="K49" s="1914"/>
      <c r="L49" s="2722"/>
      <c r="M49" s="2723"/>
      <c r="N49" s="2723"/>
      <c r="O49" s="2723"/>
      <c r="P49" s="3819" t="str">
        <f>A49</f>
        <v>估价对象XX用房的比较价值（楼面单价，元/平方米）</v>
      </c>
      <c r="Q49" s="3820"/>
      <c r="R49" s="3821">
        <f>IF(F1="售价",ROUND(IF(D48="简单平均",AVERAGE(R48:V48),R48*F48+T48*H48+V48*J48),0),ROUND(IF(D48="简单平均",AVERAGE(R48:V48),R48*F48+T48*H48+V48*J48),1))</f>
        <v>2731</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1.5182884748102143E-2</v>
      </c>
      <c r="F52" s="449" t="str">
        <f>IF(OR(E52&gt;=0.3,E52&lt;=-0.3),"超过30%","")</f>
        <v/>
      </c>
      <c r="G52" s="448">
        <f>IF(G47&lt;G48,G48/G47-1,G47/G48-1)</f>
        <v>3.0874097834803438E-2</v>
      </c>
      <c r="H52" s="449" t="str">
        <f>IF(OR(G52&gt;=0.3,G52&lt;=-0.3),"超过30%","")</f>
        <v/>
      </c>
      <c r="I52" s="448">
        <f>IF(I47&lt;I48,I48/I47-1,I47/I48-1)</f>
        <v>1.0177157934413872E-2</v>
      </c>
      <c r="J52" s="449" t="str">
        <f>IF(OR(I52&gt;=0.3,I52&lt;=-0.3),"超过30%","")</f>
        <v/>
      </c>
      <c r="K52" s="2728"/>
      <c r="L52" s="2724"/>
      <c r="M52" s="2723"/>
      <c r="N52" s="2723"/>
      <c r="O52" s="2723"/>
    </row>
    <row r="53" spans="1:29" ht="13.5" customHeight="1">
      <c r="A53" s="2723"/>
      <c r="B53" s="2723"/>
      <c r="C53" s="446" t="s">
        <v>1712</v>
      </c>
      <c r="D53" s="450"/>
      <c r="E53" s="448">
        <f>IF(E48&lt;G48,G48/E48-1,E48/G48-1)</f>
        <v>0.14430182808245817</v>
      </c>
      <c r="F53" s="449" t="str">
        <f>IF(OR(E53&gt;=0.2,E53&lt;=-0.2),"超过20%","")</f>
        <v/>
      </c>
      <c r="G53" s="448">
        <f>IF(G48&lt;I48,I48/G48-1,G48/I48-1)</f>
        <v>4.2395954881369047E-2</v>
      </c>
      <c r="H53" s="449" t="str">
        <f>IF(OR(G53&gt;=0.2,G53&lt;=-0.2),"超过20%","")</f>
        <v/>
      </c>
      <c r="I53" s="448">
        <f>IF(I48&lt;E48,E48/I48-1,I48/E48-1)</f>
        <v>9.776119402985084E-2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0.16198877305533288</v>
      </c>
      <c r="F54" s="449" t="str">
        <f>IF(OR(E54&gt;=0.3,E54&lt;=-0.3),"超过30%","")</f>
        <v/>
      </c>
      <c r="G54" s="448">
        <f>IF(G47&lt;I47,I47/G47-1,G47/I47-1)</f>
        <v>6.3753007217321578E-2</v>
      </c>
      <c r="H54" s="449" t="str">
        <f>IF(OR(G54&gt;=0.3,G54&lt;=-0.3),"超过30%","")</f>
        <v/>
      </c>
      <c r="I54" s="448">
        <f>IF(I47&lt;E47,E47/I47-1,I47/E47-1)</f>
        <v>9.2348284960422244E-2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2005-12</v>
      </c>
      <c r="D58" s="1185">
        <f>EDATE(C58,-1)</f>
        <v>38657</v>
      </c>
      <c r="E58" s="1185">
        <f>EDATE(D58,-1)</f>
        <v>38626</v>
      </c>
      <c r="F58" s="1185">
        <f t="shared" ref="F58:O58" si="19">EDATE(E58,-1)</f>
        <v>38596</v>
      </c>
      <c r="G58" s="1185">
        <f t="shared" si="19"/>
        <v>38565</v>
      </c>
      <c r="H58" s="1185">
        <f t="shared" si="19"/>
        <v>38534</v>
      </c>
      <c r="I58" s="1185">
        <f t="shared" si="19"/>
        <v>38504</v>
      </c>
      <c r="J58" s="1185">
        <f t="shared" si="19"/>
        <v>38473</v>
      </c>
      <c r="K58" s="1185">
        <f t="shared" si="19"/>
        <v>38443</v>
      </c>
      <c r="L58" s="1185">
        <f t="shared" si="19"/>
        <v>38412</v>
      </c>
      <c r="M58" s="1185">
        <f t="shared" si="19"/>
        <v>38384</v>
      </c>
      <c r="N58" s="1185">
        <f t="shared" si="19"/>
        <v>38353</v>
      </c>
      <c r="O58" s="1185">
        <f t="shared" si="19"/>
        <v>38322</v>
      </c>
      <c r="P58" s="1181"/>
    </row>
    <row r="59" spans="1:29" s="108" customFormat="1">
      <c r="A59" s="458"/>
      <c r="B59" s="1918"/>
      <c r="C59" s="1183">
        <v>100</v>
      </c>
      <c r="D59" s="460">
        <v>99.5</v>
      </c>
      <c r="E59" s="461">
        <v>99</v>
      </c>
      <c r="F59" s="461">
        <v>98.5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3580</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3447</v>
      </c>
      <c r="D88" s="3460" t="s">
        <v>3448</v>
      </c>
      <c r="E88" s="3460" t="s">
        <v>3449</v>
      </c>
      <c r="F88" s="3460" t="s">
        <v>3450</v>
      </c>
      <c r="G88" s="3460" t="s">
        <v>3445</v>
      </c>
      <c r="H88" s="3460" t="s">
        <v>3451</v>
      </c>
      <c r="I88" s="3461" t="s">
        <v>3444</v>
      </c>
      <c r="J88" s="3461" t="s">
        <v>3452</v>
      </c>
      <c r="K88" s="3460" t="s">
        <v>3453</v>
      </c>
      <c r="L88" s="3460" t="s">
        <v>3454</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 thickTop="1">
      <c r="A90" s="502"/>
      <c r="B90" s="487" t="str">
        <f>B27</f>
        <v>楼层</v>
      </c>
      <c r="C90" s="503" t="s">
        <v>3497</v>
      </c>
      <c r="D90" s="3519" t="e">
        <f>#REF!</f>
        <v>#REF!</v>
      </c>
      <c r="E90" s="3519" t="e">
        <f>#REF!</f>
        <v>#REF!</v>
      </c>
      <c r="F90" s="3519" t="e">
        <f>#REF!</f>
        <v>#REF!</v>
      </c>
      <c r="G90" s="503"/>
      <c r="H90" s="504"/>
      <c r="I90" s="504"/>
      <c r="J90" s="504"/>
      <c r="K90" s="504"/>
      <c r="L90" s="505"/>
      <c r="M90" s="506"/>
      <c r="N90" s="935"/>
      <c r="O90" s="935"/>
      <c r="P90" s="1922"/>
      <c r="Q90" s="508"/>
    </row>
    <row r="91" spans="1:17" s="422" customFormat="1" ht="14.4" thickBot="1">
      <c r="A91" s="502"/>
      <c r="B91" s="492"/>
      <c r="C91" s="509">
        <v>100</v>
      </c>
      <c r="D91" s="509">
        <v>104</v>
      </c>
      <c r="E91" s="509">
        <v>106</v>
      </c>
      <c r="F91" s="509">
        <v>106</v>
      </c>
      <c r="G91" s="509"/>
      <c r="H91" s="511"/>
      <c r="I91" s="511"/>
      <c r="J91" s="511"/>
      <c r="K91" s="511"/>
      <c r="L91" s="511"/>
      <c r="M91" s="512"/>
      <c r="N91" s="935"/>
      <c r="O91" s="935"/>
      <c r="P91" s="1922"/>
      <c r="Q91" s="508"/>
    </row>
    <row r="92" spans="1:17" ht="15" thickTop="1">
      <c r="A92" s="483"/>
      <c r="B92" s="487">
        <f>B28</f>
        <v>111</v>
      </c>
      <c r="C92" s="3448" t="s">
        <v>3582</v>
      </c>
      <c r="D92" s="3448" t="s">
        <v>3583</v>
      </c>
      <c r="E92" s="3448" t="s">
        <v>3584</v>
      </c>
      <c r="F92" s="3448" t="s">
        <v>3585</v>
      </c>
      <c r="G92" s="3449" t="s">
        <v>3586</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3438</v>
      </c>
      <c r="F100" s="3450" t="s">
        <v>3578</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0(含)-35</v>
      </c>
      <c r="D102" s="527" t="str">
        <f t="shared" ref="D102:L102" si="26">D103&amp;"(含)"&amp;"-"&amp;E103</f>
        <v>35(含)-70</v>
      </c>
      <c r="E102" s="527" t="str">
        <f t="shared" si="26"/>
        <v>70(含)-105</v>
      </c>
      <c r="F102" s="527" t="str">
        <f t="shared" si="26"/>
        <v>105(含)-145</v>
      </c>
      <c r="G102" s="527" t="str">
        <f t="shared" si="26"/>
        <v>145(含)-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35</v>
      </c>
      <c r="E103" s="544">
        <v>70</v>
      </c>
      <c r="F103" s="544">
        <v>105</v>
      </c>
      <c r="G103" s="544">
        <v>145</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3403</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3402</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68"/>
  <sheetViews>
    <sheetView topLeftCell="A22" workbookViewId="0">
      <selection activeCell="X28" sqref="X1:AB1048576"/>
    </sheetView>
  </sheetViews>
  <sheetFormatPr defaultRowHeight="14.4"/>
  <cols>
    <col min="13" max="13" width="13.6640625" style="3565" customWidth="1"/>
    <col min="14" max="16" width="0" hidden="1" customWidth="1"/>
    <col min="17" max="17" width="18.21875" style="3565" customWidth="1"/>
    <col min="19" max="19" width="0" hidden="1" customWidth="1"/>
    <col min="20" max="20" width="15.44140625" hidden="1" customWidth="1"/>
    <col min="21" max="21" width="0" hidden="1" customWidth="1"/>
    <col min="24" max="28" width="0" hidden="1" customWidth="1"/>
  </cols>
  <sheetData>
    <row r="1" spans="1:28" s="3528" customFormat="1" ht="14.25" customHeight="1">
      <c r="A1" s="3520"/>
      <c r="B1" s="3520"/>
      <c r="C1" s="3520"/>
      <c r="D1" s="3520"/>
      <c r="E1" s="3520"/>
      <c r="F1" s="3521"/>
      <c r="G1" s="3522"/>
      <c r="H1" s="3523"/>
      <c r="I1" s="3522"/>
      <c r="J1" s="3523"/>
      <c r="K1" s="3522"/>
      <c r="L1" s="3523"/>
      <c r="M1" s="3566"/>
      <c r="N1" s="3522"/>
      <c r="O1" s="3522"/>
      <c r="P1" s="3524"/>
      <c r="Q1" s="3557"/>
      <c r="R1" s="3524"/>
      <c r="S1" s="3524"/>
      <c r="T1" s="3525" t="s">
        <v>3591</v>
      </c>
      <c r="U1" s="3526" t="s">
        <v>3592</v>
      </c>
      <c r="V1" s="3521"/>
      <c r="W1" s="3527"/>
      <c r="X1" s="3527"/>
      <c r="Y1" s="3527"/>
      <c r="Z1" s="3527"/>
      <c r="AA1" s="3518"/>
      <c r="AB1" s="3518"/>
    </row>
    <row r="2" spans="1:28" s="3531" customFormat="1" ht="12">
      <c r="A2" s="3455" t="s">
        <v>3409</v>
      </c>
      <c r="B2" s="3455" t="s">
        <v>3593</v>
      </c>
      <c r="C2" s="3455" t="s">
        <v>3594</v>
      </c>
      <c r="D2" s="3455" t="s">
        <v>3595</v>
      </c>
      <c r="E2" s="3455" t="s">
        <v>3596</v>
      </c>
      <c r="F2" s="3456" t="s">
        <v>3412</v>
      </c>
      <c r="G2" s="3456" t="s">
        <v>3413</v>
      </c>
      <c r="H2" s="3456" t="s">
        <v>3597</v>
      </c>
      <c r="I2" s="3456" t="s">
        <v>3598</v>
      </c>
      <c r="J2" s="3456" t="s">
        <v>3599</v>
      </c>
      <c r="K2" s="3456" t="s">
        <v>3600</v>
      </c>
      <c r="L2" s="3456" t="s">
        <v>3601</v>
      </c>
      <c r="M2" s="3567" t="s">
        <v>3602</v>
      </c>
      <c r="N2" s="3456" t="s">
        <v>3419</v>
      </c>
      <c r="O2" s="3456" t="s">
        <v>3603</v>
      </c>
      <c r="P2" s="3529" t="s">
        <v>3604</v>
      </c>
      <c r="Q2" s="3558" t="s">
        <v>3605</v>
      </c>
      <c r="R2" s="3530" t="s">
        <v>3606</v>
      </c>
      <c r="S2" s="3530" t="s">
        <v>3607</v>
      </c>
      <c r="T2" s="3525" t="s">
        <v>3608</v>
      </c>
      <c r="U2" s="3526" t="s">
        <v>3609</v>
      </c>
      <c r="V2" s="3518" t="s">
        <v>3610</v>
      </c>
      <c r="W2" s="3527" t="s">
        <v>3611</v>
      </c>
      <c r="X2" s="3527" t="s">
        <v>3612</v>
      </c>
      <c r="Y2" s="3527" t="s">
        <v>3613</v>
      </c>
      <c r="Z2" s="3527"/>
      <c r="AA2" s="3518" t="s">
        <v>3614</v>
      </c>
      <c r="AB2" s="3518" t="s">
        <v>3615</v>
      </c>
    </row>
    <row r="3" spans="1:28">
      <c r="A3" s="3464" t="s">
        <v>3616</v>
      </c>
      <c r="B3" s="3464" t="s">
        <v>3617</v>
      </c>
      <c r="C3" s="3465" t="s">
        <v>3618</v>
      </c>
      <c r="D3" s="3471" t="s">
        <v>3619</v>
      </c>
      <c r="E3" s="3465" t="s">
        <v>3620</v>
      </c>
      <c r="F3" s="3464" t="s">
        <v>3621</v>
      </c>
      <c r="G3" s="3478">
        <v>96.37</v>
      </c>
      <c r="H3" s="3465">
        <v>5</v>
      </c>
      <c r="I3" s="3464" t="s">
        <v>3622</v>
      </c>
      <c r="J3" s="3464"/>
      <c r="K3" s="3464" t="s">
        <v>3427</v>
      </c>
      <c r="L3" s="3532">
        <v>230000</v>
      </c>
      <c r="M3" s="3568">
        <v>2387</v>
      </c>
      <c r="N3" s="3473">
        <v>22.76</v>
      </c>
      <c r="O3" s="3464">
        <v>2362</v>
      </c>
      <c r="P3" s="3474" t="s">
        <v>3623</v>
      </c>
      <c r="Q3" s="3559">
        <v>38379</v>
      </c>
      <c r="R3" s="3471" t="s">
        <v>3625</v>
      </c>
      <c r="S3" s="3535" t="s">
        <v>3626</v>
      </c>
      <c r="T3" s="3536">
        <v>38383</v>
      </c>
      <c r="U3" s="3507"/>
      <c r="V3" s="3464" t="s">
        <v>3627</v>
      </c>
      <c r="W3" s="3464" t="s">
        <v>3396</v>
      </c>
      <c r="X3" s="3464" t="s">
        <v>3628</v>
      </c>
      <c r="Y3" s="3464" t="s">
        <v>3629</v>
      </c>
      <c r="Z3" s="3464"/>
      <c r="AA3" s="3474" t="e">
        <v>#DIV/0!</v>
      </c>
      <c r="AB3" s="3474" t="e">
        <v>#DIV/0!</v>
      </c>
    </row>
    <row r="4" spans="1:28">
      <c r="A4" s="3464" t="s">
        <v>3616</v>
      </c>
      <c r="B4" s="3464" t="s">
        <v>3617</v>
      </c>
      <c r="C4" s="3465" t="s">
        <v>3630</v>
      </c>
      <c r="D4" s="3471" t="s">
        <v>3631</v>
      </c>
      <c r="E4" s="3465" t="s">
        <v>3632</v>
      </c>
      <c r="F4" s="3464" t="s">
        <v>3633</v>
      </c>
      <c r="G4" s="3478">
        <v>59.25</v>
      </c>
      <c r="H4" s="3465">
        <v>3</v>
      </c>
      <c r="I4" s="3464" t="s">
        <v>3622</v>
      </c>
      <c r="J4" s="3464"/>
      <c r="K4" s="3464" t="s">
        <v>3427</v>
      </c>
      <c r="L4" s="3532">
        <v>170000</v>
      </c>
      <c r="M4" s="3568">
        <v>2869</v>
      </c>
      <c r="N4" s="3473">
        <v>16.16</v>
      </c>
      <c r="O4" s="3464">
        <v>2729</v>
      </c>
      <c r="P4" s="3474" t="s">
        <v>3634</v>
      </c>
      <c r="Q4" s="3559">
        <v>38369</v>
      </c>
      <c r="R4" s="3471" t="s">
        <v>3625</v>
      </c>
      <c r="S4" s="3535" t="s">
        <v>3635</v>
      </c>
      <c r="T4" s="3536">
        <v>38383</v>
      </c>
      <c r="U4" s="3507"/>
      <c r="V4" s="3464" t="s">
        <v>3636</v>
      </c>
      <c r="W4" s="3464" t="s">
        <v>3396</v>
      </c>
      <c r="X4" s="3464" t="s">
        <v>3637</v>
      </c>
      <c r="Y4" s="3464" t="s">
        <v>3629</v>
      </c>
      <c r="Z4" s="3464"/>
      <c r="AA4" s="3474" t="e">
        <v>#DIV/0!</v>
      </c>
      <c r="AB4" s="3474" t="e">
        <v>#DIV/0!</v>
      </c>
    </row>
    <row r="5" spans="1:28">
      <c r="A5" s="3464" t="s">
        <v>3616</v>
      </c>
      <c r="B5" s="3464" t="s">
        <v>3617</v>
      </c>
      <c r="C5" s="3465" t="s">
        <v>3638</v>
      </c>
      <c r="D5" s="3471" t="s">
        <v>3639</v>
      </c>
      <c r="E5" s="3465">
        <v>401</v>
      </c>
      <c r="F5" s="3464" t="s">
        <v>3624</v>
      </c>
      <c r="G5" s="3478">
        <v>64.98</v>
      </c>
      <c r="H5" s="3465">
        <v>4</v>
      </c>
      <c r="I5" s="3464" t="s">
        <v>3640</v>
      </c>
      <c r="J5" s="3464"/>
      <c r="K5" s="3464" t="s">
        <v>3427</v>
      </c>
      <c r="L5" s="3532">
        <v>195000</v>
      </c>
      <c r="M5" s="3568">
        <v>3001</v>
      </c>
      <c r="N5" s="3473">
        <v>16.61</v>
      </c>
      <c r="O5" s="3464">
        <v>2557</v>
      </c>
      <c r="P5" s="3474" t="s">
        <v>3641</v>
      </c>
      <c r="Q5" s="3559">
        <v>38383</v>
      </c>
      <c r="R5" s="3464"/>
      <c r="S5" s="3533" t="s">
        <v>3642</v>
      </c>
      <c r="T5" s="3507">
        <v>38383</v>
      </c>
      <c r="U5" s="3507"/>
      <c r="V5" s="3464" t="s">
        <v>3627</v>
      </c>
      <c r="W5" s="3464" t="s">
        <v>3643</v>
      </c>
      <c r="X5" s="3464" t="s">
        <v>3644</v>
      </c>
      <c r="Y5" s="3474" t="s">
        <v>3645</v>
      </c>
      <c r="Z5" s="3464"/>
      <c r="AA5" s="3464"/>
      <c r="AB5" s="3464"/>
    </row>
    <row r="6" spans="1:28">
      <c r="A6" s="3464" t="s">
        <v>3616</v>
      </c>
      <c r="B6" s="3464" t="s">
        <v>3617</v>
      </c>
      <c r="C6" s="3465" t="s">
        <v>3646</v>
      </c>
      <c r="D6" s="3471" t="s">
        <v>3647</v>
      </c>
      <c r="E6" s="3465">
        <v>301</v>
      </c>
      <c r="F6" s="3464" t="s">
        <v>3624</v>
      </c>
      <c r="G6" s="3478">
        <v>80.05</v>
      </c>
      <c r="H6" s="3465">
        <v>3</v>
      </c>
      <c r="I6" s="3464" t="s">
        <v>3648</v>
      </c>
      <c r="J6" s="3464"/>
      <c r="K6" s="3464" t="s">
        <v>3427</v>
      </c>
      <c r="L6" s="3532">
        <v>240000</v>
      </c>
      <c r="M6" s="3568">
        <v>2998</v>
      </c>
      <c r="N6" s="3473">
        <v>21.63</v>
      </c>
      <c r="O6" s="3464">
        <v>2703</v>
      </c>
      <c r="P6" s="3474" t="s">
        <v>3623</v>
      </c>
      <c r="Q6" s="3559">
        <v>38380</v>
      </c>
      <c r="R6" s="3464"/>
      <c r="S6" s="3533" t="s">
        <v>3649</v>
      </c>
      <c r="T6" s="3507">
        <v>38389</v>
      </c>
      <c r="U6" s="3507"/>
      <c r="V6" s="3464" t="s">
        <v>3650</v>
      </c>
      <c r="W6" s="3474" t="s">
        <v>3651</v>
      </c>
      <c r="X6" s="3474" t="s">
        <v>3652</v>
      </c>
      <c r="Y6" s="3474" t="s">
        <v>3653</v>
      </c>
      <c r="Z6" s="3464"/>
      <c r="AA6" s="3464"/>
      <c r="AB6" s="3464"/>
    </row>
    <row r="7" spans="1:28">
      <c r="A7" s="3465" t="s">
        <v>3616</v>
      </c>
      <c r="B7" s="3464" t="s">
        <v>3617</v>
      </c>
      <c r="C7" s="3471" t="s">
        <v>3646</v>
      </c>
      <c r="D7" s="3471" t="s">
        <v>3654</v>
      </c>
      <c r="E7" s="3465">
        <v>601</v>
      </c>
      <c r="F7" s="3464" t="s">
        <v>3655</v>
      </c>
      <c r="G7" s="3465">
        <v>64.86</v>
      </c>
      <c r="H7" s="3465">
        <v>6</v>
      </c>
      <c r="I7" s="3471" t="s">
        <v>3656</v>
      </c>
      <c r="J7" s="3465"/>
      <c r="K7" s="3465" t="s">
        <v>3427</v>
      </c>
      <c r="L7" s="3532">
        <v>143000</v>
      </c>
      <c r="M7" s="3568">
        <v>2205</v>
      </c>
      <c r="N7" s="3473">
        <v>14.27</v>
      </c>
      <c r="O7" s="3464">
        <v>2201</v>
      </c>
      <c r="P7" s="3465" t="s">
        <v>3657</v>
      </c>
      <c r="Q7" s="3559">
        <v>38386</v>
      </c>
      <c r="R7" s="3465"/>
      <c r="S7" s="3535" t="s">
        <v>3658</v>
      </c>
      <c r="T7" s="3536">
        <v>38401</v>
      </c>
      <c r="U7" s="3534"/>
      <c r="V7" s="3464" t="s">
        <v>3659</v>
      </c>
      <c r="W7" s="3474" t="s">
        <v>3651</v>
      </c>
      <c r="X7" s="3464" t="s">
        <v>3637</v>
      </c>
      <c r="Y7" s="3464" t="s">
        <v>3645</v>
      </c>
      <c r="Z7" s="3465"/>
      <c r="AA7" s="3474" t="e">
        <v>#DIV/0!</v>
      </c>
      <c r="AB7" s="3474" t="e">
        <v>#DIV/0!</v>
      </c>
    </row>
    <row r="8" spans="1:28">
      <c r="A8" s="3464" t="s">
        <v>3616</v>
      </c>
      <c r="B8" s="3476" t="s">
        <v>3617</v>
      </c>
      <c r="C8" s="3464" t="s">
        <v>3660</v>
      </c>
      <c r="D8" s="3464" t="s">
        <v>3661</v>
      </c>
      <c r="E8" s="3464">
        <v>601</v>
      </c>
      <c r="F8" s="3464" t="s">
        <v>3662</v>
      </c>
      <c r="G8" s="3478">
        <v>120.65</v>
      </c>
      <c r="H8" s="3464">
        <v>6</v>
      </c>
      <c r="I8" s="3464" t="s">
        <v>3663</v>
      </c>
      <c r="J8" s="3464"/>
      <c r="K8" s="3464" t="s">
        <v>3427</v>
      </c>
      <c r="L8" s="3532">
        <v>240000</v>
      </c>
      <c r="M8" s="3568">
        <v>1989</v>
      </c>
      <c r="N8" s="3473">
        <v>23.98</v>
      </c>
      <c r="O8" s="3464">
        <v>1988</v>
      </c>
      <c r="P8" s="3474" t="s">
        <v>3623</v>
      </c>
      <c r="Q8" s="3560">
        <v>38407</v>
      </c>
      <c r="R8" s="3474"/>
      <c r="S8" s="3535" t="s">
        <v>3664</v>
      </c>
      <c r="T8" s="3536">
        <v>38408</v>
      </c>
      <c r="U8" s="3536"/>
      <c r="V8" s="3474" t="s">
        <v>3659</v>
      </c>
      <c r="W8" s="3465" t="s">
        <v>3396</v>
      </c>
      <c r="X8" s="3474" t="s">
        <v>3628</v>
      </c>
      <c r="Y8" s="3474" t="s">
        <v>3665</v>
      </c>
      <c r="Z8" s="3474"/>
      <c r="AA8" s="3474" t="e">
        <v>#DIV/0!</v>
      </c>
      <c r="AB8" s="3474" t="e">
        <v>#DIV/0!</v>
      </c>
    </row>
    <row r="9" spans="1:28">
      <c r="A9" s="3464" t="s">
        <v>3616</v>
      </c>
      <c r="B9" s="3464" t="s">
        <v>3617</v>
      </c>
      <c r="C9" s="3465" t="s">
        <v>3666</v>
      </c>
      <c r="D9" s="3471" t="s">
        <v>3619</v>
      </c>
      <c r="E9" s="3465">
        <v>101</v>
      </c>
      <c r="F9" s="3464" t="s">
        <v>3667</v>
      </c>
      <c r="G9" s="3478">
        <v>79.930000000000007</v>
      </c>
      <c r="H9" s="3465">
        <v>1</v>
      </c>
      <c r="I9" s="3464" t="s">
        <v>3668</v>
      </c>
      <c r="J9" s="3464"/>
      <c r="K9" s="3464" t="s">
        <v>3427</v>
      </c>
      <c r="L9" s="3532">
        <v>200000</v>
      </c>
      <c r="M9" s="3568">
        <v>2502</v>
      </c>
      <c r="N9" s="3473">
        <v>19.010000000000002</v>
      </c>
      <c r="O9" s="3464">
        <v>2379</v>
      </c>
      <c r="P9" s="3464" t="s">
        <v>3623</v>
      </c>
      <c r="Q9" s="3559">
        <v>38415</v>
      </c>
      <c r="R9" s="3471" t="s">
        <v>3625</v>
      </c>
      <c r="S9" s="3533" t="s">
        <v>3664</v>
      </c>
      <c r="T9" s="3507">
        <v>38419</v>
      </c>
      <c r="U9" s="3507"/>
      <c r="V9" s="3474" t="s">
        <v>3627</v>
      </c>
      <c r="W9" s="3464" t="s">
        <v>3396</v>
      </c>
      <c r="X9" s="3464" t="s">
        <v>3637</v>
      </c>
      <c r="Y9" s="3464" t="s">
        <v>3629</v>
      </c>
      <c r="Z9" s="3464"/>
      <c r="AA9" s="3474" t="e">
        <v>#DIV/0!</v>
      </c>
      <c r="AB9" s="3474" t="e">
        <v>#DIV/0!</v>
      </c>
    </row>
    <row r="10" spans="1:28">
      <c r="A10" s="3464" t="s">
        <v>3616</v>
      </c>
      <c r="B10" s="3464" t="s">
        <v>3617</v>
      </c>
      <c r="C10" s="3465" t="s">
        <v>3669</v>
      </c>
      <c r="D10" s="3471" t="s">
        <v>3619</v>
      </c>
      <c r="E10" s="3465">
        <v>601</v>
      </c>
      <c r="F10" s="3464" t="s">
        <v>3670</v>
      </c>
      <c r="G10" s="3478">
        <v>76.36</v>
      </c>
      <c r="H10" s="3465">
        <v>6</v>
      </c>
      <c r="I10" s="3464" t="s">
        <v>3622</v>
      </c>
      <c r="J10" s="3464"/>
      <c r="K10" s="3464" t="s">
        <v>3427</v>
      </c>
      <c r="L10" s="3532">
        <v>200000</v>
      </c>
      <c r="M10" s="3568">
        <v>2619</v>
      </c>
      <c r="N10" s="3473">
        <v>18.04</v>
      </c>
      <c r="O10" s="3464">
        <v>2363</v>
      </c>
      <c r="P10" s="3464" t="s">
        <v>3623</v>
      </c>
      <c r="Q10" s="3559">
        <v>38415</v>
      </c>
      <c r="R10" s="3471" t="s">
        <v>3671</v>
      </c>
      <c r="S10" s="3533" t="s">
        <v>3664</v>
      </c>
      <c r="T10" s="3507">
        <v>38415</v>
      </c>
      <c r="U10" s="3507"/>
      <c r="V10" s="3474" t="s">
        <v>3627</v>
      </c>
      <c r="W10" s="3464" t="s">
        <v>3396</v>
      </c>
      <c r="X10" s="3464" t="s">
        <v>3628</v>
      </c>
      <c r="Y10" s="3464" t="s">
        <v>3629</v>
      </c>
      <c r="Z10" s="3464"/>
      <c r="AA10" s="3474" t="e">
        <v>#DIV/0!</v>
      </c>
      <c r="AB10" s="3474" t="e">
        <v>#DIV/0!</v>
      </c>
    </row>
    <row r="11" spans="1:28">
      <c r="A11" s="3464" t="s">
        <v>3616</v>
      </c>
      <c r="B11" s="3464" t="s">
        <v>3617</v>
      </c>
      <c r="C11" s="3465" t="s">
        <v>3672</v>
      </c>
      <c r="D11" s="3471" t="s">
        <v>3619</v>
      </c>
      <c r="E11" s="3465">
        <v>301</v>
      </c>
      <c r="F11" s="3464" t="s">
        <v>3673</v>
      </c>
      <c r="G11" s="3478">
        <v>64.959999999999994</v>
      </c>
      <c r="H11" s="3465">
        <v>3</v>
      </c>
      <c r="I11" s="3464" t="s">
        <v>3656</v>
      </c>
      <c r="J11" s="3464"/>
      <c r="K11" s="3464" t="s">
        <v>3427</v>
      </c>
      <c r="L11" s="3532">
        <v>170000</v>
      </c>
      <c r="M11" s="3568">
        <v>2617</v>
      </c>
      <c r="N11" s="3473">
        <v>15.77</v>
      </c>
      <c r="O11" s="3464">
        <v>2428</v>
      </c>
      <c r="P11" s="3464" t="s">
        <v>3623</v>
      </c>
      <c r="Q11" s="3559">
        <v>38415</v>
      </c>
      <c r="R11" s="3471" t="s">
        <v>3625</v>
      </c>
      <c r="S11" s="3533" t="s">
        <v>3664</v>
      </c>
      <c r="T11" s="3507">
        <v>38419</v>
      </c>
      <c r="U11" s="3507"/>
      <c r="V11" s="3474" t="s">
        <v>3627</v>
      </c>
      <c r="W11" s="3464" t="s">
        <v>3396</v>
      </c>
      <c r="X11" s="3464" t="s">
        <v>3637</v>
      </c>
      <c r="Y11" s="3464" t="s">
        <v>3629</v>
      </c>
      <c r="Z11" s="3464"/>
      <c r="AA11" s="3474" t="e">
        <v>#DIV/0!</v>
      </c>
      <c r="AB11" s="3474" t="e">
        <v>#DIV/0!</v>
      </c>
    </row>
    <row r="12" spans="1:28">
      <c r="A12" s="3464" t="s">
        <v>3616</v>
      </c>
      <c r="B12" s="3464" t="s">
        <v>3617</v>
      </c>
      <c r="C12" s="3465" t="s">
        <v>3674</v>
      </c>
      <c r="D12" s="3471"/>
      <c r="E12" s="3465">
        <v>103</v>
      </c>
      <c r="F12" s="3464" t="s">
        <v>3675</v>
      </c>
      <c r="G12" s="3478">
        <v>65.8</v>
      </c>
      <c r="H12" s="3465">
        <v>1</v>
      </c>
      <c r="I12" s="3464" t="s">
        <v>3622</v>
      </c>
      <c r="J12" s="3464"/>
      <c r="K12" s="3464" t="s">
        <v>3427</v>
      </c>
      <c r="L12" s="3532">
        <v>170000</v>
      </c>
      <c r="M12" s="3568">
        <v>2584</v>
      </c>
      <c r="N12" s="3473">
        <v>15.5</v>
      </c>
      <c r="O12" s="3464">
        <v>2356</v>
      </c>
      <c r="P12" s="3464" t="s">
        <v>3623</v>
      </c>
      <c r="Q12" s="3559">
        <v>38419</v>
      </c>
      <c r="R12" s="3471" t="s">
        <v>3625</v>
      </c>
      <c r="S12" s="3533" t="s">
        <v>3664</v>
      </c>
      <c r="T12" s="3507">
        <v>38420</v>
      </c>
      <c r="U12" s="3507"/>
      <c r="V12" s="3474" t="s">
        <v>3627</v>
      </c>
      <c r="W12" s="3464" t="s">
        <v>3396</v>
      </c>
      <c r="X12" s="3464" t="s">
        <v>3637</v>
      </c>
      <c r="Y12" s="3464" t="s">
        <v>3629</v>
      </c>
      <c r="Z12" s="3464"/>
      <c r="AA12" s="3474" t="e">
        <v>#DIV/0!</v>
      </c>
      <c r="AB12" s="3474" t="e">
        <v>#DIV/0!</v>
      </c>
    </row>
    <row r="13" spans="1:28">
      <c r="A13" s="3464" t="s">
        <v>3616</v>
      </c>
      <c r="B13" s="3464" t="s">
        <v>3617</v>
      </c>
      <c r="C13" s="3465" t="s">
        <v>3676</v>
      </c>
      <c r="D13" s="3471" t="s">
        <v>3661</v>
      </c>
      <c r="E13" s="3465">
        <v>101</v>
      </c>
      <c r="F13" s="3464" t="s">
        <v>3624</v>
      </c>
      <c r="G13" s="3478">
        <v>74.94</v>
      </c>
      <c r="H13" s="3465">
        <v>1</v>
      </c>
      <c r="I13" s="3464" t="s">
        <v>3622</v>
      </c>
      <c r="J13" s="3464"/>
      <c r="K13" s="3464" t="s">
        <v>3427</v>
      </c>
      <c r="L13" s="3532">
        <v>265000</v>
      </c>
      <c r="M13" s="3568">
        <v>3536</v>
      </c>
      <c r="N13" s="3473">
        <v>18.829999999999998</v>
      </c>
      <c r="O13" s="3464">
        <v>2514</v>
      </c>
      <c r="P13" s="3464" t="s">
        <v>3623</v>
      </c>
      <c r="Q13" s="3559">
        <v>38419</v>
      </c>
      <c r="R13" s="3471" t="s">
        <v>3624</v>
      </c>
      <c r="S13" s="3535" t="s">
        <v>3677</v>
      </c>
      <c r="T13" s="3507">
        <v>38427</v>
      </c>
      <c r="U13" s="3507"/>
      <c r="V13" s="3474" t="s">
        <v>3627</v>
      </c>
      <c r="W13" s="3464" t="s">
        <v>3396</v>
      </c>
      <c r="X13" s="3464" t="s">
        <v>3628</v>
      </c>
      <c r="Y13" s="3464" t="s">
        <v>3629</v>
      </c>
      <c r="Z13" s="3464"/>
      <c r="AA13" s="3474" t="e">
        <v>#DIV/0!</v>
      </c>
      <c r="AB13" s="3474" t="e">
        <v>#DIV/0!</v>
      </c>
    </row>
    <row r="14" spans="1:28">
      <c r="A14" s="3464" t="s">
        <v>3616</v>
      </c>
      <c r="B14" s="3476" t="s">
        <v>3617</v>
      </c>
      <c r="C14" s="3464" t="s">
        <v>3678</v>
      </c>
      <c r="D14" s="3464" t="s">
        <v>3654</v>
      </c>
      <c r="E14" s="3477" t="s">
        <v>3679</v>
      </c>
      <c r="F14" s="3464" t="s">
        <v>3680</v>
      </c>
      <c r="G14" s="3478">
        <v>60.37</v>
      </c>
      <c r="H14" s="3464">
        <v>4</v>
      </c>
      <c r="I14" s="3471" t="s">
        <v>3622</v>
      </c>
      <c r="J14" s="3464"/>
      <c r="K14" s="3464" t="s">
        <v>3427</v>
      </c>
      <c r="L14" s="3532">
        <v>180000</v>
      </c>
      <c r="M14" s="3568">
        <v>2982</v>
      </c>
      <c r="N14" s="3473">
        <v>15.26</v>
      </c>
      <c r="O14" s="3464">
        <v>2528</v>
      </c>
      <c r="P14" s="3474" t="s">
        <v>3623</v>
      </c>
      <c r="Q14" s="3559">
        <v>38411</v>
      </c>
      <c r="R14" s="3464" t="s">
        <v>3625</v>
      </c>
      <c r="S14" s="3471" t="s">
        <v>3664</v>
      </c>
      <c r="T14" s="3536">
        <v>38427</v>
      </c>
      <c r="U14" s="3536"/>
      <c r="V14" s="3464" t="s">
        <v>3659</v>
      </c>
      <c r="W14" s="3474" t="s">
        <v>3651</v>
      </c>
      <c r="X14" s="3474" t="s">
        <v>3637</v>
      </c>
      <c r="Y14" s="3464" t="s">
        <v>3681</v>
      </c>
      <c r="Z14" s="3474"/>
      <c r="AA14" s="3474" t="e">
        <v>#DIV/0!</v>
      </c>
      <c r="AB14" s="3474" t="e">
        <v>#DIV/0!</v>
      </c>
    </row>
    <row r="15" spans="1:28">
      <c r="A15" s="3464" t="s">
        <v>3616</v>
      </c>
      <c r="B15" s="3476" t="s">
        <v>3617</v>
      </c>
      <c r="C15" s="3464" t="s">
        <v>3682</v>
      </c>
      <c r="D15" s="3464" t="s">
        <v>3683</v>
      </c>
      <c r="E15" s="3477" t="s">
        <v>3684</v>
      </c>
      <c r="F15" s="3464" t="s">
        <v>3685</v>
      </c>
      <c r="G15" s="3478">
        <v>76.37</v>
      </c>
      <c r="H15" s="3464">
        <v>5</v>
      </c>
      <c r="I15" s="3471" t="s">
        <v>3622</v>
      </c>
      <c r="J15" s="3464"/>
      <c r="K15" s="3464" t="s">
        <v>3427</v>
      </c>
      <c r="L15" s="3532">
        <v>250000</v>
      </c>
      <c r="M15" s="3568">
        <v>3274</v>
      </c>
      <c r="N15" s="3473">
        <v>19.100000000000001</v>
      </c>
      <c r="O15" s="3464">
        <v>2502</v>
      </c>
      <c r="P15" s="3474" t="s">
        <v>3623</v>
      </c>
      <c r="Q15" s="3559">
        <v>38420</v>
      </c>
      <c r="R15" s="3464" t="s">
        <v>3625</v>
      </c>
      <c r="S15" s="3471" t="s">
        <v>3664</v>
      </c>
      <c r="T15" s="3536">
        <v>38427</v>
      </c>
      <c r="U15" s="3536"/>
      <c r="V15" s="3464" t="s">
        <v>3659</v>
      </c>
      <c r="W15" s="3474" t="s">
        <v>3686</v>
      </c>
      <c r="X15" s="3474" t="s">
        <v>3637</v>
      </c>
      <c r="Y15" s="3464" t="s">
        <v>3681</v>
      </c>
      <c r="Z15" s="3474"/>
      <c r="AA15" s="3474" t="e">
        <v>#DIV/0!</v>
      </c>
      <c r="AB15" s="3474" t="e">
        <v>#DIV/0!</v>
      </c>
    </row>
    <row r="16" spans="1:28">
      <c r="A16" s="3464" t="s">
        <v>3616</v>
      </c>
      <c r="B16" s="3464" t="s">
        <v>3617</v>
      </c>
      <c r="C16" s="3465" t="s">
        <v>3687</v>
      </c>
      <c r="D16" s="3471" t="s">
        <v>3639</v>
      </c>
      <c r="E16" s="3465">
        <v>602</v>
      </c>
      <c r="F16" s="3464" t="s">
        <v>3624</v>
      </c>
      <c r="G16" s="3478">
        <v>60.62</v>
      </c>
      <c r="H16" s="3465">
        <v>6</v>
      </c>
      <c r="I16" s="3464" t="s">
        <v>3656</v>
      </c>
      <c r="J16" s="3464"/>
      <c r="K16" s="3464" t="s">
        <v>3427</v>
      </c>
      <c r="L16" s="3532">
        <v>163000</v>
      </c>
      <c r="M16" s="3568">
        <v>2689</v>
      </c>
      <c r="N16" s="3473">
        <v>15.29</v>
      </c>
      <c r="O16" s="3464">
        <v>2523</v>
      </c>
      <c r="P16" s="3464" t="s">
        <v>3623</v>
      </c>
      <c r="Q16" s="3559">
        <v>38419</v>
      </c>
      <c r="R16" s="3471" t="s">
        <v>3624</v>
      </c>
      <c r="S16" s="3535" t="s">
        <v>3677</v>
      </c>
      <c r="T16" s="3507">
        <v>38429</v>
      </c>
      <c r="U16" s="3507"/>
      <c r="V16" s="3474" t="s">
        <v>3627</v>
      </c>
      <c r="W16" s="3464" t="s">
        <v>3396</v>
      </c>
      <c r="X16" s="3464" t="s">
        <v>3637</v>
      </c>
      <c r="Y16" s="3464" t="s">
        <v>3629</v>
      </c>
      <c r="Z16" s="3464"/>
      <c r="AA16" s="3474" t="e">
        <v>#DIV/0!</v>
      </c>
      <c r="AB16" s="3474" t="e">
        <v>#DIV/0!</v>
      </c>
    </row>
    <row r="17" spans="1:28">
      <c r="A17" s="3464" t="s">
        <v>3616</v>
      </c>
      <c r="B17" s="3464" t="s">
        <v>3617</v>
      </c>
      <c r="C17" s="3465" t="s">
        <v>3688</v>
      </c>
      <c r="D17" s="3471" t="s">
        <v>3689</v>
      </c>
      <c r="E17" s="3465">
        <v>201</v>
      </c>
      <c r="F17" s="3464" t="s">
        <v>3624</v>
      </c>
      <c r="G17" s="3478">
        <v>75.86</v>
      </c>
      <c r="H17" s="3465">
        <v>2</v>
      </c>
      <c r="I17" s="3464" t="s">
        <v>3622</v>
      </c>
      <c r="J17" s="3464"/>
      <c r="K17" s="3464" t="s">
        <v>3427</v>
      </c>
      <c r="L17" s="3532">
        <v>268000</v>
      </c>
      <c r="M17" s="3568">
        <v>3533</v>
      </c>
      <c r="N17" s="3473">
        <v>20.3</v>
      </c>
      <c r="O17" s="3464">
        <v>2677</v>
      </c>
      <c r="P17" s="3464" t="s">
        <v>3624</v>
      </c>
      <c r="Q17" s="3559">
        <v>38432</v>
      </c>
      <c r="R17" s="3471" t="s">
        <v>3624</v>
      </c>
      <c r="S17" s="3474" t="s">
        <v>3649</v>
      </c>
      <c r="T17" s="3536">
        <v>38440</v>
      </c>
      <c r="U17" s="3507"/>
      <c r="V17" s="3474" t="s">
        <v>3627</v>
      </c>
      <c r="W17" s="3464" t="s">
        <v>3396</v>
      </c>
      <c r="X17" s="3464" t="s">
        <v>3690</v>
      </c>
      <c r="Y17" s="3464" t="s">
        <v>3629</v>
      </c>
      <c r="Z17" s="3464"/>
      <c r="AA17" s="3474" t="e">
        <v>#DIV/0!</v>
      </c>
      <c r="AB17" s="3474" t="e">
        <v>#DIV/0!</v>
      </c>
    </row>
    <row r="18" spans="1:28">
      <c r="A18" s="3464" t="s">
        <v>3616</v>
      </c>
      <c r="B18" s="3464" t="s">
        <v>3617</v>
      </c>
      <c r="C18" s="3465" t="s">
        <v>3691</v>
      </c>
      <c r="D18" s="3471" t="s">
        <v>3647</v>
      </c>
      <c r="E18" s="3465">
        <v>602</v>
      </c>
      <c r="F18" s="3464" t="s">
        <v>3692</v>
      </c>
      <c r="G18" s="3478">
        <v>60.4</v>
      </c>
      <c r="H18" s="3465">
        <v>6</v>
      </c>
      <c r="I18" s="3464" t="s">
        <v>3622</v>
      </c>
      <c r="J18" s="3464"/>
      <c r="K18" s="3464" t="s">
        <v>3427</v>
      </c>
      <c r="L18" s="3532">
        <v>158000</v>
      </c>
      <c r="M18" s="3568">
        <v>2616</v>
      </c>
      <c r="N18" s="3473">
        <v>15.67</v>
      </c>
      <c r="O18" s="3464">
        <v>2596</v>
      </c>
      <c r="P18" s="3464" t="s">
        <v>3623</v>
      </c>
      <c r="Q18" s="3559">
        <v>38440</v>
      </c>
      <c r="R18" s="3471" t="s">
        <v>3625</v>
      </c>
      <c r="S18" s="3464" t="s">
        <v>3664</v>
      </c>
      <c r="T18" s="3536">
        <v>38443</v>
      </c>
      <c r="U18" s="3507"/>
      <c r="V18" s="3474" t="s">
        <v>3627</v>
      </c>
      <c r="W18" s="3464" t="s">
        <v>3396</v>
      </c>
      <c r="X18" s="3464" t="s">
        <v>3637</v>
      </c>
      <c r="Y18" s="3464" t="s">
        <v>3629</v>
      </c>
      <c r="Z18" s="3464"/>
      <c r="AA18" s="3474" t="e">
        <v>#DIV/0!</v>
      </c>
      <c r="AB18" s="3474" t="e">
        <v>#DIV/0!</v>
      </c>
    </row>
    <row r="19" spans="1:28">
      <c r="A19" s="3464" t="s">
        <v>3616</v>
      </c>
      <c r="B19" s="3464" t="s">
        <v>3617</v>
      </c>
      <c r="C19" s="3465" t="s">
        <v>3693</v>
      </c>
      <c r="D19" s="3471" t="s">
        <v>3639</v>
      </c>
      <c r="E19" s="3465">
        <v>102</v>
      </c>
      <c r="F19" s="3464" t="s">
        <v>3694</v>
      </c>
      <c r="G19" s="3478">
        <v>60.31</v>
      </c>
      <c r="H19" s="3465">
        <v>1</v>
      </c>
      <c r="I19" s="3464" t="s">
        <v>3656</v>
      </c>
      <c r="J19" s="3464"/>
      <c r="K19" s="3464" t="s">
        <v>3427</v>
      </c>
      <c r="L19" s="3532">
        <v>205000</v>
      </c>
      <c r="M19" s="3568">
        <v>3399</v>
      </c>
      <c r="N19" s="3473">
        <v>15.8</v>
      </c>
      <c r="O19" s="3464">
        <v>2621</v>
      </c>
      <c r="P19" s="3464" t="s">
        <v>3623</v>
      </c>
      <c r="Q19" s="3559">
        <v>38440</v>
      </c>
      <c r="R19" s="3471" t="s">
        <v>3625</v>
      </c>
      <c r="S19" s="3464" t="s">
        <v>3664</v>
      </c>
      <c r="T19" s="3536">
        <v>38443</v>
      </c>
      <c r="U19" s="3507"/>
      <c r="V19" s="3474" t="s">
        <v>3627</v>
      </c>
      <c r="W19" s="3464" t="s">
        <v>3396</v>
      </c>
      <c r="X19" s="3464" t="s">
        <v>3637</v>
      </c>
      <c r="Y19" s="3464" t="s">
        <v>3629</v>
      </c>
      <c r="Z19" s="3464"/>
      <c r="AA19" s="3474" t="e">
        <v>#DIV/0!</v>
      </c>
      <c r="AB19" s="3474" t="e">
        <v>#DIV/0!</v>
      </c>
    </row>
    <row r="20" spans="1:28">
      <c r="A20" s="3464" t="s">
        <v>3616</v>
      </c>
      <c r="B20" s="3464" t="s">
        <v>3617</v>
      </c>
      <c r="C20" s="3465" t="s">
        <v>3695</v>
      </c>
      <c r="D20" s="3471" t="s">
        <v>3619</v>
      </c>
      <c r="E20" s="3465">
        <v>301</v>
      </c>
      <c r="F20" s="3464" t="s">
        <v>3624</v>
      </c>
      <c r="G20" s="3478">
        <v>64.959999999999994</v>
      </c>
      <c r="H20" s="3465">
        <v>3</v>
      </c>
      <c r="I20" s="3491" t="s">
        <v>3640</v>
      </c>
      <c r="J20" s="3464"/>
      <c r="K20" s="3464" t="s">
        <v>3427</v>
      </c>
      <c r="L20" s="3532">
        <v>165000</v>
      </c>
      <c r="M20" s="3568">
        <v>2540</v>
      </c>
      <c r="N20" s="3473">
        <v>15.77</v>
      </c>
      <c r="O20" s="3464">
        <v>2428</v>
      </c>
      <c r="P20" s="3464" t="s">
        <v>3624</v>
      </c>
      <c r="Q20" s="3559">
        <v>38441</v>
      </c>
      <c r="R20" s="3471" t="s">
        <v>3624</v>
      </c>
      <c r="S20" s="3474" t="s">
        <v>3649</v>
      </c>
      <c r="T20" s="3507">
        <v>38448</v>
      </c>
      <c r="U20" s="3507"/>
      <c r="V20" s="3474" t="s">
        <v>3627</v>
      </c>
      <c r="W20" s="3464" t="s">
        <v>3396</v>
      </c>
      <c r="X20" s="3464" t="s">
        <v>3637</v>
      </c>
      <c r="Y20" s="3464" t="s">
        <v>3629</v>
      </c>
      <c r="Z20" s="3464"/>
      <c r="AA20" s="3474" t="e">
        <v>#DIV/0!</v>
      </c>
      <c r="AB20" s="3474" t="e">
        <v>#DIV/0!</v>
      </c>
    </row>
    <row r="21" spans="1:28">
      <c r="A21" s="3464" t="s">
        <v>3616</v>
      </c>
      <c r="B21" s="3464" t="s">
        <v>3617</v>
      </c>
      <c r="C21" s="3465" t="s">
        <v>3696</v>
      </c>
      <c r="D21" s="3471" t="s">
        <v>3624</v>
      </c>
      <c r="E21" s="3465">
        <v>303</v>
      </c>
      <c r="F21" s="3464" t="s">
        <v>3624</v>
      </c>
      <c r="G21" s="3478">
        <v>65.8</v>
      </c>
      <c r="H21" s="3465">
        <v>3</v>
      </c>
      <c r="I21" s="3464" t="s">
        <v>3622</v>
      </c>
      <c r="J21" s="3464"/>
      <c r="K21" s="3464" t="s">
        <v>3427</v>
      </c>
      <c r="L21" s="3532">
        <v>180000</v>
      </c>
      <c r="M21" s="3568">
        <v>2736</v>
      </c>
      <c r="N21" s="3473">
        <v>17.010000000000002</v>
      </c>
      <c r="O21" s="3464">
        <v>2586</v>
      </c>
      <c r="P21" s="3464" t="s">
        <v>3624</v>
      </c>
      <c r="Q21" s="3559">
        <v>38456</v>
      </c>
      <c r="R21" s="3471" t="s">
        <v>3624</v>
      </c>
      <c r="S21" s="3464" t="s">
        <v>3649</v>
      </c>
      <c r="T21" s="3536">
        <v>38457</v>
      </c>
      <c r="U21" s="3507"/>
      <c r="V21" s="3474" t="s">
        <v>3627</v>
      </c>
      <c r="W21" s="3464" t="s">
        <v>3396</v>
      </c>
      <c r="X21" s="3464" t="s">
        <v>3637</v>
      </c>
      <c r="Y21" s="3464" t="s">
        <v>3629</v>
      </c>
      <c r="Z21" s="3464"/>
      <c r="AA21" s="3474" t="e">
        <v>#DIV/0!</v>
      </c>
      <c r="AB21" s="3474" t="e">
        <v>#DIV/0!</v>
      </c>
    </row>
    <row r="22" spans="1:28">
      <c r="A22" s="3464" t="s">
        <v>3616</v>
      </c>
      <c r="B22" s="3464" t="s">
        <v>3617</v>
      </c>
      <c r="C22" s="3471" t="s">
        <v>3693</v>
      </c>
      <c r="D22" s="3471" t="s">
        <v>3697</v>
      </c>
      <c r="E22" s="3465">
        <v>502</v>
      </c>
      <c r="F22" s="3464" t="s">
        <v>3624</v>
      </c>
      <c r="G22" s="3478">
        <v>61</v>
      </c>
      <c r="H22" s="3465">
        <v>5</v>
      </c>
      <c r="I22" s="3464" t="s">
        <v>3622</v>
      </c>
      <c r="J22" s="3464"/>
      <c r="K22" s="3464" t="s">
        <v>3427</v>
      </c>
      <c r="L22" s="3532">
        <v>130000</v>
      </c>
      <c r="M22" s="3568">
        <v>2131</v>
      </c>
      <c r="N22" s="3473">
        <v>13.19</v>
      </c>
      <c r="O22" s="3464">
        <v>2163</v>
      </c>
      <c r="P22" s="3474" t="s">
        <v>3623</v>
      </c>
      <c r="Q22" s="3561">
        <v>38468</v>
      </c>
      <c r="R22" s="3471" t="s">
        <v>3624</v>
      </c>
      <c r="S22" s="3474" t="s">
        <v>3664</v>
      </c>
      <c r="T22" s="3536">
        <v>38469</v>
      </c>
      <c r="U22" s="3507"/>
      <c r="V22" s="3474" t="s">
        <v>3627</v>
      </c>
      <c r="W22" s="3464" t="s">
        <v>3396</v>
      </c>
      <c r="X22" s="3464" t="s">
        <v>3637</v>
      </c>
      <c r="Y22" s="3464" t="s">
        <v>3629</v>
      </c>
      <c r="Z22" s="3464"/>
      <c r="AA22" s="3474" t="e">
        <v>#DIV/0!</v>
      </c>
      <c r="AB22" s="3474" t="e">
        <v>#DIV/0!</v>
      </c>
    </row>
    <row r="23" spans="1:28">
      <c r="A23" s="3464" t="s">
        <v>3616</v>
      </c>
      <c r="B23" s="3464" t="s">
        <v>3617</v>
      </c>
      <c r="C23" s="3465" t="s">
        <v>3691</v>
      </c>
      <c r="D23" s="3471" t="s">
        <v>3639</v>
      </c>
      <c r="E23" s="3465">
        <v>601</v>
      </c>
      <c r="F23" s="3464" t="s">
        <v>3624</v>
      </c>
      <c r="G23" s="3478">
        <v>78.25</v>
      </c>
      <c r="H23" s="3465">
        <v>6</v>
      </c>
      <c r="I23" s="3464" t="s">
        <v>3622</v>
      </c>
      <c r="J23" s="3464"/>
      <c r="K23" s="3464" t="s">
        <v>3427</v>
      </c>
      <c r="L23" s="3532">
        <v>225000</v>
      </c>
      <c r="M23" s="3568">
        <v>2875</v>
      </c>
      <c r="N23" s="3473">
        <v>20.3</v>
      </c>
      <c r="O23" s="3464">
        <v>2595</v>
      </c>
      <c r="P23" s="3464" t="s">
        <v>3624</v>
      </c>
      <c r="Q23" s="3557">
        <v>38469</v>
      </c>
      <c r="R23" s="3464"/>
      <c r="S23" s="3535" t="s">
        <v>3649</v>
      </c>
      <c r="T23" s="3507">
        <v>38485</v>
      </c>
      <c r="U23" s="3507"/>
      <c r="V23" s="3474" t="s">
        <v>3627</v>
      </c>
      <c r="W23" s="3464" t="s">
        <v>3396</v>
      </c>
      <c r="X23" s="3474" t="s">
        <v>3628</v>
      </c>
      <c r="Y23" s="3464" t="s">
        <v>3629</v>
      </c>
      <c r="Z23" s="3464"/>
      <c r="AA23" s="3474" t="e">
        <v>#DIV/0!</v>
      </c>
      <c r="AB23" s="3474" t="e">
        <v>#DIV/0!</v>
      </c>
    </row>
    <row r="24" spans="1:28">
      <c r="A24" s="3464" t="s">
        <v>3616</v>
      </c>
      <c r="B24" s="3464" t="s">
        <v>3617</v>
      </c>
      <c r="C24" s="3465" t="s">
        <v>3698</v>
      </c>
      <c r="D24" s="3471" t="s">
        <v>3683</v>
      </c>
      <c r="E24" s="3465">
        <v>301</v>
      </c>
      <c r="F24" s="3464" t="s">
        <v>3699</v>
      </c>
      <c r="G24" s="3478">
        <v>76.37</v>
      </c>
      <c r="H24" s="3465">
        <v>3</v>
      </c>
      <c r="I24" s="3464" t="s">
        <v>3622</v>
      </c>
      <c r="J24" s="3464"/>
      <c r="K24" s="3464" t="s">
        <v>3427</v>
      </c>
      <c r="L24" s="3532">
        <v>260000</v>
      </c>
      <c r="M24" s="3568">
        <v>3404</v>
      </c>
      <c r="N24" s="3473">
        <v>21.94</v>
      </c>
      <c r="O24" s="3464">
        <v>2873</v>
      </c>
      <c r="P24" s="3464" t="s">
        <v>3624</v>
      </c>
      <c r="Q24" s="3557">
        <v>38488</v>
      </c>
      <c r="R24" s="3464"/>
      <c r="S24" s="3535" t="s">
        <v>3649</v>
      </c>
      <c r="T24" s="3507">
        <v>38490</v>
      </c>
      <c r="U24" s="3507"/>
      <c r="V24" s="3474" t="s">
        <v>3627</v>
      </c>
      <c r="W24" s="3464" t="s">
        <v>3700</v>
      </c>
      <c r="X24" s="3474" t="s">
        <v>3628</v>
      </c>
      <c r="Y24" s="3464" t="s">
        <v>3629</v>
      </c>
      <c r="Z24" s="3464"/>
      <c r="AA24" s="3474" t="e">
        <v>#DIV/0!</v>
      </c>
      <c r="AB24" s="3474" t="e">
        <v>#DIV/0!</v>
      </c>
    </row>
    <row r="25" spans="1:28">
      <c r="A25" s="3464" t="s">
        <v>3616</v>
      </c>
      <c r="B25" s="3476" t="s">
        <v>3617</v>
      </c>
      <c r="C25" s="3464" t="s">
        <v>3701</v>
      </c>
      <c r="D25" s="3464" t="s">
        <v>3639</v>
      </c>
      <c r="E25" s="3464">
        <v>601</v>
      </c>
      <c r="F25" s="3464" t="s">
        <v>3624</v>
      </c>
      <c r="G25" s="3478">
        <v>120.65</v>
      </c>
      <c r="H25" s="3464">
        <v>6</v>
      </c>
      <c r="I25" s="3464" t="s">
        <v>3702</v>
      </c>
      <c r="J25" s="3464"/>
      <c r="K25" s="3464" t="s">
        <v>3427</v>
      </c>
      <c r="L25" s="3532">
        <v>290000</v>
      </c>
      <c r="M25" s="3568">
        <v>2404</v>
      </c>
      <c r="N25" s="3473">
        <v>28.79</v>
      </c>
      <c r="O25" s="3464">
        <v>2387</v>
      </c>
      <c r="P25" s="3474" t="s">
        <v>3624</v>
      </c>
      <c r="Q25" s="3560">
        <v>38496</v>
      </c>
      <c r="R25" s="3474"/>
      <c r="S25" s="3474" t="s">
        <v>3649</v>
      </c>
      <c r="T25" s="3536">
        <v>38497</v>
      </c>
      <c r="U25" s="3536"/>
      <c r="V25" s="3474" t="s">
        <v>3659</v>
      </c>
      <c r="W25" s="3465" t="s">
        <v>3396</v>
      </c>
      <c r="X25" s="3474" t="s">
        <v>3637</v>
      </c>
      <c r="Y25" s="3474" t="s">
        <v>3703</v>
      </c>
      <c r="Z25" s="3474"/>
      <c r="AA25" s="3474" t="e">
        <v>#DIV/0!</v>
      </c>
      <c r="AB25" s="3474" t="e">
        <v>#DIV/0!</v>
      </c>
    </row>
    <row r="26" spans="1:28">
      <c r="A26" s="3464" t="s">
        <v>3616</v>
      </c>
      <c r="B26" s="3464" t="s">
        <v>3617</v>
      </c>
      <c r="C26" s="3465" t="s">
        <v>3704</v>
      </c>
      <c r="D26" s="3471" t="s">
        <v>3654</v>
      </c>
      <c r="E26" s="3465">
        <v>302</v>
      </c>
      <c r="F26" s="3464" t="s">
        <v>3624</v>
      </c>
      <c r="G26" s="3537">
        <v>64.849999999999994</v>
      </c>
      <c r="H26" s="3465">
        <v>3</v>
      </c>
      <c r="I26" s="3464" t="s">
        <v>3656</v>
      </c>
      <c r="J26" s="3464"/>
      <c r="K26" s="3464" t="s">
        <v>3427</v>
      </c>
      <c r="L26" s="3532">
        <v>215000</v>
      </c>
      <c r="M26" s="3568">
        <v>3315</v>
      </c>
      <c r="N26" s="3473">
        <v>17.690000000000001</v>
      </c>
      <c r="O26" s="3464">
        <v>2729</v>
      </c>
      <c r="P26" s="3464" t="s">
        <v>3624</v>
      </c>
      <c r="Q26" s="3557">
        <v>38491</v>
      </c>
      <c r="R26" s="3464"/>
      <c r="S26" s="3535" t="s">
        <v>3649</v>
      </c>
      <c r="T26" s="3507">
        <v>38501</v>
      </c>
      <c r="U26" s="3507"/>
      <c r="V26" s="3474" t="s">
        <v>3627</v>
      </c>
      <c r="W26" s="3464" t="s">
        <v>3700</v>
      </c>
      <c r="X26" s="3474" t="s">
        <v>3637</v>
      </c>
      <c r="Y26" s="3464" t="s">
        <v>3629</v>
      </c>
      <c r="Z26" s="3464"/>
      <c r="AA26" s="3474" t="e">
        <v>#DIV/0!</v>
      </c>
      <c r="AB26" s="3474" t="e">
        <v>#DIV/0!</v>
      </c>
    </row>
    <row r="27" spans="1:28">
      <c r="A27" s="3464" t="s">
        <v>3616</v>
      </c>
      <c r="B27" s="3464" t="s">
        <v>3617</v>
      </c>
      <c r="C27" s="3465" t="s">
        <v>3705</v>
      </c>
      <c r="D27" s="3471" t="s">
        <v>3697</v>
      </c>
      <c r="E27" s="3465">
        <v>401</v>
      </c>
      <c r="F27" s="3464" t="s">
        <v>3624</v>
      </c>
      <c r="G27" s="3537">
        <v>75.900000000000006</v>
      </c>
      <c r="H27" s="3465">
        <v>4</v>
      </c>
      <c r="I27" s="3464" t="s">
        <v>3622</v>
      </c>
      <c r="J27" s="3464"/>
      <c r="K27" s="3464" t="s">
        <v>3427</v>
      </c>
      <c r="L27" s="3532">
        <v>210000</v>
      </c>
      <c r="M27" s="3569">
        <v>2767</v>
      </c>
      <c r="N27" s="3473">
        <v>20.34</v>
      </c>
      <c r="O27" s="3532">
        <v>2681</v>
      </c>
      <c r="P27" s="3464" t="s">
        <v>3624</v>
      </c>
      <c r="Q27" s="3559">
        <v>38496</v>
      </c>
      <c r="R27" s="3464"/>
      <c r="S27" s="3464" t="s">
        <v>3649</v>
      </c>
      <c r="T27" s="3507">
        <v>38506</v>
      </c>
      <c r="U27" s="3507"/>
      <c r="V27" s="3474" t="s">
        <v>3627</v>
      </c>
      <c r="W27" s="3464" t="s">
        <v>3396</v>
      </c>
      <c r="X27" s="3464" t="s">
        <v>3644</v>
      </c>
      <c r="Y27" s="3464" t="s">
        <v>3629</v>
      </c>
      <c r="Z27" s="3464"/>
      <c r="AA27" s="3474" t="e">
        <v>#DIV/0!</v>
      </c>
      <c r="AB27" s="3474" t="e">
        <v>#DIV/0!</v>
      </c>
    </row>
    <row r="28" spans="1:28">
      <c r="A28" s="3464" t="s">
        <v>3616</v>
      </c>
      <c r="B28" s="3464" t="s">
        <v>3617</v>
      </c>
      <c r="C28" s="3465" t="s">
        <v>3706</v>
      </c>
      <c r="D28" s="3471" t="s">
        <v>3619</v>
      </c>
      <c r="E28" s="3465">
        <v>601</v>
      </c>
      <c r="F28" s="3464" t="s">
        <v>3624</v>
      </c>
      <c r="G28" s="3537">
        <v>75.680000000000007</v>
      </c>
      <c r="H28" s="3465">
        <v>6</v>
      </c>
      <c r="I28" s="3464" t="s">
        <v>3622</v>
      </c>
      <c r="J28" s="3464"/>
      <c r="K28" s="3464" t="s">
        <v>3427</v>
      </c>
      <c r="L28" s="3532">
        <v>210000</v>
      </c>
      <c r="M28" s="3569">
        <v>2775</v>
      </c>
      <c r="N28" s="3473">
        <v>19.59</v>
      </c>
      <c r="O28" s="3532">
        <v>2589</v>
      </c>
      <c r="P28" s="3464" t="s">
        <v>3623</v>
      </c>
      <c r="Q28" s="3559">
        <v>38483</v>
      </c>
      <c r="R28" s="3464"/>
      <c r="S28" s="3533" t="s">
        <v>3707</v>
      </c>
      <c r="T28" s="3507">
        <v>38511</v>
      </c>
      <c r="U28" s="3507"/>
      <c r="V28" s="3464" t="s">
        <v>3625</v>
      </c>
      <c r="W28" s="3464" t="s">
        <v>3396</v>
      </c>
      <c r="X28" s="3464" t="s">
        <v>3644</v>
      </c>
      <c r="Y28" s="3464" t="s">
        <v>3629</v>
      </c>
      <c r="Z28" s="3464"/>
      <c r="AA28" s="3474" t="e">
        <v>#DIV/0!</v>
      </c>
      <c r="AB28" s="3474" t="e">
        <v>#DIV/0!</v>
      </c>
    </row>
    <row r="29" spans="1:28">
      <c r="A29" s="3464" t="s">
        <v>3616</v>
      </c>
      <c r="B29" s="3476" t="s">
        <v>3617</v>
      </c>
      <c r="C29" s="3464" t="s">
        <v>3708</v>
      </c>
      <c r="D29" s="3464" t="s">
        <v>3683</v>
      </c>
      <c r="E29" s="3464">
        <v>502</v>
      </c>
      <c r="F29" s="3464" t="s">
        <v>3428</v>
      </c>
      <c r="G29" s="3537">
        <v>68.34</v>
      </c>
      <c r="H29" s="3464">
        <v>5</v>
      </c>
      <c r="I29" s="3471" t="s">
        <v>3656</v>
      </c>
      <c r="J29" s="3464"/>
      <c r="K29" s="3464" t="s">
        <v>3427</v>
      </c>
      <c r="L29" s="3532">
        <v>215000</v>
      </c>
      <c r="M29" s="3568">
        <v>3146</v>
      </c>
      <c r="N29" s="3473">
        <v>21.32</v>
      </c>
      <c r="O29" s="3464">
        <v>3121</v>
      </c>
      <c r="P29" s="3474" t="s">
        <v>3623</v>
      </c>
      <c r="Q29" s="3560">
        <v>38530</v>
      </c>
      <c r="R29" s="3474"/>
      <c r="S29" s="3535" t="s">
        <v>3709</v>
      </c>
      <c r="T29" s="3536">
        <v>38530</v>
      </c>
      <c r="U29" s="3536"/>
      <c r="V29" s="3474" t="s">
        <v>3627</v>
      </c>
      <c r="W29" s="3474"/>
      <c r="X29" s="3474"/>
      <c r="Y29" s="3464"/>
      <c r="Z29" s="3474"/>
      <c r="AA29" s="3474"/>
      <c r="AB29" s="3474"/>
    </row>
    <row r="30" spans="1:28">
      <c r="A30" s="3465" t="s">
        <v>3616</v>
      </c>
      <c r="B30" s="3464" t="s">
        <v>3617</v>
      </c>
      <c r="C30" s="3471" t="s">
        <v>3710</v>
      </c>
      <c r="D30" s="3471" t="s">
        <v>3711</v>
      </c>
      <c r="E30" s="3465">
        <v>401</v>
      </c>
      <c r="F30" s="3465" t="s">
        <v>3428</v>
      </c>
      <c r="G30" s="3478">
        <v>107.66</v>
      </c>
      <c r="H30" s="3465">
        <v>4</v>
      </c>
      <c r="I30" s="3471" t="s">
        <v>3622</v>
      </c>
      <c r="J30" s="3465"/>
      <c r="K30" s="3465" t="s">
        <v>3427</v>
      </c>
      <c r="L30" s="3532">
        <v>285000</v>
      </c>
      <c r="M30" s="3568">
        <v>2647</v>
      </c>
      <c r="N30" s="3473">
        <v>26.18</v>
      </c>
      <c r="O30" s="3464">
        <v>2432</v>
      </c>
      <c r="P30" s="3465" t="s">
        <v>3624</v>
      </c>
      <c r="Q30" s="3559">
        <v>38525</v>
      </c>
      <c r="R30" s="3465"/>
      <c r="S30" s="3464" t="s">
        <v>3677</v>
      </c>
      <c r="T30" s="3536">
        <v>38534</v>
      </c>
      <c r="U30" s="3534"/>
      <c r="V30" s="3464" t="s">
        <v>3627</v>
      </c>
      <c r="W30" s="3474" t="s">
        <v>3712</v>
      </c>
      <c r="X30" s="3474" t="s">
        <v>3713</v>
      </c>
      <c r="Y30" s="3465" t="s">
        <v>3714</v>
      </c>
      <c r="Z30" s="3465"/>
      <c r="AA30" s="3465"/>
      <c r="AB30" s="3465"/>
    </row>
    <row r="31" spans="1:28">
      <c r="A31" s="3538" t="s">
        <v>3616</v>
      </c>
      <c r="B31" s="3538" t="s">
        <v>3617</v>
      </c>
      <c r="C31" s="3540" t="s">
        <v>3716</v>
      </c>
      <c r="D31" s="3539" t="s">
        <v>3647</v>
      </c>
      <c r="E31" s="3540">
        <v>402</v>
      </c>
      <c r="F31" s="3538" t="s">
        <v>3715</v>
      </c>
      <c r="G31" s="3541">
        <v>94.38</v>
      </c>
      <c r="H31" s="3540">
        <v>4</v>
      </c>
      <c r="I31" s="3538" t="s">
        <v>3668</v>
      </c>
      <c r="J31" s="3538"/>
      <c r="K31" s="3538" t="s">
        <v>3427</v>
      </c>
      <c r="L31" s="3542">
        <v>320000</v>
      </c>
      <c r="M31" s="3570">
        <v>3391</v>
      </c>
      <c r="N31" s="3543">
        <v>29.84</v>
      </c>
      <c r="O31" s="3538">
        <v>3162</v>
      </c>
      <c r="P31" s="3528" t="s">
        <v>3623</v>
      </c>
      <c r="Q31" s="3562">
        <v>38546</v>
      </c>
      <c r="R31" s="3538"/>
      <c r="S31" s="3538" t="s">
        <v>3709</v>
      </c>
      <c r="T31" s="3544">
        <v>38546</v>
      </c>
      <c r="U31" s="3545"/>
      <c r="V31" s="3538" t="s">
        <v>3659</v>
      </c>
      <c r="W31" s="3538"/>
      <c r="X31" s="3528"/>
      <c r="Y31" s="3538"/>
      <c r="Z31" s="3538"/>
      <c r="AA31" s="3528" t="e">
        <v>#DIV/0!</v>
      </c>
      <c r="AB31" s="3528" t="e">
        <v>#DIV/0!</v>
      </c>
    </row>
    <row r="32" spans="1:28">
      <c r="A32" s="3538" t="s">
        <v>3616</v>
      </c>
      <c r="B32" s="3538" t="s">
        <v>3617</v>
      </c>
      <c r="C32" s="3540" t="s">
        <v>3717</v>
      </c>
      <c r="D32" s="3539" t="s">
        <v>3718</v>
      </c>
      <c r="E32" s="3540" t="s">
        <v>3719</v>
      </c>
      <c r="F32" s="3538" t="s">
        <v>3720</v>
      </c>
      <c r="G32" s="3541">
        <v>143.88</v>
      </c>
      <c r="H32" s="3540">
        <v>8</v>
      </c>
      <c r="I32" s="3538" t="s">
        <v>3721</v>
      </c>
      <c r="J32" s="3538"/>
      <c r="K32" s="3538" t="s">
        <v>3427</v>
      </c>
      <c r="L32" s="3542">
        <v>462275</v>
      </c>
      <c r="M32" s="3570">
        <v>3213</v>
      </c>
      <c r="N32" s="3543">
        <v>45.58</v>
      </c>
      <c r="O32" s="3542">
        <v>3168</v>
      </c>
      <c r="P32" s="3538"/>
      <c r="Q32" s="3562">
        <v>38460</v>
      </c>
      <c r="R32" s="3528" t="s">
        <v>3722</v>
      </c>
      <c r="S32" s="3538" t="s">
        <v>3723</v>
      </c>
      <c r="T32" s="3545">
        <v>38552</v>
      </c>
      <c r="U32" s="3545"/>
      <c r="V32" s="3538" t="s">
        <v>3627</v>
      </c>
      <c r="W32" s="3538"/>
      <c r="X32" s="3538"/>
      <c r="Y32" s="3538"/>
      <c r="Z32" s="3538"/>
      <c r="AA32" s="3528" t="e">
        <v>#DIV/0!</v>
      </c>
      <c r="AB32" s="3528" t="e">
        <v>#DIV/0!</v>
      </c>
    </row>
    <row r="33" spans="1:28">
      <c r="A33" s="3464" t="s">
        <v>3616</v>
      </c>
      <c r="B33" s="3464" t="s">
        <v>3617</v>
      </c>
      <c r="C33" s="3465" t="s">
        <v>3724</v>
      </c>
      <c r="D33" s="3471" t="s">
        <v>3639</v>
      </c>
      <c r="E33" s="3465">
        <v>601</v>
      </c>
      <c r="F33" s="3464"/>
      <c r="G33" s="3478">
        <v>77.3</v>
      </c>
      <c r="H33" s="3465">
        <v>6</v>
      </c>
      <c r="I33" s="3464" t="s">
        <v>3622</v>
      </c>
      <c r="J33" s="3464"/>
      <c r="K33" s="3464" t="s">
        <v>3427</v>
      </c>
      <c r="L33" s="3532">
        <v>150000</v>
      </c>
      <c r="M33" s="3568">
        <v>1940</v>
      </c>
      <c r="N33" s="3473">
        <v>17.34</v>
      </c>
      <c r="O33" s="3464">
        <v>2244</v>
      </c>
      <c r="P33" s="3474" t="s">
        <v>3725</v>
      </c>
      <c r="Q33" s="3559">
        <v>38565</v>
      </c>
      <c r="R33" s="3464"/>
      <c r="S33" s="3464" t="s">
        <v>3707</v>
      </c>
      <c r="T33" s="3507">
        <v>38567</v>
      </c>
      <c r="U33" s="3507"/>
      <c r="V33" s="3464"/>
      <c r="W33" s="3464"/>
      <c r="X33" s="3464"/>
      <c r="Y33" s="3464"/>
      <c r="Z33" s="3464"/>
      <c r="AA33" s="3474" t="e">
        <v>#DIV/0!</v>
      </c>
      <c r="AB33" s="3474" t="e">
        <v>#DIV/0!</v>
      </c>
    </row>
    <row r="34" spans="1:28">
      <c r="A34" s="3464" t="s">
        <v>3616</v>
      </c>
      <c r="B34" s="3476" t="s">
        <v>3617</v>
      </c>
      <c r="C34" s="3464" t="s">
        <v>3726</v>
      </c>
      <c r="D34" s="3464" t="s">
        <v>3654</v>
      </c>
      <c r="E34" s="3477" t="s">
        <v>3727</v>
      </c>
      <c r="F34" s="3464" t="s">
        <v>3728</v>
      </c>
      <c r="G34" s="3478">
        <v>64.849999999999994</v>
      </c>
      <c r="H34" s="3464">
        <v>6</v>
      </c>
      <c r="I34" s="3471" t="s">
        <v>3729</v>
      </c>
      <c r="J34" s="3464"/>
      <c r="K34" s="3464" t="s">
        <v>3427</v>
      </c>
      <c r="L34" s="3532">
        <v>130000</v>
      </c>
      <c r="M34" s="3568">
        <v>2005</v>
      </c>
      <c r="N34" s="3473">
        <v>14.5</v>
      </c>
      <c r="O34" s="3464">
        <v>2237</v>
      </c>
      <c r="P34" s="3474" t="s">
        <v>3623</v>
      </c>
      <c r="Q34" s="3560">
        <v>38565</v>
      </c>
      <c r="R34" s="3464" t="s">
        <v>3625</v>
      </c>
      <c r="S34" s="3535" t="s">
        <v>3709</v>
      </c>
      <c r="T34" s="3536">
        <v>38566</v>
      </c>
      <c r="U34" s="3536"/>
      <c r="V34" s="3464"/>
      <c r="W34" s="3474"/>
      <c r="X34" s="3474"/>
      <c r="Y34" s="3464"/>
      <c r="Z34" s="3474"/>
      <c r="AA34" s="3474" t="e">
        <v>#DIV/0!</v>
      </c>
      <c r="AB34" s="3474" t="e">
        <v>#DIV/0!</v>
      </c>
    </row>
    <row r="35" spans="1:28">
      <c r="A35" s="3464" t="s">
        <v>3616</v>
      </c>
      <c r="B35" s="3464" t="s">
        <v>3617</v>
      </c>
      <c r="C35" s="3465" t="s">
        <v>3716</v>
      </c>
      <c r="D35" s="3471" t="s">
        <v>3697</v>
      </c>
      <c r="E35" s="3465">
        <v>601</v>
      </c>
      <c r="F35" s="3464" t="s">
        <v>3730</v>
      </c>
      <c r="G35" s="3478">
        <v>92.29</v>
      </c>
      <c r="H35" s="3465">
        <v>6</v>
      </c>
      <c r="I35" s="3464" t="s">
        <v>3668</v>
      </c>
      <c r="J35" s="3464"/>
      <c r="K35" s="3464" t="s">
        <v>3427</v>
      </c>
      <c r="L35" s="3532">
        <v>240000</v>
      </c>
      <c r="M35" s="3568">
        <v>2600</v>
      </c>
      <c r="N35" s="3473">
        <v>22.72</v>
      </c>
      <c r="O35" s="3464">
        <v>2462</v>
      </c>
      <c r="P35" s="3474" t="s">
        <v>3623</v>
      </c>
      <c r="Q35" s="3559">
        <v>38565</v>
      </c>
      <c r="R35" s="3464"/>
      <c r="S35" s="3464" t="s">
        <v>3649</v>
      </c>
      <c r="T35" s="3536">
        <v>38569</v>
      </c>
      <c r="U35" s="3507"/>
      <c r="V35" s="3464" t="s">
        <v>3659</v>
      </c>
      <c r="W35" s="3464" t="s">
        <v>3396</v>
      </c>
      <c r="X35" s="3474" t="s">
        <v>3637</v>
      </c>
      <c r="Y35" s="3464" t="s">
        <v>3629</v>
      </c>
      <c r="Z35" s="3464"/>
      <c r="AA35" s="3474" t="e">
        <v>#DIV/0!</v>
      </c>
      <c r="AB35" s="3474" t="e">
        <v>#DIV/0!</v>
      </c>
    </row>
    <row r="36" spans="1:28">
      <c r="A36" s="3464" t="s">
        <v>3616</v>
      </c>
      <c r="B36" s="3464" t="s">
        <v>3617</v>
      </c>
      <c r="C36" s="3465" t="s">
        <v>3731</v>
      </c>
      <c r="D36" s="3471" t="s">
        <v>3619</v>
      </c>
      <c r="E36" s="3465">
        <v>301</v>
      </c>
      <c r="F36" s="3464" t="s">
        <v>3624</v>
      </c>
      <c r="G36" s="3478">
        <v>81.95</v>
      </c>
      <c r="H36" s="3465">
        <v>3</v>
      </c>
      <c r="I36" s="3464" t="s">
        <v>3622</v>
      </c>
      <c r="J36" s="3464"/>
      <c r="K36" s="3464" t="s">
        <v>3427</v>
      </c>
      <c r="L36" s="3532">
        <v>220000</v>
      </c>
      <c r="M36" s="3569">
        <v>2685</v>
      </c>
      <c r="N36" s="3473">
        <v>21.74</v>
      </c>
      <c r="O36" s="3532">
        <v>2653</v>
      </c>
      <c r="P36" s="3464" t="s">
        <v>3624</v>
      </c>
      <c r="Q36" s="3559">
        <v>38579</v>
      </c>
      <c r="R36" s="3464"/>
      <c r="S36" s="3464" t="s">
        <v>3649</v>
      </c>
      <c r="T36" s="3507">
        <v>38580</v>
      </c>
      <c r="U36" s="3507"/>
      <c r="V36" s="3474" t="s">
        <v>3627</v>
      </c>
      <c r="W36" s="3464" t="s">
        <v>3396</v>
      </c>
      <c r="X36" s="3474" t="s">
        <v>3637</v>
      </c>
      <c r="Y36" s="3464" t="s">
        <v>3629</v>
      </c>
      <c r="Z36" s="3464"/>
      <c r="AA36" s="3474" t="e">
        <v>#DIV/0!</v>
      </c>
      <c r="AB36" s="3474" t="e">
        <v>#DIV/0!</v>
      </c>
    </row>
    <row r="37" spans="1:28">
      <c r="A37" s="3464" t="s">
        <v>3616</v>
      </c>
      <c r="B37" s="3464" t="s">
        <v>3617</v>
      </c>
      <c r="C37" s="3465" t="s">
        <v>3732</v>
      </c>
      <c r="D37" s="3471" t="s">
        <v>3639</v>
      </c>
      <c r="E37" s="3465">
        <v>501</v>
      </c>
      <c r="F37" s="3464" t="s">
        <v>3624</v>
      </c>
      <c r="G37" s="3478">
        <v>105.09</v>
      </c>
      <c r="H37" s="3465">
        <v>5</v>
      </c>
      <c r="I37" s="3464" t="s">
        <v>3668</v>
      </c>
      <c r="J37" s="3464"/>
      <c r="K37" s="3464" t="s">
        <v>3427</v>
      </c>
      <c r="L37" s="3532">
        <v>280000</v>
      </c>
      <c r="M37" s="3569">
        <v>2664</v>
      </c>
      <c r="N37" s="3473">
        <v>26.6</v>
      </c>
      <c r="O37" s="3532">
        <v>2532</v>
      </c>
      <c r="P37" s="3464" t="s">
        <v>3624</v>
      </c>
      <c r="Q37" s="3559">
        <v>38580</v>
      </c>
      <c r="R37" s="3464"/>
      <c r="S37" s="3464" t="s">
        <v>3649</v>
      </c>
      <c r="T37" s="3507">
        <v>38580</v>
      </c>
      <c r="U37" s="3507"/>
      <c r="V37" s="3474" t="s">
        <v>3627</v>
      </c>
      <c r="W37" s="3464" t="s">
        <v>3396</v>
      </c>
      <c r="X37" s="3474" t="s">
        <v>3637</v>
      </c>
      <c r="Y37" s="3464" t="s">
        <v>3629</v>
      </c>
      <c r="Z37" s="3464"/>
      <c r="AA37" s="3474" t="e">
        <v>#DIV/0!</v>
      </c>
      <c r="AB37" s="3474" t="e">
        <v>#DIV/0!</v>
      </c>
    </row>
    <row r="38" spans="1:28">
      <c r="A38" s="3464" t="s">
        <v>3616</v>
      </c>
      <c r="B38" s="3464" t="s">
        <v>3617</v>
      </c>
      <c r="C38" s="3465" t="s">
        <v>3733</v>
      </c>
      <c r="D38" s="3471" t="s">
        <v>3647</v>
      </c>
      <c r="E38" s="3465">
        <v>402</v>
      </c>
      <c r="F38" s="3464" t="s">
        <v>3624</v>
      </c>
      <c r="G38" s="3478">
        <v>105.09</v>
      </c>
      <c r="H38" s="3465">
        <v>4</v>
      </c>
      <c r="I38" s="3464" t="s">
        <v>3668</v>
      </c>
      <c r="J38" s="3464"/>
      <c r="K38" s="3464" t="s">
        <v>3427</v>
      </c>
      <c r="L38" s="3532">
        <v>330000</v>
      </c>
      <c r="M38" s="3569">
        <v>3140</v>
      </c>
      <c r="N38" s="3473">
        <v>29.67</v>
      </c>
      <c r="O38" s="3532">
        <v>2824</v>
      </c>
      <c r="P38" s="3464" t="s">
        <v>3624</v>
      </c>
      <c r="Q38" s="3559">
        <v>38579</v>
      </c>
      <c r="R38" s="3464"/>
      <c r="S38" s="3464" t="s">
        <v>3649</v>
      </c>
      <c r="T38" s="3507">
        <v>38583</v>
      </c>
      <c r="U38" s="3507"/>
      <c r="V38" s="3474" t="s">
        <v>3627</v>
      </c>
      <c r="W38" s="3464" t="s">
        <v>3396</v>
      </c>
      <c r="X38" s="3474" t="s">
        <v>3637</v>
      </c>
      <c r="Y38" s="3464" t="s">
        <v>3629</v>
      </c>
      <c r="Z38" s="3464"/>
      <c r="AA38" s="3474" t="e">
        <v>#DIV/0!</v>
      </c>
      <c r="AB38" s="3474" t="e">
        <v>#DIV/0!</v>
      </c>
    </row>
    <row r="39" spans="1:28">
      <c r="A39" s="3464" t="s">
        <v>3616</v>
      </c>
      <c r="B39" s="3464" t="s">
        <v>3617</v>
      </c>
      <c r="C39" s="3465" t="s">
        <v>3734</v>
      </c>
      <c r="D39" s="3471" t="s">
        <v>3639</v>
      </c>
      <c r="E39" s="3465">
        <v>301</v>
      </c>
      <c r="F39" s="3464" t="s">
        <v>3624</v>
      </c>
      <c r="G39" s="3478">
        <v>74.930000000000007</v>
      </c>
      <c r="H39" s="3465">
        <v>3</v>
      </c>
      <c r="I39" s="3491" t="s">
        <v>3500</v>
      </c>
      <c r="J39" s="3464"/>
      <c r="K39" s="3464" t="s">
        <v>3427</v>
      </c>
      <c r="L39" s="3532">
        <v>260000</v>
      </c>
      <c r="M39" s="3569">
        <v>3470</v>
      </c>
      <c r="N39" s="3473">
        <v>21.62</v>
      </c>
      <c r="O39" s="3532">
        <v>2886</v>
      </c>
      <c r="P39" s="3464" t="s">
        <v>3624</v>
      </c>
      <c r="Q39" s="3559">
        <v>38580</v>
      </c>
      <c r="R39" s="3464"/>
      <c r="S39" s="3464" t="s">
        <v>3649</v>
      </c>
      <c r="T39" s="3507">
        <v>38582</v>
      </c>
      <c r="U39" s="3507"/>
      <c r="V39" s="3474" t="s">
        <v>3627</v>
      </c>
      <c r="W39" s="3464" t="s">
        <v>3396</v>
      </c>
      <c r="X39" s="3474" t="s">
        <v>3637</v>
      </c>
      <c r="Y39" s="3464" t="s">
        <v>3629</v>
      </c>
      <c r="Z39" s="3464"/>
      <c r="AA39" s="3474" t="e">
        <v>#DIV/0!</v>
      </c>
      <c r="AB39" s="3474" t="e">
        <v>#DIV/0!</v>
      </c>
    </row>
    <row r="40" spans="1:28">
      <c r="A40" s="3464" t="s">
        <v>3616</v>
      </c>
      <c r="B40" s="3464" t="s">
        <v>3617</v>
      </c>
      <c r="C40" s="3465" t="s">
        <v>3693</v>
      </c>
      <c r="D40" s="3471" t="s">
        <v>3639</v>
      </c>
      <c r="E40" s="3465">
        <v>101</v>
      </c>
      <c r="F40" s="3464" t="s">
        <v>3735</v>
      </c>
      <c r="G40" s="3478">
        <v>75.02</v>
      </c>
      <c r="H40" s="3465">
        <v>1</v>
      </c>
      <c r="I40" s="3464" t="s">
        <v>3622</v>
      </c>
      <c r="J40" s="3464"/>
      <c r="K40" s="3464" t="s">
        <v>3427</v>
      </c>
      <c r="L40" s="3532">
        <v>240000</v>
      </c>
      <c r="M40" s="3568">
        <v>3199</v>
      </c>
      <c r="N40" s="3473">
        <v>20.82</v>
      </c>
      <c r="O40" s="3464">
        <v>2776</v>
      </c>
      <c r="P40" s="3464" t="s">
        <v>3623</v>
      </c>
      <c r="Q40" s="3559">
        <v>38586</v>
      </c>
      <c r="R40" s="3471" t="s">
        <v>3625</v>
      </c>
      <c r="S40" s="3474" t="s">
        <v>3709</v>
      </c>
      <c r="T40" s="3536">
        <v>38588</v>
      </c>
      <c r="U40" s="3507"/>
      <c r="V40" s="3474" t="s">
        <v>3627</v>
      </c>
      <c r="W40" s="3464"/>
      <c r="X40" s="3464"/>
      <c r="Y40" s="3464"/>
      <c r="Z40" s="3464"/>
      <c r="AA40" s="3474" t="e">
        <v>#DIV/0!</v>
      </c>
      <c r="AB40" s="3474" t="e">
        <v>#DIV/0!</v>
      </c>
    </row>
    <row r="41" spans="1:28">
      <c r="A41" s="3464" t="s">
        <v>3616</v>
      </c>
      <c r="B41" s="3464" t="s">
        <v>3617</v>
      </c>
      <c r="C41" s="3465" t="s">
        <v>3733</v>
      </c>
      <c r="D41" s="3471" t="s">
        <v>3619</v>
      </c>
      <c r="E41" s="3465">
        <v>202</v>
      </c>
      <c r="F41" s="3464" t="s">
        <v>3624</v>
      </c>
      <c r="G41" s="3478">
        <v>73.56</v>
      </c>
      <c r="H41" s="3465">
        <v>2</v>
      </c>
      <c r="I41" s="3464" t="s">
        <v>3622</v>
      </c>
      <c r="J41" s="3464"/>
      <c r="K41" s="3464" t="s">
        <v>3427</v>
      </c>
      <c r="L41" s="3532">
        <v>260000</v>
      </c>
      <c r="M41" s="3568">
        <v>3535</v>
      </c>
      <c r="N41" s="3473">
        <v>23.14</v>
      </c>
      <c r="O41" s="3464">
        <v>3147</v>
      </c>
      <c r="P41" s="3464" t="s">
        <v>3624</v>
      </c>
      <c r="Q41" s="3559">
        <v>38588</v>
      </c>
      <c r="R41" s="3471" t="s">
        <v>3624</v>
      </c>
      <c r="S41" s="3464" t="s">
        <v>3709</v>
      </c>
      <c r="T41" s="3536">
        <v>38594</v>
      </c>
      <c r="U41" s="3507"/>
      <c r="V41" s="3474"/>
      <c r="W41" s="3464"/>
      <c r="X41" s="3464"/>
      <c r="Y41" s="3464"/>
      <c r="Z41" s="3464"/>
      <c r="AA41" s="3474" t="e">
        <v>#DIV/0!</v>
      </c>
      <c r="AB41" s="3474" t="e">
        <v>#DIV/0!</v>
      </c>
    </row>
    <row r="42" spans="1:28">
      <c r="A42" s="3464" t="s">
        <v>3616</v>
      </c>
      <c r="B42" s="3464" t="s">
        <v>3617</v>
      </c>
      <c r="C42" s="3465" t="s">
        <v>3736</v>
      </c>
      <c r="D42" s="3471" t="s">
        <v>3697</v>
      </c>
      <c r="E42" s="3465">
        <v>201</v>
      </c>
      <c r="F42" s="3464" t="s">
        <v>3624</v>
      </c>
      <c r="G42" s="3478">
        <v>74.94</v>
      </c>
      <c r="H42" s="3465">
        <v>2</v>
      </c>
      <c r="I42" s="3464" t="s">
        <v>3622</v>
      </c>
      <c r="J42" s="3464"/>
      <c r="K42" s="3464" t="s">
        <v>3427</v>
      </c>
      <c r="L42" s="3532">
        <v>220000</v>
      </c>
      <c r="M42" s="3568">
        <v>2936</v>
      </c>
      <c r="N42" s="3473">
        <v>20.8</v>
      </c>
      <c r="O42" s="3464">
        <v>2776</v>
      </c>
      <c r="P42" s="3464" t="s">
        <v>3624</v>
      </c>
      <c r="Q42" s="3559">
        <v>38594</v>
      </c>
      <c r="R42" s="3471" t="s">
        <v>3624</v>
      </c>
      <c r="S42" s="3464" t="s">
        <v>3709</v>
      </c>
      <c r="T42" s="3536">
        <v>38595</v>
      </c>
      <c r="U42" s="3507"/>
      <c r="V42" s="3474"/>
      <c r="W42" s="3464"/>
      <c r="X42" s="3464"/>
      <c r="Y42" s="3464"/>
      <c r="Z42" s="3464"/>
      <c r="AA42" s="3474" t="e">
        <v>#DIV/0!</v>
      </c>
      <c r="AB42" s="3474" t="e">
        <v>#DIV/0!</v>
      </c>
    </row>
    <row r="43" spans="1:28">
      <c r="A43" s="3464" t="s">
        <v>3616</v>
      </c>
      <c r="B43" s="3464" t="s">
        <v>3617</v>
      </c>
      <c r="C43" s="3465" t="s">
        <v>3691</v>
      </c>
      <c r="D43" s="3471" t="s">
        <v>3647</v>
      </c>
      <c r="E43" s="3465">
        <v>401</v>
      </c>
      <c r="F43" s="3464" t="s">
        <v>3624</v>
      </c>
      <c r="G43" s="3478">
        <v>78.25</v>
      </c>
      <c r="H43" s="3465">
        <v>4</v>
      </c>
      <c r="I43" s="3464" t="s">
        <v>3622</v>
      </c>
      <c r="J43" s="3464"/>
      <c r="K43" s="3464" t="s">
        <v>3427</v>
      </c>
      <c r="L43" s="3532">
        <v>250000</v>
      </c>
      <c r="M43" s="3568">
        <v>3195</v>
      </c>
      <c r="N43" s="3473">
        <v>21.71</v>
      </c>
      <c r="O43" s="3464">
        <v>2775</v>
      </c>
      <c r="P43" s="3474" t="s">
        <v>3623</v>
      </c>
      <c r="Q43" s="3560">
        <v>38600</v>
      </c>
      <c r="R43" s="3471" t="s">
        <v>3624</v>
      </c>
      <c r="S43" s="3464" t="s">
        <v>3709</v>
      </c>
      <c r="T43" s="3536">
        <v>38602</v>
      </c>
      <c r="U43" s="3507"/>
      <c r="V43" s="3474"/>
      <c r="W43" s="3464"/>
      <c r="X43" s="3464"/>
      <c r="Y43" s="3464"/>
      <c r="Z43" s="3464"/>
      <c r="AA43" s="3474" t="e">
        <v>#DIV/0!</v>
      </c>
      <c r="AB43" s="3474" t="e">
        <v>#DIV/0!</v>
      </c>
    </row>
    <row r="44" spans="1:28" s="3584" customFormat="1">
      <c r="A44" s="3574" t="s">
        <v>3616</v>
      </c>
      <c r="B44" s="3574" t="s">
        <v>3617</v>
      </c>
      <c r="C44" s="3575" t="s">
        <v>3737</v>
      </c>
      <c r="D44" s="3576" t="s">
        <v>3619</v>
      </c>
      <c r="E44" s="3575">
        <v>601</v>
      </c>
      <c r="F44" s="3574" t="s">
        <v>3624</v>
      </c>
      <c r="G44" s="3577">
        <v>69.02</v>
      </c>
      <c r="H44" s="3575">
        <v>6</v>
      </c>
      <c r="I44" s="3574" t="s">
        <v>3656</v>
      </c>
      <c r="J44" s="3574"/>
      <c r="K44" s="3574" t="s">
        <v>3427</v>
      </c>
      <c r="L44" s="3578">
        <v>200000</v>
      </c>
      <c r="M44" s="3574">
        <v>2898</v>
      </c>
      <c r="N44" s="3579">
        <v>18.77</v>
      </c>
      <c r="O44" s="3574">
        <v>2720</v>
      </c>
      <c r="P44" s="3580" t="s">
        <v>3623</v>
      </c>
      <c r="Q44" s="3581">
        <v>38607</v>
      </c>
      <c r="R44" s="3576" t="s">
        <v>3624</v>
      </c>
      <c r="S44" s="3574" t="s">
        <v>3709</v>
      </c>
      <c r="T44" s="3582">
        <v>38608</v>
      </c>
      <c r="U44" s="3583"/>
      <c r="V44" s="3574" t="s">
        <v>3625</v>
      </c>
      <c r="W44" s="3574"/>
      <c r="X44" s="3574"/>
      <c r="Y44" s="3574"/>
      <c r="Z44" s="3574"/>
      <c r="AA44" s="3580" t="e">
        <v>#DIV/0!</v>
      </c>
      <c r="AB44" s="3580" t="e">
        <v>#DIV/0!</v>
      </c>
    </row>
    <row r="45" spans="1:28">
      <c r="A45" s="3464" t="s">
        <v>3616</v>
      </c>
      <c r="B45" s="3464" t="s">
        <v>3617</v>
      </c>
      <c r="C45" s="3465" t="s">
        <v>3710</v>
      </c>
      <c r="D45" s="3471" t="s">
        <v>3619</v>
      </c>
      <c r="E45" s="3465">
        <v>301</v>
      </c>
      <c r="F45" s="3464" t="s">
        <v>3624</v>
      </c>
      <c r="G45" s="3478">
        <v>107.66</v>
      </c>
      <c r="H45" s="3465">
        <v>3</v>
      </c>
      <c r="I45" s="3464" t="s">
        <v>3668</v>
      </c>
      <c r="J45" s="3464"/>
      <c r="K45" s="3464" t="s">
        <v>3427</v>
      </c>
      <c r="L45" s="3532">
        <v>200000</v>
      </c>
      <c r="M45" s="3568">
        <v>1858</v>
      </c>
      <c r="N45" s="3473">
        <v>23.96</v>
      </c>
      <c r="O45" s="3464">
        <v>2226</v>
      </c>
      <c r="P45" s="3474" t="s">
        <v>3623</v>
      </c>
      <c r="Q45" s="3557">
        <v>38614</v>
      </c>
      <c r="R45" s="3471" t="s">
        <v>3624</v>
      </c>
      <c r="S45" s="3464" t="s">
        <v>3709</v>
      </c>
      <c r="T45" s="3536">
        <v>38616</v>
      </c>
      <c r="U45" s="3507"/>
      <c r="V45" s="3474"/>
      <c r="W45" s="3464"/>
      <c r="X45" s="3464"/>
      <c r="Y45" s="3464"/>
      <c r="Z45" s="3464"/>
      <c r="AA45" s="3474" t="e">
        <v>#DIV/0!</v>
      </c>
      <c r="AB45" s="3474" t="e">
        <v>#DIV/0!</v>
      </c>
    </row>
    <row r="46" spans="1:28">
      <c r="A46" s="3464" t="s">
        <v>3616</v>
      </c>
      <c r="B46" s="3464" t="s">
        <v>3617</v>
      </c>
      <c r="C46" s="3465" t="s">
        <v>3738</v>
      </c>
      <c r="D46" s="3471" t="s">
        <v>3647</v>
      </c>
      <c r="E46" s="3465">
        <v>401</v>
      </c>
      <c r="F46" s="3464" t="s">
        <v>3624</v>
      </c>
      <c r="G46" s="3478">
        <v>80.05</v>
      </c>
      <c r="H46" s="3465">
        <v>4</v>
      </c>
      <c r="I46" s="3464" t="s">
        <v>3668</v>
      </c>
      <c r="J46" s="3464"/>
      <c r="K46" s="3464" t="s">
        <v>3427</v>
      </c>
      <c r="L46" s="3532">
        <v>230000</v>
      </c>
      <c r="M46" s="3568">
        <v>2873</v>
      </c>
      <c r="N46" s="3473">
        <v>22.21</v>
      </c>
      <c r="O46" s="3464">
        <v>2775</v>
      </c>
      <c r="P46" s="3474" t="s">
        <v>3623</v>
      </c>
      <c r="Q46" s="3560">
        <v>38611</v>
      </c>
      <c r="R46" s="3471" t="s">
        <v>3624</v>
      </c>
      <c r="S46" s="3464" t="s">
        <v>3709</v>
      </c>
      <c r="T46" s="3536">
        <v>38616</v>
      </c>
      <c r="U46" s="3507"/>
      <c r="V46" s="3474"/>
      <c r="W46" s="3464"/>
      <c r="X46" s="3464"/>
      <c r="Y46" s="3464"/>
      <c r="Z46" s="3464"/>
      <c r="AA46" s="3474" t="e">
        <v>#DIV/0!</v>
      </c>
      <c r="AB46" s="3474" t="e">
        <v>#DIV/0!</v>
      </c>
    </row>
    <row r="47" spans="1:28">
      <c r="A47" s="3464" t="s">
        <v>3616</v>
      </c>
      <c r="B47" s="3464" t="s">
        <v>3617</v>
      </c>
      <c r="C47" s="3465" t="s">
        <v>3733</v>
      </c>
      <c r="D47" s="3471" t="s">
        <v>3639</v>
      </c>
      <c r="E47" s="3465">
        <v>401</v>
      </c>
      <c r="F47" s="3464" t="s">
        <v>3624</v>
      </c>
      <c r="G47" s="3478">
        <v>105.09</v>
      </c>
      <c r="H47" s="3465">
        <v>4</v>
      </c>
      <c r="I47" s="3471" t="s">
        <v>3668</v>
      </c>
      <c r="J47" s="3464"/>
      <c r="K47" s="3464" t="s">
        <v>3427</v>
      </c>
      <c r="L47" s="3532">
        <v>375000</v>
      </c>
      <c r="M47" s="3568">
        <v>3568</v>
      </c>
      <c r="N47" s="3473">
        <v>28.87</v>
      </c>
      <c r="O47" s="3464">
        <v>2748</v>
      </c>
      <c r="P47" s="3474" t="s">
        <v>3623</v>
      </c>
      <c r="Q47" s="3559">
        <v>38609</v>
      </c>
      <c r="R47" s="3464"/>
      <c r="S47" s="3533" t="s">
        <v>3709</v>
      </c>
      <c r="T47" s="3507">
        <v>38616</v>
      </c>
      <c r="U47" s="3507"/>
      <c r="V47" s="3464" t="s">
        <v>3625</v>
      </c>
      <c r="W47" s="3464"/>
      <c r="X47" s="3464"/>
      <c r="Y47" s="3474"/>
      <c r="Z47" s="3464"/>
      <c r="AA47" s="3474" t="e">
        <v>#DIV/0!</v>
      </c>
      <c r="AB47" s="3474" t="e">
        <v>#DIV/0!</v>
      </c>
    </row>
    <row r="48" spans="1:28" s="3497" customFormat="1">
      <c r="A48" s="3464" t="s">
        <v>3616</v>
      </c>
      <c r="B48" s="3476" t="s">
        <v>3617</v>
      </c>
      <c r="C48" s="3464" t="s">
        <v>3660</v>
      </c>
      <c r="D48" s="3464" t="s">
        <v>3697</v>
      </c>
      <c r="E48" s="3464">
        <v>602</v>
      </c>
      <c r="F48" s="3464" t="s">
        <v>3739</v>
      </c>
      <c r="G48" s="3478">
        <v>108.03</v>
      </c>
      <c r="H48" s="3464">
        <v>6</v>
      </c>
      <c r="I48" s="3464" t="s">
        <v>3668</v>
      </c>
      <c r="J48" s="3464"/>
      <c r="K48" s="3464" t="s">
        <v>3427</v>
      </c>
      <c r="L48" s="3532">
        <v>315000</v>
      </c>
      <c r="M48" s="3568">
        <v>2916</v>
      </c>
      <c r="N48" s="3473">
        <v>28.66</v>
      </c>
      <c r="O48" s="3464">
        <v>2653</v>
      </c>
      <c r="P48" s="3474" t="s">
        <v>3624</v>
      </c>
      <c r="Q48" s="3560">
        <v>38618</v>
      </c>
      <c r="R48" s="3474"/>
      <c r="S48" s="3464" t="s">
        <v>3649</v>
      </c>
      <c r="T48" s="3536">
        <v>38623</v>
      </c>
      <c r="U48" s="3536"/>
      <c r="V48" s="3474" t="s">
        <v>3659</v>
      </c>
      <c r="W48" s="3465" t="s">
        <v>3396</v>
      </c>
      <c r="X48" s="3474" t="s">
        <v>3637</v>
      </c>
      <c r="Y48" s="3474" t="s">
        <v>3665</v>
      </c>
      <c r="Z48" s="3474"/>
      <c r="AA48" s="3474" t="e">
        <v>#DIV/0!</v>
      </c>
      <c r="AB48" s="3474" t="e">
        <v>#DIV/0!</v>
      </c>
    </row>
    <row r="49" spans="1:28">
      <c r="A49" s="3464" t="s">
        <v>3616</v>
      </c>
      <c r="B49" s="3476" t="s">
        <v>3617</v>
      </c>
      <c r="C49" s="3464" t="s">
        <v>3660</v>
      </c>
      <c r="D49" s="3464" t="s">
        <v>3619</v>
      </c>
      <c r="E49" s="3464">
        <v>101</v>
      </c>
      <c r="F49" s="3464" t="s">
        <v>3740</v>
      </c>
      <c r="G49" s="3478">
        <v>120.65</v>
      </c>
      <c r="H49" s="3464">
        <v>1</v>
      </c>
      <c r="I49" s="3464" t="s">
        <v>3702</v>
      </c>
      <c r="J49" s="3464"/>
      <c r="K49" s="3464" t="s">
        <v>3427</v>
      </c>
      <c r="L49" s="3532">
        <v>400000</v>
      </c>
      <c r="M49" s="3568">
        <v>3315</v>
      </c>
      <c r="N49" s="3473">
        <v>34.85</v>
      </c>
      <c r="O49" s="3464">
        <v>2889</v>
      </c>
      <c r="P49" s="3474" t="s">
        <v>3624</v>
      </c>
      <c r="Q49" s="3560">
        <v>38621</v>
      </c>
      <c r="R49" s="3474"/>
      <c r="S49" s="3464" t="s">
        <v>3649</v>
      </c>
      <c r="T49" s="3536">
        <v>38623</v>
      </c>
      <c r="U49" s="3536"/>
      <c r="V49" s="3474" t="s">
        <v>3659</v>
      </c>
      <c r="W49" s="3465" t="s">
        <v>3396</v>
      </c>
      <c r="X49" s="3474" t="s">
        <v>3637</v>
      </c>
      <c r="Y49" s="3474" t="s">
        <v>3665</v>
      </c>
      <c r="Z49" s="3474"/>
      <c r="AA49" s="3474" t="e">
        <v>#DIV/0!</v>
      </c>
      <c r="AB49" s="3474" t="e">
        <v>#DIV/0!</v>
      </c>
    </row>
    <row r="50" spans="1:28">
      <c r="A50" s="3464" t="s">
        <v>3616</v>
      </c>
      <c r="B50" s="3476" t="s">
        <v>3617</v>
      </c>
      <c r="C50" s="3464" t="s">
        <v>3741</v>
      </c>
      <c r="D50" s="3464" t="s">
        <v>3647</v>
      </c>
      <c r="E50" s="3464">
        <v>301</v>
      </c>
      <c r="F50" s="3464" t="s">
        <v>3742</v>
      </c>
      <c r="G50" s="3478">
        <v>76.430000000000007</v>
      </c>
      <c r="H50" s="3464">
        <v>3</v>
      </c>
      <c r="I50" s="3471" t="s">
        <v>3622</v>
      </c>
      <c r="J50" s="3464"/>
      <c r="K50" s="3464" t="s">
        <v>3427</v>
      </c>
      <c r="L50" s="3532">
        <v>250000</v>
      </c>
      <c r="M50" s="3568">
        <v>3271</v>
      </c>
      <c r="N50" s="3473">
        <v>21.64</v>
      </c>
      <c r="O50" s="3464">
        <v>2832</v>
      </c>
      <c r="P50" s="3474" t="s">
        <v>3624</v>
      </c>
      <c r="Q50" s="3560">
        <v>38621</v>
      </c>
      <c r="R50" s="3474"/>
      <c r="S50" s="3464" t="s">
        <v>3649</v>
      </c>
      <c r="T50" s="3536">
        <v>38633</v>
      </c>
      <c r="U50" s="3536"/>
      <c r="V50" s="3474" t="s">
        <v>3659</v>
      </c>
      <c r="W50" s="3465" t="s">
        <v>3396</v>
      </c>
      <c r="X50" s="3474" t="s">
        <v>3637</v>
      </c>
      <c r="Y50" s="3474" t="s">
        <v>3665</v>
      </c>
      <c r="Z50" s="3474"/>
      <c r="AA50" s="3474" t="e">
        <v>#DIV/0!</v>
      </c>
      <c r="AB50" s="3474" t="e">
        <v>#DIV/0!</v>
      </c>
    </row>
    <row r="51" spans="1:28" s="3584" customFormat="1">
      <c r="A51" s="3574" t="s">
        <v>3616</v>
      </c>
      <c r="B51" s="3585" t="s">
        <v>3617</v>
      </c>
      <c r="C51" s="3574" t="s">
        <v>3743</v>
      </c>
      <c r="D51" s="3574" t="s">
        <v>3744</v>
      </c>
      <c r="E51" s="3574">
        <v>601</v>
      </c>
      <c r="F51" s="3574" t="s">
        <v>3745</v>
      </c>
      <c r="G51" s="3577">
        <v>76.17</v>
      </c>
      <c r="H51" s="3574">
        <v>6</v>
      </c>
      <c r="I51" s="3576" t="s">
        <v>3622</v>
      </c>
      <c r="J51" s="3574"/>
      <c r="K51" s="3574" t="s">
        <v>3427</v>
      </c>
      <c r="L51" s="3578">
        <v>190000</v>
      </c>
      <c r="M51" s="3574">
        <v>2494</v>
      </c>
      <c r="N51" s="3579">
        <v>18.670000000000002</v>
      </c>
      <c r="O51" s="3574">
        <v>2452</v>
      </c>
      <c r="P51" s="3580" t="s">
        <v>3624</v>
      </c>
      <c r="Q51" s="3582">
        <v>38634</v>
      </c>
      <c r="R51" s="3580"/>
      <c r="S51" s="3574" t="s">
        <v>3649</v>
      </c>
      <c r="T51" s="3586">
        <v>38635</v>
      </c>
      <c r="U51" s="3586"/>
      <c r="V51" s="3580" t="s">
        <v>3659</v>
      </c>
      <c r="W51" s="3575" t="s">
        <v>3396</v>
      </c>
      <c r="X51" s="3580" t="s">
        <v>3637</v>
      </c>
      <c r="Y51" s="3580" t="s">
        <v>3665</v>
      </c>
      <c r="Z51" s="3580"/>
      <c r="AA51" s="3580" t="e">
        <v>#DIV/0!</v>
      </c>
      <c r="AB51" s="3580" t="e">
        <v>#DIV/0!</v>
      </c>
    </row>
    <row r="52" spans="1:28">
      <c r="A52" s="3464" t="s">
        <v>3616</v>
      </c>
      <c r="B52" s="3464" t="s">
        <v>3617</v>
      </c>
      <c r="C52" s="3465" t="s">
        <v>3696</v>
      </c>
      <c r="D52" s="3471"/>
      <c r="E52" s="3465">
        <v>403</v>
      </c>
      <c r="F52" s="3464" t="s">
        <v>3624</v>
      </c>
      <c r="G52" s="3478">
        <v>65.8</v>
      </c>
      <c r="H52" s="3465">
        <v>4</v>
      </c>
      <c r="I52" s="3464" t="s">
        <v>3746</v>
      </c>
      <c r="J52" s="3464"/>
      <c r="K52" s="3464" t="s">
        <v>3427</v>
      </c>
      <c r="L52" s="3532">
        <v>100000</v>
      </c>
      <c r="M52" s="3568">
        <v>1520</v>
      </c>
      <c r="N52" s="3473">
        <v>14.34</v>
      </c>
      <c r="O52" s="3464">
        <v>2180</v>
      </c>
      <c r="P52" s="3464" t="s">
        <v>3623</v>
      </c>
      <c r="Q52" s="3559">
        <v>38633</v>
      </c>
      <c r="R52" s="3471" t="s">
        <v>3624</v>
      </c>
      <c r="S52" s="3474" t="s">
        <v>3709</v>
      </c>
      <c r="T52" s="3507">
        <v>38637</v>
      </c>
      <c r="U52" s="3507"/>
      <c r="V52" s="3474"/>
      <c r="W52" s="3464"/>
      <c r="X52" s="3464"/>
      <c r="Y52" s="3464"/>
      <c r="Z52" s="3464"/>
      <c r="AA52" s="3474" t="e">
        <v>#DIV/0!</v>
      </c>
      <c r="AB52" s="3474" t="e">
        <v>#DIV/0!</v>
      </c>
    </row>
    <row r="53" spans="1:28">
      <c r="A53" s="3464" t="s">
        <v>3616</v>
      </c>
      <c r="B53" s="3464" t="s">
        <v>3617</v>
      </c>
      <c r="C53" s="3465" t="s">
        <v>3666</v>
      </c>
      <c r="D53" s="3471" t="s">
        <v>3654</v>
      </c>
      <c r="E53" s="3465">
        <v>501</v>
      </c>
      <c r="F53" s="3464" t="s">
        <v>3624</v>
      </c>
      <c r="G53" s="3478">
        <v>79.930000000000007</v>
      </c>
      <c r="H53" s="3465">
        <v>5</v>
      </c>
      <c r="I53" s="3464" t="s">
        <v>3622</v>
      </c>
      <c r="J53" s="3464"/>
      <c r="K53" s="3464" t="s">
        <v>3427</v>
      </c>
      <c r="L53" s="3532">
        <v>238000</v>
      </c>
      <c r="M53" s="3568">
        <v>2978</v>
      </c>
      <c r="N53" s="3473">
        <v>21.89</v>
      </c>
      <c r="O53" s="3464">
        <v>2739</v>
      </c>
      <c r="P53" s="3474" t="s">
        <v>3623</v>
      </c>
      <c r="Q53" s="3557">
        <v>38633</v>
      </c>
      <c r="R53" s="3471" t="s">
        <v>3624</v>
      </c>
      <c r="S53" s="3464" t="s">
        <v>3709</v>
      </c>
      <c r="T53" s="3536">
        <v>38645</v>
      </c>
      <c r="U53" s="3507"/>
      <c r="V53" s="3474"/>
      <c r="W53" s="3464"/>
      <c r="X53" s="3464"/>
      <c r="Y53" s="3464"/>
      <c r="Z53" s="3464"/>
      <c r="AA53" s="3474" t="e">
        <v>#DIV/0!</v>
      </c>
      <c r="AB53" s="3474" t="e">
        <v>#DIV/0!</v>
      </c>
    </row>
    <row r="54" spans="1:28">
      <c r="A54" s="3464" t="s">
        <v>3616</v>
      </c>
      <c r="B54" s="3464" t="s">
        <v>3617</v>
      </c>
      <c r="C54" s="3465" t="s">
        <v>3710</v>
      </c>
      <c r="D54" s="3471" t="s">
        <v>3683</v>
      </c>
      <c r="E54" s="3465">
        <v>301</v>
      </c>
      <c r="F54" s="3464" t="s">
        <v>3624</v>
      </c>
      <c r="G54" s="3478">
        <v>95.79</v>
      </c>
      <c r="H54" s="3465">
        <v>3</v>
      </c>
      <c r="I54" s="3464" t="s">
        <v>3622</v>
      </c>
      <c r="J54" s="3464"/>
      <c r="K54" s="3464" t="s">
        <v>3427</v>
      </c>
      <c r="L54" s="3532">
        <v>245000</v>
      </c>
      <c r="M54" s="3568">
        <v>2558</v>
      </c>
      <c r="N54" s="3473">
        <v>23.87</v>
      </c>
      <c r="O54" s="3464">
        <v>2492</v>
      </c>
      <c r="P54" s="3474" t="s">
        <v>3623</v>
      </c>
      <c r="Q54" s="3557">
        <v>38635</v>
      </c>
      <c r="R54" s="3471" t="s">
        <v>3624</v>
      </c>
      <c r="S54" s="3464" t="s">
        <v>3709</v>
      </c>
      <c r="T54" s="3536">
        <v>38645</v>
      </c>
      <c r="U54" s="3507"/>
      <c r="V54" s="3474"/>
      <c r="W54" s="3464"/>
      <c r="X54" s="3464"/>
      <c r="Y54" s="3464"/>
      <c r="Z54" s="3464"/>
      <c r="AA54" s="3474" t="e">
        <v>#DIV/0!</v>
      </c>
      <c r="AB54" s="3474" t="e">
        <v>#DIV/0!</v>
      </c>
    </row>
    <row r="55" spans="1:28">
      <c r="A55" s="3464" t="s">
        <v>3616</v>
      </c>
      <c r="B55" s="3464" t="s">
        <v>3617</v>
      </c>
      <c r="C55" s="3465" t="s">
        <v>3747</v>
      </c>
      <c r="D55" s="3471" t="s">
        <v>3639</v>
      </c>
      <c r="E55" s="3465">
        <v>301</v>
      </c>
      <c r="F55" s="3464" t="s">
        <v>3624</v>
      </c>
      <c r="G55" s="3478">
        <v>64.86</v>
      </c>
      <c r="H55" s="3465">
        <v>3</v>
      </c>
      <c r="I55" s="3464" t="s">
        <v>3622</v>
      </c>
      <c r="J55" s="3464"/>
      <c r="K55" s="3464" t="s">
        <v>3427</v>
      </c>
      <c r="L55" s="3532">
        <v>220000</v>
      </c>
      <c r="M55" s="3568">
        <v>3392</v>
      </c>
      <c r="N55" s="3473">
        <v>18.64</v>
      </c>
      <c r="O55" s="3464">
        <v>2875</v>
      </c>
      <c r="P55" s="3464" t="s">
        <v>3623</v>
      </c>
      <c r="Q55" s="3559">
        <v>38637</v>
      </c>
      <c r="R55" s="3471" t="s">
        <v>3624</v>
      </c>
      <c r="S55" s="3471" t="s">
        <v>3649</v>
      </c>
      <c r="T55" s="3536">
        <v>38644</v>
      </c>
      <c r="U55" s="3507"/>
      <c r="V55" s="3464" t="s">
        <v>3627</v>
      </c>
      <c r="W55" s="3464" t="s">
        <v>3651</v>
      </c>
      <c r="X55" s="3474" t="s">
        <v>3713</v>
      </c>
      <c r="Y55" s="3464" t="s">
        <v>3645</v>
      </c>
      <c r="Z55" s="3474"/>
      <c r="AA55" s="3474" t="e">
        <v>#DIV/0!</v>
      </c>
      <c r="AB55" s="3474" t="e">
        <v>#DIV/0!</v>
      </c>
    </row>
    <row r="56" spans="1:28" s="3584" customFormat="1">
      <c r="A56" s="3574" t="s">
        <v>3616</v>
      </c>
      <c r="B56" s="3585" t="s">
        <v>3617</v>
      </c>
      <c r="C56" s="3574" t="s">
        <v>3748</v>
      </c>
      <c r="D56" s="3574" t="s">
        <v>3697</v>
      </c>
      <c r="E56" s="3574">
        <v>602</v>
      </c>
      <c r="F56" s="3574" t="s">
        <v>3428</v>
      </c>
      <c r="G56" s="3577">
        <v>64.83</v>
      </c>
      <c r="H56" s="3574">
        <v>6</v>
      </c>
      <c r="I56" s="3574" t="s">
        <v>3622</v>
      </c>
      <c r="J56" s="3574"/>
      <c r="K56" s="3574" t="s">
        <v>3427</v>
      </c>
      <c r="L56" s="3578">
        <v>172000</v>
      </c>
      <c r="M56" s="3574">
        <v>2653</v>
      </c>
      <c r="N56" s="3579">
        <v>16.899999999999999</v>
      </c>
      <c r="O56" s="3574">
        <v>2607</v>
      </c>
      <c r="P56" s="3580" t="s">
        <v>3624</v>
      </c>
      <c r="Q56" s="3582">
        <v>38645</v>
      </c>
      <c r="R56" s="3580"/>
      <c r="S56" s="3587" t="s">
        <v>3677</v>
      </c>
      <c r="T56" s="3586">
        <v>38651</v>
      </c>
      <c r="U56" s="3586"/>
      <c r="V56" s="3574" t="s">
        <v>3749</v>
      </c>
      <c r="W56" s="3580" t="s">
        <v>3651</v>
      </c>
      <c r="X56" s="3580" t="s">
        <v>3644</v>
      </c>
      <c r="Y56" s="3580" t="s">
        <v>3714</v>
      </c>
      <c r="Z56" s="3580"/>
      <c r="AA56" s="3580"/>
      <c r="AB56" s="3580"/>
    </row>
    <row r="57" spans="1:28">
      <c r="A57" s="3464" t="s">
        <v>3616</v>
      </c>
      <c r="B57" s="3464" t="s">
        <v>3617</v>
      </c>
      <c r="C57" s="3465" t="s">
        <v>3741</v>
      </c>
      <c r="D57" s="3471" t="s">
        <v>3619</v>
      </c>
      <c r="E57" s="3465">
        <v>401</v>
      </c>
      <c r="F57" s="3464" t="s">
        <v>3624</v>
      </c>
      <c r="G57" s="3478">
        <v>76.430000000000007</v>
      </c>
      <c r="H57" s="3465">
        <v>4</v>
      </c>
      <c r="I57" s="3464" t="s">
        <v>3622</v>
      </c>
      <c r="J57" s="3464"/>
      <c r="K57" s="3464" t="s">
        <v>3427</v>
      </c>
      <c r="L57" s="3532">
        <v>270000</v>
      </c>
      <c r="M57" s="3568">
        <v>3533</v>
      </c>
      <c r="N57" s="3473">
        <v>21.2</v>
      </c>
      <c r="O57" s="3464">
        <v>2775</v>
      </c>
      <c r="P57" s="3474" t="s">
        <v>3623</v>
      </c>
      <c r="Q57" s="3557">
        <v>38651</v>
      </c>
      <c r="R57" s="3471" t="s">
        <v>3624</v>
      </c>
      <c r="S57" s="3464" t="s">
        <v>3709</v>
      </c>
      <c r="T57" s="3536">
        <v>38656</v>
      </c>
      <c r="U57" s="3507"/>
      <c r="V57" s="3474"/>
      <c r="W57" s="3464"/>
      <c r="X57" s="3464"/>
      <c r="Y57" s="3464"/>
      <c r="Z57" s="3464"/>
      <c r="AA57" s="3474" t="e">
        <v>#DIV/0!</v>
      </c>
      <c r="AB57" s="3474" t="e">
        <v>#DIV/0!</v>
      </c>
    </row>
    <row r="58" spans="1:28">
      <c r="A58" s="3464" t="s">
        <v>3616</v>
      </c>
      <c r="B58" s="3464" t="s">
        <v>3617</v>
      </c>
      <c r="C58" s="3465" t="s">
        <v>3743</v>
      </c>
      <c r="D58" s="3471" t="s">
        <v>3750</v>
      </c>
      <c r="E58" s="3465">
        <v>402</v>
      </c>
      <c r="F58" s="3464" t="s">
        <v>3624</v>
      </c>
      <c r="G58" s="3478">
        <v>61.22</v>
      </c>
      <c r="H58" s="3465">
        <v>4</v>
      </c>
      <c r="I58" s="3464" t="s">
        <v>3656</v>
      </c>
      <c r="J58" s="3464"/>
      <c r="K58" s="3464" t="s">
        <v>3427</v>
      </c>
      <c r="L58" s="3532">
        <v>200000</v>
      </c>
      <c r="M58" s="3568">
        <v>3267</v>
      </c>
      <c r="N58" s="3473">
        <v>16.98</v>
      </c>
      <c r="O58" s="3464">
        <v>2775</v>
      </c>
      <c r="P58" s="3474" t="s">
        <v>3623</v>
      </c>
      <c r="Q58" s="3557">
        <v>38656</v>
      </c>
      <c r="R58" s="3471" t="s">
        <v>3624</v>
      </c>
      <c r="S58" s="3464" t="s">
        <v>3709</v>
      </c>
      <c r="T58" s="3536">
        <v>38658</v>
      </c>
      <c r="U58" s="3507"/>
      <c r="V58" s="3474"/>
      <c r="W58" s="3464"/>
      <c r="X58" s="3464"/>
      <c r="Y58" s="3464"/>
      <c r="Z58" s="3464"/>
      <c r="AA58" s="3474" t="e">
        <v>#DIV/0!</v>
      </c>
      <c r="AB58" s="3474" t="e">
        <v>#DIV/0!</v>
      </c>
    </row>
    <row r="59" spans="1:28">
      <c r="A59" s="3464" t="s">
        <v>3616</v>
      </c>
      <c r="B59" s="3464" t="s">
        <v>3617</v>
      </c>
      <c r="C59" s="3465" t="s">
        <v>3738</v>
      </c>
      <c r="D59" s="3471" t="s">
        <v>3639</v>
      </c>
      <c r="E59" s="3465">
        <v>302</v>
      </c>
      <c r="F59" s="3464" t="s">
        <v>3624</v>
      </c>
      <c r="G59" s="3478">
        <v>80.05</v>
      </c>
      <c r="H59" s="3465">
        <v>3</v>
      </c>
      <c r="I59" s="3464" t="s">
        <v>3668</v>
      </c>
      <c r="J59" s="3464"/>
      <c r="K59" s="3464" t="s">
        <v>3427</v>
      </c>
      <c r="L59" s="3532">
        <v>280000</v>
      </c>
      <c r="M59" s="3568">
        <v>3498</v>
      </c>
      <c r="N59" s="3473">
        <v>22.67</v>
      </c>
      <c r="O59" s="3464">
        <v>2832</v>
      </c>
      <c r="P59" s="3474" t="s">
        <v>3623</v>
      </c>
      <c r="Q59" s="3557">
        <v>38658</v>
      </c>
      <c r="R59" s="3471" t="s">
        <v>3624</v>
      </c>
      <c r="S59" s="3464" t="s">
        <v>3709</v>
      </c>
      <c r="T59" s="3536">
        <v>38660</v>
      </c>
      <c r="U59" s="3507"/>
      <c r="V59" s="3474"/>
      <c r="W59" s="3464"/>
      <c r="X59" s="3464"/>
      <c r="Y59" s="3464"/>
      <c r="Z59" s="3464"/>
      <c r="AA59" s="3474" t="e">
        <v>#DIV/0!</v>
      </c>
      <c r="AB59" s="3474" t="e">
        <v>#DIV/0!</v>
      </c>
    </row>
    <row r="60" spans="1:28">
      <c r="A60" s="3464" t="s">
        <v>3616</v>
      </c>
      <c r="B60" s="3464" t="s">
        <v>3617</v>
      </c>
      <c r="C60" s="3465" t="s">
        <v>3751</v>
      </c>
      <c r="D60" s="3471" t="s">
        <v>3639</v>
      </c>
      <c r="E60" s="3465">
        <v>102</v>
      </c>
      <c r="F60" s="3464" t="s">
        <v>3752</v>
      </c>
      <c r="G60" s="3478">
        <v>60.4</v>
      </c>
      <c r="H60" s="3465">
        <v>1</v>
      </c>
      <c r="I60" s="3464" t="s">
        <v>3622</v>
      </c>
      <c r="J60" s="3464"/>
      <c r="K60" s="3464" t="s">
        <v>3427</v>
      </c>
      <c r="L60" s="3532">
        <v>200000</v>
      </c>
      <c r="M60" s="3568">
        <v>3311</v>
      </c>
      <c r="N60" s="3473">
        <v>16.920000000000002</v>
      </c>
      <c r="O60" s="3464">
        <v>2802</v>
      </c>
      <c r="P60" s="3464" t="s">
        <v>3624</v>
      </c>
      <c r="Q60" s="3559">
        <v>38677</v>
      </c>
      <c r="R60" s="3471" t="s">
        <v>3624</v>
      </c>
      <c r="S60" s="3464" t="s">
        <v>3649</v>
      </c>
      <c r="T60" s="3536">
        <v>38680</v>
      </c>
      <c r="U60" s="3507"/>
      <c r="V60" s="3474" t="s">
        <v>3625</v>
      </c>
      <c r="W60" s="3464" t="s">
        <v>3753</v>
      </c>
      <c r="X60" s="3464" t="s">
        <v>3637</v>
      </c>
      <c r="Y60" s="3474" t="s">
        <v>3645</v>
      </c>
      <c r="Z60" s="3464"/>
      <c r="AA60" s="3474" t="e">
        <v>#DIV/0!</v>
      </c>
      <c r="AB60" s="3474" t="e">
        <v>#DIV/0!</v>
      </c>
    </row>
    <row r="61" spans="1:28">
      <c r="A61" s="3546" t="s">
        <v>3616</v>
      </c>
      <c r="B61" s="3546" t="s">
        <v>3617</v>
      </c>
      <c r="C61" s="3548" t="s">
        <v>3695</v>
      </c>
      <c r="D61" s="3549" t="s">
        <v>3654</v>
      </c>
      <c r="E61" s="3548">
        <v>302</v>
      </c>
      <c r="F61" s="3546" t="s">
        <v>3624</v>
      </c>
      <c r="G61" s="3550">
        <v>64.959999999999994</v>
      </c>
      <c r="H61" s="3548">
        <v>3</v>
      </c>
      <c r="I61" s="3549" t="s">
        <v>3656</v>
      </c>
      <c r="J61" s="3546"/>
      <c r="K61" s="3546" t="s">
        <v>3427</v>
      </c>
      <c r="L61" s="3551">
        <v>230000</v>
      </c>
      <c r="M61" s="3571">
        <v>3541</v>
      </c>
      <c r="N61" s="3467">
        <v>18.39</v>
      </c>
      <c r="O61" s="3546">
        <v>2832</v>
      </c>
      <c r="P61" s="3468" t="s">
        <v>3623</v>
      </c>
      <c r="Q61" s="3563">
        <v>38691</v>
      </c>
      <c r="R61" s="3549" t="s">
        <v>3624</v>
      </c>
      <c r="S61" s="3546" t="s">
        <v>3709</v>
      </c>
      <c r="T61" s="3552">
        <v>38693</v>
      </c>
      <c r="U61" s="3553"/>
      <c r="V61" s="3468"/>
      <c r="W61" s="3546"/>
      <c r="X61" s="3546"/>
      <c r="Y61" s="3546"/>
      <c r="Z61" s="3546"/>
      <c r="AA61" s="3468" t="e">
        <v>#DIV/0!</v>
      </c>
      <c r="AB61" s="3468" t="e">
        <v>#DIV/0!</v>
      </c>
    </row>
    <row r="62" spans="1:28">
      <c r="A62" s="3548" t="s">
        <v>3616</v>
      </c>
      <c r="B62" s="3546" t="s">
        <v>3617</v>
      </c>
      <c r="C62" s="3549" t="s">
        <v>3754</v>
      </c>
      <c r="D62" s="3549" t="s">
        <v>3697</v>
      </c>
      <c r="E62" s="3548">
        <v>402</v>
      </c>
      <c r="F62" s="3548" t="s">
        <v>3428</v>
      </c>
      <c r="G62" s="3548">
        <v>103.75</v>
      </c>
      <c r="H62" s="3548">
        <v>4</v>
      </c>
      <c r="I62" s="3546" t="s">
        <v>3668</v>
      </c>
      <c r="J62" s="3548"/>
      <c r="K62" s="3548" t="s">
        <v>3427</v>
      </c>
      <c r="L62" s="3548">
        <v>350000</v>
      </c>
      <c r="M62" s="3572">
        <v>3373</v>
      </c>
      <c r="N62" s="3467">
        <v>28.26</v>
      </c>
      <c r="O62" s="3551">
        <v>2724</v>
      </c>
      <c r="P62" s="3548" t="s">
        <v>3624</v>
      </c>
      <c r="Q62" s="3564">
        <v>38677</v>
      </c>
      <c r="R62" s="3548"/>
      <c r="S62" s="3546" t="s">
        <v>3677</v>
      </c>
      <c r="T62" s="3552">
        <v>38693</v>
      </c>
      <c r="U62" s="3555"/>
      <c r="V62" s="3546" t="s">
        <v>3625</v>
      </c>
      <c r="W62" s="3548" t="s">
        <v>3396</v>
      </c>
      <c r="X62" s="3548" t="s">
        <v>3644</v>
      </c>
      <c r="Y62" s="3548" t="s">
        <v>3755</v>
      </c>
      <c r="Z62" s="3548"/>
      <c r="AA62" s="3548"/>
      <c r="AB62" s="3548"/>
    </row>
    <row r="63" spans="1:28">
      <c r="A63" s="3546" t="s">
        <v>3616</v>
      </c>
      <c r="B63" s="3546" t="s">
        <v>3617</v>
      </c>
      <c r="C63" s="3548" t="s">
        <v>3704</v>
      </c>
      <c r="D63" s="3546" t="s">
        <v>3683</v>
      </c>
      <c r="E63" s="3548">
        <v>601</v>
      </c>
      <c r="F63" s="3546" t="s">
        <v>3624</v>
      </c>
      <c r="G63" s="3550">
        <v>64.849999999999994</v>
      </c>
      <c r="H63" s="3548">
        <v>6</v>
      </c>
      <c r="I63" s="3546" t="s">
        <v>3656</v>
      </c>
      <c r="J63" s="3546"/>
      <c r="K63" s="3546" t="s">
        <v>3427</v>
      </c>
      <c r="L63" s="3551">
        <v>200000</v>
      </c>
      <c r="M63" s="3571">
        <v>3084</v>
      </c>
      <c r="N63" s="3467">
        <v>17.63</v>
      </c>
      <c r="O63" s="3546">
        <v>2720</v>
      </c>
      <c r="P63" s="3468" t="s">
        <v>3623</v>
      </c>
      <c r="Q63" s="3564">
        <v>38694</v>
      </c>
      <c r="R63" s="3549" t="s">
        <v>3624</v>
      </c>
      <c r="S63" s="3546" t="s">
        <v>3709</v>
      </c>
      <c r="T63" s="3552">
        <v>38695</v>
      </c>
      <c r="U63" s="3553"/>
      <c r="V63" s="3468"/>
      <c r="W63" s="3546"/>
      <c r="X63" s="3546"/>
      <c r="Y63" s="3546"/>
      <c r="Z63" s="3546"/>
      <c r="AA63" s="3468" t="e">
        <v>#DIV/0!</v>
      </c>
      <c r="AB63" s="3468" t="e">
        <v>#DIV/0!</v>
      </c>
    </row>
    <row r="64" spans="1:28">
      <c r="A64" s="3546" t="s">
        <v>3616</v>
      </c>
      <c r="B64" s="3546" t="s">
        <v>3617</v>
      </c>
      <c r="C64" s="3548" t="s">
        <v>3733</v>
      </c>
      <c r="D64" s="3549" t="s">
        <v>3697</v>
      </c>
      <c r="E64" s="3548">
        <v>302</v>
      </c>
      <c r="F64" s="3546" t="s">
        <v>3756</v>
      </c>
      <c r="G64" s="3550">
        <v>105.09</v>
      </c>
      <c r="H64" s="3548">
        <v>3</v>
      </c>
      <c r="I64" s="3546" t="s">
        <v>3668</v>
      </c>
      <c r="J64" s="3546"/>
      <c r="K64" s="3546" t="s">
        <v>3427</v>
      </c>
      <c r="L64" s="3551">
        <v>300000</v>
      </c>
      <c r="M64" s="3568">
        <v>2855</v>
      </c>
      <c r="N64" s="3473">
        <v>29.95</v>
      </c>
      <c r="O64" s="3546">
        <v>2850</v>
      </c>
      <c r="P64" s="3468" t="s">
        <v>3623</v>
      </c>
      <c r="Q64" s="3564">
        <v>38700</v>
      </c>
      <c r="R64" s="3546"/>
      <c r="S64" s="3546" t="s">
        <v>3757</v>
      </c>
      <c r="T64" s="3552">
        <v>38702</v>
      </c>
      <c r="U64" s="3553"/>
      <c r="V64" s="3546" t="s">
        <v>3625</v>
      </c>
      <c r="W64" s="3546" t="s">
        <v>3396</v>
      </c>
      <c r="X64" s="3468" t="s">
        <v>3713</v>
      </c>
      <c r="Y64" s="3546" t="s">
        <v>3758</v>
      </c>
      <c r="Z64" s="3546"/>
      <c r="AA64" s="3468" t="e">
        <v>#DIV/0!</v>
      </c>
      <c r="AB64" s="3474" t="e">
        <v>#DIV/0!</v>
      </c>
    </row>
    <row r="65" spans="1:28">
      <c r="A65" s="3546" t="s">
        <v>3616</v>
      </c>
      <c r="B65" s="3556" t="s">
        <v>3617</v>
      </c>
      <c r="C65" s="3546" t="s">
        <v>3759</v>
      </c>
      <c r="D65" s="3546" t="s">
        <v>3760</v>
      </c>
      <c r="E65" s="3547">
        <v>201</v>
      </c>
      <c r="F65" s="3546" t="s">
        <v>3428</v>
      </c>
      <c r="G65" s="3546">
        <v>64.08</v>
      </c>
      <c r="H65" s="3546">
        <v>2</v>
      </c>
      <c r="I65" s="3546" t="s">
        <v>3761</v>
      </c>
      <c r="J65" s="3546"/>
      <c r="K65" s="3546" t="s">
        <v>3427</v>
      </c>
      <c r="L65" s="3554">
        <v>230000</v>
      </c>
      <c r="M65" s="3568">
        <v>3589</v>
      </c>
      <c r="N65" s="3473">
        <v>18.97</v>
      </c>
      <c r="O65" s="3546">
        <v>2961</v>
      </c>
      <c r="P65" s="3468" t="s">
        <v>3762</v>
      </c>
      <c r="Q65" s="3563">
        <v>38702</v>
      </c>
      <c r="R65" s="3468" t="s">
        <v>3428</v>
      </c>
      <c r="S65" s="3468" t="s">
        <v>3763</v>
      </c>
      <c r="T65" s="3552">
        <v>38708</v>
      </c>
      <c r="U65" s="3552"/>
      <c r="V65" s="3546"/>
      <c r="W65" s="3468"/>
      <c r="X65" s="3468"/>
      <c r="Y65" s="3468"/>
      <c r="Z65" s="3468"/>
      <c r="AA65" s="3468" t="e">
        <v>#DIV/0!</v>
      </c>
      <c r="AB65" s="3474" t="e">
        <v>#DIV/0!</v>
      </c>
    </row>
    <row r="66" spans="1:28">
      <c r="A66" s="3464" t="s">
        <v>3616</v>
      </c>
      <c r="B66" s="3464" t="s">
        <v>3617</v>
      </c>
      <c r="C66" s="3465" t="s">
        <v>3724</v>
      </c>
      <c r="D66" s="3471" t="s">
        <v>3639</v>
      </c>
      <c r="E66" s="3465">
        <v>302</v>
      </c>
      <c r="F66" s="3464" t="s">
        <v>3624</v>
      </c>
      <c r="G66" s="3478">
        <v>59.59</v>
      </c>
      <c r="H66" s="3465">
        <v>3</v>
      </c>
      <c r="I66" s="3471" t="s">
        <v>3656</v>
      </c>
      <c r="J66" s="3464"/>
      <c r="K66" s="3464" t="s">
        <v>3427</v>
      </c>
      <c r="L66" s="3532">
        <v>210000</v>
      </c>
      <c r="M66" s="3568">
        <v>3524</v>
      </c>
      <c r="N66" s="3473">
        <v>16.87</v>
      </c>
      <c r="O66" s="3464">
        <v>2832</v>
      </c>
      <c r="P66" s="3474" t="s">
        <v>3623</v>
      </c>
      <c r="Q66" s="3557">
        <v>38705</v>
      </c>
      <c r="R66" s="3471" t="s">
        <v>3624</v>
      </c>
      <c r="S66" s="3464" t="s">
        <v>3709</v>
      </c>
      <c r="T66" s="3536">
        <v>38707</v>
      </c>
      <c r="U66" s="3507"/>
      <c r="V66" s="3474"/>
      <c r="W66" s="3464"/>
      <c r="X66" s="3464"/>
      <c r="Y66" s="3464"/>
      <c r="Z66" s="3464"/>
      <c r="AA66" s="3474" t="e">
        <v>#DIV/0!</v>
      </c>
      <c r="AB66" s="3474" t="e">
        <v>#DIV/0!</v>
      </c>
    </row>
    <row r="67" spans="1:28">
      <c r="A67" s="3546" t="s">
        <v>3616</v>
      </c>
      <c r="B67" s="3556" t="s">
        <v>3764</v>
      </c>
      <c r="C67" s="3546" t="s">
        <v>3765</v>
      </c>
      <c r="D67" s="3546" t="s">
        <v>3697</v>
      </c>
      <c r="E67" s="3547" t="s">
        <v>3766</v>
      </c>
      <c r="F67" s="3546" t="s">
        <v>3428</v>
      </c>
      <c r="G67" s="3546">
        <v>75.23</v>
      </c>
      <c r="H67" s="3546">
        <v>1</v>
      </c>
      <c r="I67" s="3549" t="s">
        <v>3622</v>
      </c>
      <c r="J67" s="3546"/>
      <c r="K67" s="3546" t="s">
        <v>3427</v>
      </c>
      <c r="L67" s="3554">
        <v>300000</v>
      </c>
      <c r="M67" s="3573">
        <v>3988</v>
      </c>
      <c r="N67" s="3467">
        <v>22.11</v>
      </c>
      <c r="O67" s="3546">
        <v>2939</v>
      </c>
      <c r="P67" s="3468" t="s">
        <v>3762</v>
      </c>
      <c r="Q67" s="3563">
        <v>38700</v>
      </c>
      <c r="R67" s="3468" t="s">
        <v>3428</v>
      </c>
      <c r="S67" s="3535" t="s">
        <v>3649</v>
      </c>
      <c r="T67" s="3552">
        <v>38709</v>
      </c>
      <c r="U67" s="3552"/>
      <c r="V67" s="3464" t="s">
        <v>3625</v>
      </c>
      <c r="W67" s="3474" t="s">
        <v>3651</v>
      </c>
      <c r="X67" s="3474" t="s">
        <v>3713</v>
      </c>
      <c r="Y67" s="3468" t="s">
        <v>3645</v>
      </c>
      <c r="Z67" s="3468"/>
      <c r="AA67" s="3468" t="e">
        <v>#DIV/0!</v>
      </c>
      <c r="AB67" s="3468" t="e">
        <v>#DIV/0!</v>
      </c>
    </row>
    <row r="68" spans="1:28">
      <c r="A68" s="3464" t="s">
        <v>3616</v>
      </c>
      <c r="B68" s="3464" t="s">
        <v>3617</v>
      </c>
      <c r="C68" s="3465" t="s">
        <v>3726</v>
      </c>
      <c r="D68" s="3471" t="s">
        <v>3639</v>
      </c>
      <c r="E68" s="3465">
        <v>101</v>
      </c>
      <c r="F68" s="3464" t="s">
        <v>3624</v>
      </c>
      <c r="G68" s="3478">
        <v>64.08</v>
      </c>
      <c r="H68" s="3465">
        <v>1</v>
      </c>
      <c r="I68" s="3471" t="s">
        <v>3656</v>
      </c>
      <c r="J68" s="3464"/>
      <c r="K68" s="3464" t="s">
        <v>3427</v>
      </c>
      <c r="L68" s="3532">
        <v>190000</v>
      </c>
      <c r="M68" s="3568">
        <v>2965</v>
      </c>
      <c r="N68" s="3473">
        <v>17.66</v>
      </c>
      <c r="O68" s="3464">
        <v>2757</v>
      </c>
      <c r="P68" s="3474" t="s">
        <v>3623</v>
      </c>
      <c r="Q68" s="3557">
        <v>38708</v>
      </c>
      <c r="R68" s="3471" t="s">
        <v>3624</v>
      </c>
      <c r="S68" s="3464" t="s">
        <v>3709</v>
      </c>
      <c r="T68" s="3536">
        <v>38707</v>
      </c>
      <c r="U68" s="3507"/>
      <c r="V68" s="3474"/>
      <c r="W68" s="3464"/>
      <c r="X68" s="3464"/>
      <c r="Y68" s="3464"/>
      <c r="Z68" s="3464"/>
      <c r="AA68" s="3474" t="e">
        <v>#DIV/0!</v>
      </c>
      <c r="AB68" s="3474" t="e">
        <v>#DIV/0!</v>
      </c>
    </row>
  </sheetData>
  <phoneticPr fontId="134"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3455</v>
      </c>
      <c r="C1" s="3455" t="s">
        <v>3456</v>
      </c>
      <c r="D1" s="3455" t="s">
        <v>3410</v>
      </c>
      <c r="E1" s="3455" t="s">
        <v>3411</v>
      </c>
      <c r="F1" s="3456" t="s">
        <v>3412</v>
      </c>
      <c r="G1" s="3456" t="s">
        <v>3413</v>
      </c>
      <c r="H1" s="3456" t="s">
        <v>3414</v>
      </c>
      <c r="I1" s="3456" t="s">
        <v>3415</v>
      </c>
      <c r="J1" s="3456" t="s">
        <v>3416</v>
      </c>
      <c r="K1" s="3456" t="s">
        <v>3417</v>
      </c>
      <c r="L1" s="3456" t="s">
        <v>3457</v>
      </c>
      <c r="M1" s="3462" t="s">
        <v>3418</v>
      </c>
      <c r="N1" s="3456" t="s">
        <v>3419</v>
      </c>
      <c r="O1" s="3456" t="s">
        <v>3420</v>
      </c>
      <c r="P1" s="3456" t="s">
        <v>3421</v>
      </c>
      <c r="Q1" s="3456" t="s">
        <v>3422</v>
      </c>
      <c r="R1" s="3456" t="s">
        <v>3423</v>
      </c>
      <c r="S1" s="3462" t="s">
        <v>3458</v>
      </c>
      <c r="T1" s="3463" t="s">
        <v>3425</v>
      </c>
    </row>
    <row r="2" spans="1:16334">
      <c r="A2" s="3464" t="s">
        <v>3459</v>
      </c>
      <c r="B2" s="3464" t="s">
        <v>3460</v>
      </c>
      <c r="C2" s="3464" t="s">
        <v>3461</v>
      </c>
      <c r="D2" s="3464"/>
      <c r="E2" s="3464" t="s">
        <v>3462</v>
      </c>
      <c r="F2" s="3464" t="s">
        <v>3463</v>
      </c>
      <c r="G2" s="3465">
        <v>102.72</v>
      </c>
      <c r="H2" s="3464">
        <v>1</v>
      </c>
      <c r="I2" s="3464" t="s">
        <v>3464</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3465</v>
      </c>
      <c r="C3" s="3481" t="s">
        <v>3466</v>
      </c>
      <c r="D3" s="3482" t="s">
        <v>3429</v>
      </c>
      <c r="E3" s="3483" t="s">
        <v>3467</v>
      </c>
      <c r="F3" s="3483" t="s">
        <v>3468</v>
      </c>
      <c r="G3" s="3483">
        <v>64.05</v>
      </c>
      <c r="H3" s="3483" t="s">
        <v>3495</v>
      </c>
      <c r="I3" s="3483" t="s">
        <v>3426</v>
      </c>
      <c r="J3" s="3483"/>
      <c r="K3" s="3483" t="s">
        <v>3424</v>
      </c>
      <c r="L3" s="3484">
        <v>420000</v>
      </c>
      <c r="M3" s="3485">
        <v>6557</v>
      </c>
      <c r="N3" s="3486">
        <v>37.53</v>
      </c>
      <c r="O3" s="3483">
        <v>5860</v>
      </c>
      <c r="P3" s="3487">
        <v>2006</v>
      </c>
      <c r="Q3" s="3487">
        <v>1</v>
      </c>
      <c r="R3" s="3487">
        <v>5</v>
      </c>
      <c r="S3" s="3488"/>
      <c r="T3" s="3489">
        <v>38665</v>
      </c>
      <c r="U3" s="3490" t="s">
        <v>3481</v>
      </c>
      <c r="V3" s="3490">
        <v>1990</v>
      </c>
      <c r="W3" s="3490" t="s">
        <v>3483</v>
      </c>
    </row>
    <row r="4" spans="1:16334" s="3497" customFormat="1">
      <c r="A4" s="3464" t="s">
        <v>2723</v>
      </c>
      <c r="B4" s="3464" t="s">
        <v>3482</v>
      </c>
      <c r="C4" s="3464" t="s">
        <v>3470</v>
      </c>
      <c r="D4" s="3464" t="s">
        <v>3471</v>
      </c>
      <c r="E4" s="3464" t="s">
        <v>3472</v>
      </c>
      <c r="F4" s="3464" t="s">
        <v>3473</v>
      </c>
      <c r="G4" s="3508">
        <v>72.33</v>
      </c>
      <c r="H4" s="3464" t="s">
        <v>3496</v>
      </c>
      <c r="I4" s="3464" t="s">
        <v>3426</v>
      </c>
      <c r="J4" s="3464"/>
      <c r="K4" s="3464" t="s">
        <v>3427</v>
      </c>
      <c r="L4" s="3509">
        <v>379815</v>
      </c>
      <c r="M4" s="3469">
        <v>5251</v>
      </c>
      <c r="N4" s="3510">
        <v>40.5</v>
      </c>
      <c r="O4" s="3509">
        <v>5600</v>
      </c>
      <c r="P4" s="3464">
        <v>2006</v>
      </c>
      <c r="Q4" s="3464">
        <v>1</v>
      </c>
      <c r="R4" s="3474">
        <v>23</v>
      </c>
      <c r="S4" s="3469" t="s">
        <v>3428</v>
      </c>
      <c r="T4" s="3470"/>
      <c r="U4" s="3497" t="s">
        <v>3481</v>
      </c>
      <c r="V4" s="3497">
        <v>1997</v>
      </c>
      <c r="W4" s="3497" t="s">
        <v>3483</v>
      </c>
    </row>
    <row r="5" spans="1:16334" s="3497" customFormat="1">
      <c r="A5" s="3471" t="s">
        <v>2723</v>
      </c>
      <c r="B5" s="3471" t="s">
        <v>3469</v>
      </c>
      <c r="C5" s="3471" t="s">
        <v>3474</v>
      </c>
      <c r="D5" s="3471"/>
      <c r="E5" s="3471" t="s">
        <v>3475</v>
      </c>
      <c r="F5" s="3471" t="s">
        <v>3476</v>
      </c>
      <c r="G5" s="3465">
        <v>99.14</v>
      </c>
      <c r="H5" s="3465" t="s">
        <v>3484</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3485</v>
      </c>
    </row>
    <row r="6" spans="1:16334">
      <c r="A6" s="3464" t="s">
        <v>2723</v>
      </c>
      <c r="B6" s="3476" t="s">
        <v>3469</v>
      </c>
      <c r="C6" s="3471" t="s">
        <v>3477</v>
      </c>
      <c r="D6" s="3471"/>
      <c r="E6" s="3477" t="s">
        <v>3478</v>
      </c>
      <c r="F6" s="3464" t="s">
        <v>3479</v>
      </c>
      <c r="G6" s="3478">
        <v>105.19</v>
      </c>
      <c r="H6" s="3464">
        <v>16</v>
      </c>
      <c r="I6" s="3464" t="s">
        <v>3480</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3487</v>
      </c>
      <c r="B7" s="3480" t="s">
        <v>3465</v>
      </c>
      <c r="C7" s="3481" t="s">
        <v>3488</v>
      </c>
      <c r="D7" s="3482" t="s">
        <v>3489</v>
      </c>
      <c r="E7" s="3483" t="s">
        <v>3490</v>
      </c>
      <c r="F7" s="3483" t="s">
        <v>3491</v>
      </c>
      <c r="G7" s="3483">
        <v>54.26</v>
      </c>
      <c r="H7" s="3483" t="s">
        <v>3498</v>
      </c>
      <c r="I7" s="3483" t="s">
        <v>3492</v>
      </c>
      <c r="J7" s="3483"/>
      <c r="K7" s="3483" t="s">
        <v>3427</v>
      </c>
      <c r="L7" s="3484">
        <v>420000</v>
      </c>
      <c r="M7" s="3498">
        <v>7741</v>
      </c>
      <c r="N7" s="3486">
        <v>37.840000000000003</v>
      </c>
      <c r="O7" s="3483">
        <v>6975</v>
      </c>
      <c r="P7" s="3483">
        <v>2006</v>
      </c>
      <c r="Q7" s="3487">
        <v>7</v>
      </c>
      <c r="R7" s="3487">
        <v>3</v>
      </c>
      <c r="S7" s="3485"/>
      <c r="T7" s="3489">
        <v>38884</v>
      </c>
      <c r="U7" s="3499" t="s">
        <v>3494</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3522</v>
      </c>
      <c r="C12" s="3455" t="s">
        <v>3523</v>
      </c>
      <c r="D12" s="3455" t="s">
        <v>3524</v>
      </c>
      <c r="E12" s="3455" t="s">
        <v>3525</v>
      </c>
      <c r="F12" s="3456" t="s">
        <v>3412</v>
      </c>
      <c r="G12" s="3456" t="s">
        <v>3413</v>
      </c>
      <c r="H12" s="3456" t="s">
        <v>3526</v>
      </c>
      <c r="I12" s="3456" t="s">
        <v>3527</v>
      </c>
      <c r="J12" s="3456" t="s">
        <v>3528</v>
      </c>
      <c r="K12" s="3456" t="s">
        <v>3529</v>
      </c>
      <c r="L12" s="3456" t="s">
        <v>3530</v>
      </c>
      <c r="M12" s="3462" t="s">
        <v>3531</v>
      </c>
      <c r="N12" s="3456" t="s">
        <v>3419</v>
      </c>
      <c r="O12" s="3456" t="s">
        <v>3532</v>
      </c>
      <c r="P12" s="3456" t="s">
        <v>3533</v>
      </c>
      <c r="Q12" s="3456" t="s">
        <v>3534</v>
      </c>
      <c r="R12" s="3456" t="s">
        <v>3535</v>
      </c>
      <c r="S12" s="3462" t="s">
        <v>3458</v>
      </c>
      <c r="T12" s="3463" t="s">
        <v>3536</v>
      </c>
    </row>
    <row r="13" spans="1:16334" s="3490" customFormat="1">
      <c r="A13" s="3483" t="s">
        <v>3505</v>
      </c>
      <c r="B13" s="3482" t="s">
        <v>3575</v>
      </c>
      <c r="C13" s="3483" t="s">
        <v>3537</v>
      </c>
      <c r="D13" s="3483"/>
      <c r="E13" s="3502" t="s">
        <v>3538</v>
      </c>
      <c r="F13" s="3483" t="s">
        <v>3539</v>
      </c>
      <c r="G13" s="3503">
        <v>65.010000000000005</v>
      </c>
      <c r="H13" s="3483" t="s">
        <v>3579</v>
      </c>
      <c r="I13" s="3483" t="s">
        <v>3540</v>
      </c>
      <c r="J13" s="3482"/>
      <c r="K13" s="3482" t="s">
        <v>3511</v>
      </c>
      <c r="L13" s="3504">
        <v>470000</v>
      </c>
      <c r="M13" s="3483">
        <v>7230</v>
      </c>
      <c r="N13" s="3486">
        <v>37.44</v>
      </c>
      <c r="O13" s="3483">
        <v>5760</v>
      </c>
      <c r="P13" s="3487">
        <v>2006</v>
      </c>
      <c r="Q13" s="3487">
        <v>1</v>
      </c>
      <c r="R13" s="3505">
        <v>9</v>
      </c>
      <c r="S13" s="3481"/>
      <c r="T13" s="3506">
        <v>38702</v>
      </c>
      <c r="U13" s="3490" t="s">
        <v>3576</v>
      </c>
      <c r="V13" s="3490">
        <v>1990</v>
      </c>
      <c r="W13" s="3490" t="s">
        <v>3577</v>
      </c>
    </row>
    <row r="14" spans="1:16334">
      <c r="A14" s="3464" t="s">
        <v>3459</v>
      </c>
      <c r="B14" s="3464" t="s">
        <v>3460</v>
      </c>
      <c r="C14" s="3464" t="s">
        <v>3461</v>
      </c>
      <c r="D14" s="3464"/>
      <c r="E14" s="3464" t="s">
        <v>3462</v>
      </c>
      <c r="F14" s="3464" t="s">
        <v>3463</v>
      </c>
      <c r="G14" s="3465">
        <v>102.72</v>
      </c>
      <c r="H14" s="3464">
        <v>1</v>
      </c>
      <c r="I14" s="3464" t="s">
        <v>3464</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3505</v>
      </c>
      <c r="B15" s="3491" t="s">
        <v>3493</v>
      </c>
      <c r="C15" s="3492" t="s">
        <v>3541</v>
      </c>
      <c r="D15" s="3471" t="s">
        <v>3542</v>
      </c>
      <c r="E15" s="3464" t="s">
        <v>3543</v>
      </c>
      <c r="F15" s="3464" t="s">
        <v>3544</v>
      </c>
      <c r="G15" s="3464">
        <v>64.05</v>
      </c>
      <c r="H15" s="3464">
        <v>4</v>
      </c>
      <c r="I15" s="3464" t="s">
        <v>3540</v>
      </c>
      <c r="J15" s="3464"/>
      <c r="K15" s="3464" t="s">
        <v>3511</v>
      </c>
      <c r="L15" s="3472">
        <v>420000</v>
      </c>
      <c r="M15" s="3469">
        <v>6557</v>
      </c>
      <c r="N15" s="3473">
        <v>37.53</v>
      </c>
      <c r="O15" s="3464">
        <v>5860</v>
      </c>
      <c r="P15" s="3474">
        <v>2006</v>
      </c>
      <c r="Q15" s="3474">
        <v>1</v>
      </c>
      <c r="R15" s="3474">
        <v>5</v>
      </c>
      <c r="S15" s="3475"/>
      <c r="T15" s="3494">
        <v>38665</v>
      </c>
    </row>
    <row r="16" spans="1:16334" s="3497" customFormat="1">
      <c r="A16" s="3464" t="s">
        <v>3459</v>
      </c>
      <c r="B16" s="3464" t="s">
        <v>3545</v>
      </c>
      <c r="C16" s="3464" t="s">
        <v>3546</v>
      </c>
      <c r="D16" s="3464" t="s">
        <v>3547</v>
      </c>
      <c r="E16" s="3464" t="s">
        <v>3548</v>
      </c>
      <c r="F16" s="3464" t="s">
        <v>3499</v>
      </c>
      <c r="G16" s="3464">
        <v>71.650000000000006</v>
      </c>
      <c r="H16" s="3464">
        <v>24</v>
      </c>
      <c r="I16" s="3464" t="s">
        <v>3500</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3459</v>
      </c>
      <c r="B17" s="3512" t="s">
        <v>3574</v>
      </c>
      <c r="C17" s="3512" t="s">
        <v>3501</v>
      </c>
      <c r="D17" s="3512"/>
      <c r="E17" s="3512" t="s">
        <v>3502</v>
      </c>
      <c r="F17" s="3512" t="s">
        <v>3503</v>
      </c>
      <c r="G17" s="3512">
        <v>71.599999999999994</v>
      </c>
      <c r="H17" s="3512" t="s">
        <v>3589</v>
      </c>
      <c r="I17" s="3512" t="s">
        <v>3500</v>
      </c>
      <c r="J17" s="3512"/>
      <c r="K17" s="3512" t="s">
        <v>3427</v>
      </c>
      <c r="L17" s="3512">
        <v>450000</v>
      </c>
      <c r="M17" s="3513">
        <v>6285</v>
      </c>
      <c r="N17" s="3514">
        <v>39.93</v>
      </c>
      <c r="O17" s="3512">
        <v>5578</v>
      </c>
      <c r="P17" s="3512">
        <v>2006</v>
      </c>
      <c r="Q17" s="3512">
        <v>2</v>
      </c>
      <c r="R17" s="3515">
        <v>6</v>
      </c>
      <c r="S17" s="3512"/>
      <c r="T17" s="3516">
        <v>38721</v>
      </c>
      <c r="U17" s="3517" t="s">
        <v>3587</v>
      </c>
      <c r="V17" s="3517">
        <v>1993</v>
      </c>
      <c r="W17" s="3517" t="s">
        <v>3588</v>
      </c>
    </row>
    <row r="18" spans="1:23" s="3497" customFormat="1">
      <c r="A18" s="3464" t="s">
        <v>3505</v>
      </c>
      <c r="B18" s="3464" t="s">
        <v>3549</v>
      </c>
      <c r="C18" s="3464" t="s">
        <v>3550</v>
      </c>
      <c r="D18" s="3464" t="s">
        <v>3551</v>
      </c>
      <c r="E18" s="3464" t="s">
        <v>3552</v>
      </c>
      <c r="F18" s="3464" t="s">
        <v>3553</v>
      </c>
      <c r="G18" s="3508">
        <v>72.33</v>
      </c>
      <c r="H18" s="3464">
        <v>5</v>
      </c>
      <c r="I18" s="3464" t="s">
        <v>3540</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3505</v>
      </c>
      <c r="B19" s="3471" t="s">
        <v>3549</v>
      </c>
      <c r="C19" s="3471" t="s">
        <v>3554</v>
      </c>
      <c r="D19" s="3471"/>
      <c r="E19" s="3471" t="s">
        <v>3555</v>
      </c>
      <c r="F19" s="3471" t="s">
        <v>3556</v>
      </c>
      <c r="G19" s="3465">
        <v>99.14</v>
      </c>
      <c r="H19" s="3465">
        <v>8</v>
      </c>
      <c r="I19" s="3491" t="s">
        <v>3540</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3459</v>
      </c>
      <c r="B20" s="3464" t="s">
        <v>3545</v>
      </c>
      <c r="C20" s="3464" t="s">
        <v>3518</v>
      </c>
      <c r="D20" s="3464"/>
      <c r="E20" s="3464" t="s">
        <v>3557</v>
      </c>
      <c r="F20" s="3464" t="s">
        <v>3504</v>
      </c>
      <c r="G20" s="3478">
        <v>69.17</v>
      </c>
      <c r="H20" s="3464">
        <v>13</v>
      </c>
      <c r="I20" s="3464" t="s">
        <v>3558</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3505</v>
      </c>
      <c r="B21" s="3476" t="s">
        <v>3549</v>
      </c>
      <c r="C21" s="3471" t="s">
        <v>3559</v>
      </c>
      <c r="D21" s="3471"/>
      <c r="E21" s="3477" t="s">
        <v>3560</v>
      </c>
      <c r="F21" s="3464" t="s">
        <v>3479</v>
      </c>
      <c r="G21" s="3478">
        <v>105.19</v>
      </c>
      <c r="H21" s="3464">
        <v>16</v>
      </c>
      <c r="I21" s="3464" t="s">
        <v>3561</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3505</v>
      </c>
      <c r="B22" s="3491" t="s">
        <v>3562</v>
      </c>
      <c r="C22" s="3492" t="s">
        <v>3563</v>
      </c>
      <c r="D22" s="3471" t="s">
        <v>3564</v>
      </c>
      <c r="E22" s="3464" t="s">
        <v>3565</v>
      </c>
      <c r="F22" s="3464" t="s">
        <v>3566</v>
      </c>
      <c r="G22" s="3464">
        <v>96.78</v>
      </c>
      <c r="H22" s="3464">
        <v>7</v>
      </c>
      <c r="I22" s="3464" t="s">
        <v>3567</v>
      </c>
      <c r="J22" s="3464"/>
      <c r="K22" s="3464" t="s">
        <v>3568</v>
      </c>
      <c r="L22" s="3472">
        <v>700000</v>
      </c>
      <c r="M22" s="3464">
        <v>7233</v>
      </c>
      <c r="N22" s="3473">
        <v>59.01</v>
      </c>
      <c r="O22" s="3464">
        <v>6098</v>
      </c>
      <c r="P22" s="3474">
        <v>2006</v>
      </c>
      <c r="Q22" s="3474">
        <v>7</v>
      </c>
      <c r="R22" s="3474">
        <v>18</v>
      </c>
      <c r="S22" s="3492" t="s">
        <v>3569</v>
      </c>
      <c r="T22" s="3511">
        <v>38896</v>
      </c>
    </row>
    <row r="23" spans="1:23" s="3497" customFormat="1">
      <c r="A23" s="3491" t="s">
        <v>3505</v>
      </c>
      <c r="B23" s="3491" t="s">
        <v>3506</v>
      </c>
      <c r="C23" s="3491" t="s">
        <v>3507</v>
      </c>
      <c r="D23" s="3471"/>
      <c r="E23" s="3464" t="s">
        <v>3570</v>
      </c>
      <c r="F23" s="3464" t="s">
        <v>3571</v>
      </c>
      <c r="G23" s="3464">
        <v>76.290000000000006</v>
      </c>
      <c r="H23" s="3464">
        <v>20</v>
      </c>
      <c r="I23" s="3491" t="s">
        <v>3572</v>
      </c>
      <c r="J23" s="3464"/>
      <c r="K23" s="3464" t="s">
        <v>3511</v>
      </c>
      <c r="L23" s="3472">
        <v>305160</v>
      </c>
      <c r="M23" s="3464">
        <v>4000</v>
      </c>
      <c r="N23" s="3473">
        <v>45.77</v>
      </c>
      <c r="O23" s="3464">
        <v>6000</v>
      </c>
      <c r="P23" s="3474">
        <v>2006</v>
      </c>
      <c r="Q23" s="3474">
        <v>5</v>
      </c>
      <c r="R23" s="3474">
        <v>16</v>
      </c>
      <c r="S23" s="3492" t="s">
        <v>3573</v>
      </c>
      <c r="T23" s="3511">
        <v>38504</v>
      </c>
    </row>
    <row r="24" spans="1:23" s="3497" customFormat="1">
      <c r="A24" s="3491" t="s">
        <v>3505</v>
      </c>
      <c r="B24" s="3491" t="s">
        <v>3506</v>
      </c>
      <c r="C24" s="3491" t="s">
        <v>3507</v>
      </c>
      <c r="D24" s="3471"/>
      <c r="E24" s="3464" t="s">
        <v>3508</v>
      </c>
      <c r="F24" s="3464" t="s">
        <v>3509</v>
      </c>
      <c r="G24" s="3464">
        <v>94.35</v>
      </c>
      <c r="H24" s="3464">
        <v>8</v>
      </c>
      <c r="I24" s="3491" t="s">
        <v>3510</v>
      </c>
      <c r="J24" s="3464"/>
      <c r="K24" s="3464" t="s">
        <v>3511</v>
      </c>
      <c r="L24" s="3472">
        <v>377400</v>
      </c>
      <c r="M24" s="3464">
        <v>4000</v>
      </c>
      <c r="N24" s="3473">
        <v>56.61</v>
      </c>
      <c r="O24" s="3464">
        <v>6000</v>
      </c>
      <c r="P24" s="3474">
        <v>2006</v>
      </c>
      <c r="Q24" s="3474">
        <v>5</v>
      </c>
      <c r="R24" s="3474">
        <v>16</v>
      </c>
      <c r="S24" s="3492" t="s">
        <v>3512</v>
      </c>
      <c r="T24" s="3511">
        <v>38717</v>
      </c>
    </row>
    <row r="25" spans="1:23" s="3497" customFormat="1">
      <c r="A25" s="3491" t="s">
        <v>3505</v>
      </c>
      <c r="B25" s="3491" t="s">
        <v>3493</v>
      </c>
      <c r="C25" s="3492" t="s">
        <v>3513</v>
      </c>
      <c r="D25" s="3471" t="s">
        <v>3514</v>
      </c>
      <c r="E25" s="3464" t="s">
        <v>3515</v>
      </c>
      <c r="F25" s="3464" t="s">
        <v>3516</v>
      </c>
      <c r="G25" s="3464">
        <v>54.26</v>
      </c>
      <c r="H25" s="3464">
        <v>4</v>
      </c>
      <c r="I25" s="3464" t="s">
        <v>3492</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3505</v>
      </c>
      <c r="B26" s="3491" t="s">
        <v>3517</v>
      </c>
      <c r="C26" s="3492" t="s">
        <v>3518</v>
      </c>
      <c r="D26" s="3471" t="s">
        <v>3519</v>
      </c>
      <c r="E26" s="3464" t="s">
        <v>3520</v>
      </c>
      <c r="F26" s="3464" t="s">
        <v>3521</v>
      </c>
      <c r="G26" s="3464">
        <v>45.71</v>
      </c>
      <c r="H26" s="3464">
        <v>3</v>
      </c>
      <c r="I26" s="3464" t="s">
        <v>3492</v>
      </c>
      <c r="J26" s="3464"/>
      <c r="K26" s="3464" t="s">
        <v>3511</v>
      </c>
      <c r="L26" s="3472">
        <v>380000</v>
      </c>
      <c r="M26" s="3464">
        <v>8313</v>
      </c>
      <c r="N26" s="3473">
        <v>30.1</v>
      </c>
      <c r="O26" s="3464">
        <v>6585</v>
      </c>
      <c r="P26" s="3474">
        <v>2006</v>
      </c>
      <c r="Q26" s="3474">
        <v>10</v>
      </c>
      <c r="R26" s="3474">
        <v>27</v>
      </c>
      <c r="S26" s="3492" t="s">
        <v>3569</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估价对象为北京市房地产，为所有。根据《国有土地使用证》[]，估价对象（分摊）出让国有建设用地使用权面积为30.45平方米，建筑面积为60.9平方米。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估价对象为北京市房地产,属开发建设的，该项目尚在开发建设中。根据《国有土地使用证》[]，估价对象（分摊）出让国有建设用地使用权面积为30.45平方米，规划建筑面积为60.9平方米。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2005年12月3日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60.9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53"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53"/>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53"/>
      <c r="AC6" s="3836"/>
    </row>
    <row r="7" spans="1:29" s="108" customFormat="1" ht="15" thickBot="1">
      <c r="A7" s="362" t="s">
        <v>1679</v>
      </c>
      <c r="B7" s="363"/>
      <c r="C7" s="364">
        <f>'数据-取费表'!B2</f>
        <v>38689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33"/>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31" t="s">
        <v>1691</v>
      </c>
      <c r="Q15" s="1352" t="str">
        <f t="shared" si="6"/>
        <v>商业繁华度</v>
      </c>
      <c r="R15" s="705" t="s">
        <v>14</v>
      </c>
      <c r="S15" s="706">
        <f t="shared" si="0"/>
        <v>100</v>
      </c>
      <c r="T15" s="705" t="s">
        <v>14</v>
      </c>
      <c r="U15" s="706">
        <f t="shared" si="1"/>
        <v>100</v>
      </c>
      <c r="V15" s="705" t="s">
        <v>14</v>
      </c>
      <c r="W15" s="706">
        <f t="shared" si="2"/>
        <v>100</v>
      </c>
      <c r="X15" s="1355"/>
      <c r="Y15" s="382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32"/>
      <c r="Q22" s="1352"/>
      <c r="R22" s="705"/>
      <c r="S22" s="706"/>
      <c r="T22" s="705"/>
      <c r="U22" s="706"/>
      <c r="V22" s="705"/>
      <c r="W22" s="706"/>
      <c r="X22" s="1355"/>
      <c r="Y22" s="3825"/>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32"/>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32"/>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32"/>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32"/>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32"/>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26" t="s">
        <v>1696</v>
      </c>
      <c r="Q32" s="1352" t="str">
        <f t="shared" si="11"/>
        <v>商业类型</v>
      </c>
      <c r="R32" s="705" t="s">
        <v>14</v>
      </c>
      <c r="S32" s="706">
        <f t="shared" si="12"/>
        <v>100</v>
      </c>
      <c r="T32" s="705" t="s">
        <v>14</v>
      </c>
      <c r="U32" s="706">
        <f t="shared" si="13"/>
        <v>100</v>
      </c>
      <c r="V32" s="705" t="s">
        <v>14</v>
      </c>
      <c r="W32" s="706">
        <f t="shared" si="14"/>
        <v>100</v>
      </c>
      <c r="X32" s="1355"/>
      <c r="Y32" s="382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27" t="s">
        <v>1696</v>
      </c>
      <c r="Q38" s="1352" t="str">
        <f t="shared" si="11"/>
        <v>业态</v>
      </c>
      <c r="R38" s="705" t="s">
        <v>14</v>
      </c>
      <c r="S38" s="706">
        <f t="shared" si="12"/>
        <v>100</v>
      </c>
      <c r="T38" s="705" t="s">
        <v>14</v>
      </c>
      <c r="U38" s="706">
        <f t="shared" si="13"/>
        <v>100</v>
      </c>
      <c r="V38" s="705" t="s">
        <v>14</v>
      </c>
      <c r="W38" s="706">
        <f t="shared" si="14"/>
        <v>100</v>
      </c>
      <c r="X38" s="1355"/>
      <c r="Y38" s="382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22" t="str">
        <f>A47</f>
        <v>成交单价（元/平方米）</v>
      </c>
      <c r="Q47" s="3822"/>
      <c r="R47" s="3853">
        <f>E47</f>
        <v>0</v>
      </c>
      <c r="S47" s="3853"/>
      <c r="T47" s="3853">
        <f>G47</f>
        <v>0</v>
      </c>
      <c r="U47" s="3853"/>
      <c r="V47" s="3853">
        <f>I47</f>
        <v>0</v>
      </c>
      <c r="W47" s="3853"/>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2005-12</v>
      </c>
      <c r="D58" s="1185">
        <f>EDATE(C58,-1)</f>
        <v>38657</v>
      </c>
      <c r="E58" s="1185">
        <f t="shared" ref="E58:N58" si="16">EDATE(D58,-1)</f>
        <v>38626</v>
      </c>
      <c r="F58" s="1185">
        <f t="shared" si="16"/>
        <v>38596</v>
      </c>
      <c r="G58" s="1185">
        <f t="shared" si="16"/>
        <v>38565</v>
      </c>
      <c r="H58" s="1185">
        <f t="shared" si="16"/>
        <v>38534</v>
      </c>
      <c r="I58" s="1185">
        <f t="shared" si="16"/>
        <v>38504</v>
      </c>
      <c r="J58" s="1185">
        <f t="shared" si="16"/>
        <v>38473</v>
      </c>
      <c r="K58" s="1185">
        <f t="shared" si="16"/>
        <v>38443</v>
      </c>
      <c r="L58" s="1185">
        <f t="shared" si="16"/>
        <v>38412</v>
      </c>
      <c r="M58" s="1185">
        <f t="shared" si="16"/>
        <v>38384</v>
      </c>
      <c r="N58" s="1185">
        <f t="shared" si="16"/>
        <v>38353</v>
      </c>
      <c r="O58" s="1185">
        <f>EDATE(N58,-1)</f>
        <v>38322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60.9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74" t="s">
        <v>1775</v>
      </c>
      <c r="Q4" s="3875"/>
      <c r="R4" s="3878" t="s">
        <v>1771</v>
      </c>
      <c r="S4" s="3879"/>
      <c r="T4" s="3878" t="s">
        <v>1772</v>
      </c>
      <c r="U4" s="3879"/>
      <c r="V4" s="3880" t="s">
        <v>1773</v>
      </c>
      <c r="W4" s="3880"/>
      <c r="X4" s="1957"/>
      <c r="Y4" s="3878" t="s">
        <v>1775</v>
      </c>
      <c r="Z4" s="3879"/>
      <c r="AA4" s="3882" t="s">
        <v>1771</v>
      </c>
      <c r="AB4" s="3882" t="s">
        <v>1772</v>
      </c>
      <c r="AC4" s="3871" t="s">
        <v>1773</v>
      </c>
    </row>
    <row r="5" spans="1:29">
      <c r="A5" s="358"/>
      <c r="B5" s="359"/>
      <c r="C5" s="3861" t="s">
        <v>1673</v>
      </c>
      <c r="D5" s="3857"/>
      <c r="E5" s="3867" t="s">
        <v>1674</v>
      </c>
      <c r="F5" s="3866"/>
      <c r="G5" s="3861" t="s">
        <v>1675</v>
      </c>
      <c r="H5" s="3857"/>
      <c r="I5" s="3861" t="s">
        <v>1676</v>
      </c>
      <c r="J5" s="3857"/>
      <c r="K5" s="559"/>
      <c r="L5" s="2713"/>
      <c r="M5" s="2714"/>
      <c r="N5" s="2714"/>
      <c r="O5" s="2714"/>
      <c r="P5" s="3876"/>
      <c r="Q5" s="3844"/>
      <c r="R5" s="3849"/>
      <c r="S5" s="3850"/>
      <c r="T5" s="3849"/>
      <c r="U5" s="3850"/>
      <c r="V5" s="3853"/>
      <c r="W5" s="3853"/>
      <c r="X5" s="1355"/>
      <c r="Y5" s="3849"/>
      <c r="Z5" s="3850"/>
      <c r="AA5" s="3835"/>
      <c r="AB5" s="3835"/>
      <c r="AC5" s="3872"/>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77"/>
      <c r="Q6" s="3846"/>
      <c r="R6" s="3849"/>
      <c r="S6" s="3850"/>
      <c r="T6" s="3851"/>
      <c r="U6" s="3852"/>
      <c r="V6" s="3853"/>
      <c r="W6" s="3853"/>
      <c r="X6" s="1355"/>
      <c r="Y6" s="3851"/>
      <c r="Z6" s="3852"/>
      <c r="AA6" s="3836"/>
      <c r="AB6" s="3836"/>
      <c r="AC6" s="3873"/>
    </row>
    <row r="7" spans="1:29" s="108" customFormat="1" ht="15" thickBot="1">
      <c r="A7" s="362" t="s">
        <v>1679</v>
      </c>
      <c r="B7" s="363"/>
      <c r="C7" s="364">
        <f>'数据-取费表'!B2</f>
        <v>38689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1"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1" t="s">
        <v>1683</v>
      </c>
      <c r="Q8" s="3859"/>
      <c r="R8" s="701" t="s">
        <v>14</v>
      </c>
      <c r="S8" s="702">
        <f t="shared" si="0"/>
        <v>100</v>
      </c>
      <c r="T8" s="701" t="s">
        <v>14</v>
      </c>
      <c r="U8" s="702">
        <f t="shared" si="1"/>
        <v>100</v>
      </c>
      <c r="V8" s="701" t="s">
        <v>14</v>
      </c>
      <c r="W8" s="702">
        <f t="shared" si="2"/>
        <v>100</v>
      </c>
      <c r="X8" s="703"/>
      <c r="Y8" s="3858" t="s">
        <v>1683</v>
      </c>
      <c r="Z8" s="3859"/>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33"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33"/>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33"/>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33"/>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33"/>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33"/>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31" t="s">
        <v>1691</v>
      </c>
      <c r="Q15" s="1352" t="str">
        <f t="shared" si="6"/>
        <v>办公集聚程度</v>
      </c>
      <c r="R15" s="705" t="s">
        <v>14</v>
      </c>
      <c r="S15" s="706">
        <f t="shared" si="0"/>
        <v>100</v>
      </c>
      <c r="T15" s="705" t="s">
        <v>14</v>
      </c>
      <c r="U15" s="706">
        <f t="shared" si="1"/>
        <v>100</v>
      </c>
      <c r="V15" s="705" t="s">
        <v>14</v>
      </c>
      <c r="W15" s="706">
        <f t="shared" si="2"/>
        <v>100</v>
      </c>
      <c r="X15" s="1355"/>
      <c r="Y15" s="3824"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32"/>
      <c r="Q16" s="1352"/>
      <c r="R16" s="705"/>
      <c r="S16" s="706"/>
      <c r="T16" s="705"/>
      <c r="U16" s="706"/>
      <c r="V16" s="705"/>
      <c r="W16" s="706"/>
      <c r="X16" s="1355"/>
      <c r="Y16" s="3825"/>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32"/>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32"/>
      <c r="Q18" s="1352"/>
      <c r="R18" s="705"/>
      <c r="S18" s="706"/>
      <c r="T18" s="705"/>
      <c r="U18" s="706"/>
      <c r="V18" s="705"/>
      <c r="W18" s="706"/>
      <c r="X18" s="1355"/>
      <c r="Y18" s="3825"/>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32"/>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32"/>
      <c r="Q20" s="1352"/>
      <c r="R20" s="705"/>
      <c r="S20" s="706"/>
      <c r="T20" s="705"/>
      <c r="U20" s="706"/>
      <c r="V20" s="705"/>
      <c r="W20" s="706"/>
      <c r="X20" s="1355"/>
      <c r="Y20" s="3825"/>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32"/>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32"/>
      <c r="Q22" s="1352"/>
      <c r="R22" s="705"/>
      <c r="S22" s="706"/>
      <c r="T22" s="705"/>
      <c r="U22" s="706"/>
      <c r="V22" s="705"/>
      <c r="W22" s="706"/>
      <c r="X22" s="1355"/>
      <c r="Y22" s="3825"/>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32"/>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32"/>
      <c r="Q24" s="1352"/>
      <c r="R24" s="705"/>
      <c r="S24" s="706"/>
      <c r="T24" s="705"/>
      <c r="U24" s="706"/>
      <c r="V24" s="705"/>
      <c r="W24" s="706"/>
      <c r="X24" s="1355"/>
      <c r="Y24" s="3825"/>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32"/>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32"/>
      <c r="Q26" s="1352"/>
      <c r="R26" s="705"/>
      <c r="S26" s="706"/>
      <c r="T26" s="705"/>
      <c r="U26" s="706"/>
      <c r="V26" s="705"/>
      <c r="W26" s="706"/>
      <c r="X26" s="1355"/>
      <c r="Y26" s="3825"/>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32"/>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32"/>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32"/>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32"/>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32"/>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32"/>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26" t="s">
        <v>1696</v>
      </c>
      <c r="Q33" s="1352" t="str">
        <f t="shared" si="11"/>
        <v>建筑类型</v>
      </c>
      <c r="R33" s="705" t="s">
        <v>14</v>
      </c>
      <c r="S33" s="706">
        <f t="shared" si="12"/>
        <v>100</v>
      </c>
      <c r="T33" s="705" t="s">
        <v>14</v>
      </c>
      <c r="U33" s="706">
        <f t="shared" si="13"/>
        <v>100</v>
      </c>
      <c r="V33" s="705" t="s">
        <v>14</v>
      </c>
      <c r="W33" s="706">
        <f t="shared" si="14"/>
        <v>100</v>
      </c>
      <c r="X33" s="1355"/>
      <c r="Y33" s="3829"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27" t="s">
        <v>1696</v>
      </c>
      <c r="Q39" s="1352" t="str">
        <f t="shared" si="11"/>
        <v>物业管理</v>
      </c>
      <c r="R39" s="705" t="s">
        <v>14</v>
      </c>
      <c r="S39" s="706">
        <f t="shared" si="12"/>
        <v>100</v>
      </c>
      <c r="T39" s="705" t="s">
        <v>14</v>
      </c>
      <c r="U39" s="706">
        <f t="shared" si="13"/>
        <v>100</v>
      </c>
      <c r="V39" s="705" t="s">
        <v>14</v>
      </c>
      <c r="W39" s="706">
        <f t="shared" si="14"/>
        <v>100</v>
      </c>
      <c r="X39" s="1355"/>
      <c r="Y39" s="3829"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33" t="str">
        <f>A48</f>
        <v>成交单价（元/平方米）</v>
      </c>
      <c r="Q48" s="3822"/>
      <c r="R48" s="3823">
        <f>E48</f>
        <v>0</v>
      </c>
      <c r="S48" s="3823"/>
      <c r="T48" s="3823">
        <f>G48</f>
        <v>0</v>
      </c>
      <c r="U48" s="3823"/>
      <c r="V48" s="3823">
        <f>I48</f>
        <v>0</v>
      </c>
      <c r="W48" s="3823"/>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33" t="str">
        <f>A49</f>
        <v>比较价值（元/平方米）</v>
      </c>
      <c r="Q49" s="3822"/>
      <c r="R49" s="3823" t="e">
        <f>IF(F1="售价",ROUND(PRODUCT(R48,AA7:AA47),0),ROUND(PRODUCT(R48,AA7:AA47),1))</f>
        <v>#DIV/0!</v>
      </c>
      <c r="S49" s="3823"/>
      <c r="T49" s="3823" t="e">
        <f>IF(F1="售价",ROUND(PRODUCT(T48,AB7:AB47),0),ROUND(PRODUCT(T48,AB7:AB47),1))</f>
        <v>#DIV/0!</v>
      </c>
      <c r="U49" s="3823"/>
      <c r="V49" s="3823" t="e">
        <f>IF(F1="售价",ROUND(PRODUCT(V48,AC7:AC47),0),ROUND(PRODUCT(V48,AC7:AC47),1))</f>
        <v>#DIV/0!</v>
      </c>
      <c r="W49" s="3823"/>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2005-12</v>
      </c>
      <c r="D59" s="1185">
        <f>EDATE(C59,-1)</f>
        <v>38657</v>
      </c>
      <c r="E59" s="1185">
        <f>EDATE(D59,-1)</f>
        <v>38626</v>
      </c>
      <c r="F59" s="1185">
        <f t="shared" ref="F59:O59" si="16">EDATE(E59,-1)</f>
        <v>38596</v>
      </c>
      <c r="G59" s="1185">
        <f t="shared" si="16"/>
        <v>38565</v>
      </c>
      <c r="H59" s="1185">
        <f t="shared" si="16"/>
        <v>38534</v>
      </c>
      <c r="I59" s="1185">
        <f t="shared" si="16"/>
        <v>38504</v>
      </c>
      <c r="J59" s="1185">
        <f t="shared" si="16"/>
        <v>38473</v>
      </c>
      <c r="K59" s="1185">
        <f t="shared" si="16"/>
        <v>38443</v>
      </c>
      <c r="L59" s="1185">
        <f t="shared" si="16"/>
        <v>38412</v>
      </c>
      <c r="M59" s="1185">
        <f t="shared" si="16"/>
        <v>38384</v>
      </c>
      <c r="N59" s="1185">
        <f t="shared" si="16"/>
        <v>38353</v>
      </c>
      <c r="O59" s="1185">
        <f t="shared" si="16"/>
        <v>38322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913"/>
      <c r="M4" s="914"/>
      <c r="N4" s="914"/>
      <c r="O4" s="9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913"/>
      <c r="M5" s="914"/>
      <c r="N5" s="914"/>
      <c r="O5" s="9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913"/>
      <c r="M6" s="914"/>
      <c r="N6" s="914"/>
      <c r="O6" s="9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SUMIF(52:52,YEAR(E7)&amp;"-"&amp;MONTH(E7),53:53)</f>
        <v>0</v>
      </c>
      <c r="G7" s="366"/>
      <c r="H7" s="365">
        <f>SUMIF(52:52,YEAR(G7)&amp;"-"&amp;MONTH(G7),53:53)</f>
        <v>0</v>
      </c>
      <c r="I7" s="366"/>
      <c r="J7" s="365">
        <f>SUMIF(52:52,YEAR(I7)&amp;"-"&amp;MONTH(I7),53:53)</f>
        <v>0</v>
      </c>
      <c r="K7" s="560"/>
      <c r="L7" s="915"/>
      <c r="M7" s="916"/>
      <c r="N7" s="916"/>
      <c r="O7" s="9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8" t="s">
        <v>1683</v>
      </c>
      <c r="Q8" s="3859"/>
      <c r="R8" s="701" t="s">
        <v>14</v>
      </c>
      <c r="S8" s="702">
        <f t="shared" si="0"/>
        <v>100</v>
      </c>
      <c r="T8" s="701" t="s">
        <v>14</v>
      </c>
      <c r="U8" s="702">
        <f t="shared" si="1"/>
        <v>100</v>
      </c>
      <c r="V8" s="701" t="s">
        <v>14</v>
      </c>
      <c r="W8" s="702">
        <f t="shared" si="2"/>
        <v>100</v>
      </c>
      <c r="X8" s="703"/>
      <c r="Y8" s="3858" t="s">
        <v>1683</v>
      </c>
      <c r="Z8" s="385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2"/>
      <c r="Q11" s="1343" t="str">
        <f t="shared" si="6"/>
        <v>容积率</v>
      </c>
      <c r="R11" s="701" t="s">
        <v>14</v>
      </c>
      <c r="S11" s="702">
        <f t="shared" si="0"/>
        <v>100</v>
      </c>
      <c r="T11" s="701" t="s">
        <v>14</v>
      </c>
      <c r="U11" s="702">
        <f t="shared" si="1"/>
        <v>100</v>
      </c>
      <c r="V11" s="701" t="s">
        <v>14</v>
      </c>
      <c r="W11" s="702">
        <f t="shared" si="2"/>
        <v>100</v>
      </c>
      <c r="X11" s="703"/>
      <c r="Y11" s="36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3" t="s">
        <v>1696</v>
      </c>
      <c r="Q29" s="1352" t="str">
        <f t="shared" si="11"/>
        <v>建筑类型</v>
      </c>
      <c r="R29" s="705" t="s">
        <v>14</v>
      </c>
      <c r="S29" s="706">
        <f t="shared" si="12"/>
        <v>100</v>
      </c>
      <c r="T29" s="705" t="s">
        <v>14</v>
      </c>
      <c r="U29" s="706">
        <f t="shared" si="13"/>
        <v>100</v>
      </c>
      <c r="V29" s="705" t="s">
        <v>14</v>
      </c>
      <c r="W29" s="706">
        <f t="shared" si="14"/>
        <v>100</v>
      </c>
      <c r="X29" s="1355"/>
      <c r="Y29" s="382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1696</v>
      </c>
      <c r="Q35" s="1352" t="str">
        <f t="shared" si="11"/>
        <v>市政基础设施</v>
      </c>
      <c r="R35" s="705" t="s">
        <v>14</v>
      </c>
      <c r="S35" s="706">
        <f t="shared" si="12"/>
        <v>100</v>
      </c>
      <c r="T35" s="705" t="s">
        <v>14</v>
      </c>
      <c r="U35" s="706">
        <f t="shared" si="13"/>
        <v>100</v>
      </c>
      <c r="V35" s="705" t="s">
        <v>14</v>
      </c>
      <c r="W35" s="706">
        <f t="shared" si="14"/>
        <v>100</v>
      </c>
      <c r="X35" s="1355"/>
      <c r="Y35" s="382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22" t="str">
        <f>A41</f>
        <v>成交单价（元/平方米）</v>
      </c>
      <c r="Q41" s="3822"/>
      <c r="R41" s="3823">
        <f>E41</f>
        <v>0</v>
      </c>
      <c r="S41" s="3823"/>
      <c r="T41" s="3823">
        <f>G41</f>
        <v>0</v>
      </c>
      <c r="U41" s="3823"/>
      <c r="V41" s="3823">
        <f>I41</f>
        <v>0</v>
      </c>
      <c r="W41" s="3823"/>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22" t="str">
        <f>A42</f>
        <v>比较价值（元/平方米）</v>
      </c>
      <c r="Q42" s="3822"/>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2005-12</v>
      </c>
      <c r="D52" s="1185">
        <f>EDATE(C52,-1)</f>
        <v>38657</v>
      </c>
      <c r="E52" s="1185">
        <f t="shared" ref="E52:O52" si="16">EDATE(D52,-1)</f>
        <v>38626</v>
      </c>
      <c r="F52" s="1185">
        <f t="shared" si="16"/>
        <v>38596</v>
      </c>
      <c r="G52" s="1185">
        <f t="shared" si="16"/>
        <v>38565</v>
      </c>
      <c r="H52" s="1185">
        <f t="shared" si="16"/>
        <v>38534</v>
      </c>
      <c r="I52" s="1185">
        <f t="shared" si="16"/>
        <v>38504</v>
      </c>
      <c r="J52" s="1185">
        <f t="shared" si="16"/>
        <v>38473</v>
      </c>
      <c r="K52" s="1185">
        <f t="shared" si="16"/>
        <v>38443</v>
      </c>
      <c r="L52" s="1185">
        <f t="shared" si="16"/>
        <v>38412</v>
      </c>
      <c r="M52" s="1185">
        <f t="shared" si="16"/>
        <v>38384</v>
      </c>
      <c r="N52" s="1185">
        <f t="shared" si="16"/>
        <v>38353</v>
      </c>
      <c r="O52" s="1185">
        <f t="shared" si="16"/>
        <v>38322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25"/>
      <c r="Q15" s="1352"/>
      <c r="R15" s="705"/>
      <c r="S15" s="706"/>
      <c r="T15" s="705"/>
      <c r="U15" s="706"/>
      <c r="V15" s="705"/>
      <c r="W15" s="706"/>
      <c r="X15" s="1355"/>
      <c r="Y15" s="382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25"/>
      <c r="Q17" s="1352"/>
      <c r="R17" s="705"/>
      <c r="S17" s="706"/>
      <c r="T17" s="705"/>
      <c r="U17" s="706"/>
      <c r="V17" s="705"/>
      <c r="W17" s="706"/>
      <c r="X17" s="1355"/>
      <c r="Y17" s="382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25"/>
      <c r="Q19" s="1352"/>
      <c r="R19" s="705"/>
      <c r="S19" s="706"/>
      <c r="T19" s="705"/>
      <c r="U19" s="706"/>
      <c r="V19" s="705"/>
      <c r="W19" s="706"/>
      <c r="X19" s="1355"/>
      <c r="Y19" s="382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25"/>
      <c r="Q21" s="1352"/>
      <c r="R21" s="705"/>
      <c r="S21" s="706"/>
      <c r="T21" s="705"/>
      <c r="U21" s="706"/>
      <c r="V21" s="705"/>
      <c r="W21" s="706"/>
      <c r="X21" s="1355"/>
      <c r="Y21" s="382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29" t="s">
        <v>1696</v>
      </c>
      <c r="Q32" s="1352" t="str">
        <f t="shared" si="11"/>
        <v>车位类型</v>
      </c>
      <c r="R32" s="705" t="s">
        <v>14</v>
      </c>
      <c r="S32" s="706">
        <f t="shared" si="12"/>
        <v>100</v>
      </c>
      <c r="T32" s="705" t="s">
        <v>14</v>
      </c>
      <c r="U32" s="706">
        <f t="shared" si="13"/>
        <v>100</v>
      </c>
      <c r="V32" s="705" t="s">
        <v>14</v>
      </c>
      <c r="W32" s="706">
        <f t="shared" si="14"/>
        <v>100</v>
      </c>
      <c r="X32" s="1355"/>
      <c r="Y32" s="382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22" t="str">
        <f>A37</f>
        <v>成交单价</v>
      </c>
      <c r="Q37" s="3822"/>
      <c r="R37" s="3823">
        <f>E37</f>
        <v>0</v>
      </c>
      <c r="S37" s="3823"/>
      <c r="T37" s="3823">
        <f>G37</f>
        <v>0</v>
      </c>
      <c r="U37" s="3823"/>
      <c r="V37" s="3823">
        <f>I37</f>
        <v>0</v>
      </c>
      <c r="W37" s="3823"/>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19" t="str">
        <f>A39</f>
        <v>估价对象XX用房的比较价值（楼面单价，元/平方米）</v>
      </c>
      <c r="Q39" s="3820"/>
      <c r="R39" s="3884" t="e">
        <f>IF(F1="售价",ROUND(IF(D38="简单平均",AVERAGE(R38:W38),R38*F38+T38*H38+V38*J38),0),ROUND(IF(D38="简单平均",AVERAGE(R38:V38),R38*F38+T38*H38+V38*J38),1))</f>
        <v>#DIV/0!</v>
      </c>
      <c r="S39" s="3884"/>
      <c r="T39" s="3884"/>
      <c r="U39" s="3884"/>
      <c r="V39" s="3884"/>
      <c r="W39" s="388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2005-12</v>
      </c>
      <c r="D48" s="1185">
        <f>EDATE(C48,-1)</f>
        <v>38657</v>
      </c>
      <c r="E48" s="1185">
        <f t="shared" ref="E48:O48" si="16">EDATE(D48,-1)</f>
        <v>38626</v>
      </c>
      <c r="F48" s="1185">
        <f t="shared" si="16"/>
        <v>38596</v>
      </c>
      <c r="G48" s="1185">
        <f t="shared" si="16"/>
        <v>38565</v>
      </c>
      <c r="H48" s="1185">
        <f t="shared" si="16"/>
        <v>38534</v>
      </c>
      <c r="I48" s="1185">
        <f t="shared" si="16"/>
        <v>38504</v>
      </c>
      <c r="J48" s="1185">
        <f t="shared" si="16"/>
        <v>38473</v>
      </c>
      <c r="K48" s="1185">
        <f t="shared" si="16"/>
        <v>38443</v>
      </c>
      <c r="L48" s="1185">
        <f t="shared" si="16"/>
        <v>38412</v>
      </c>
      <c r="M48" s="1185">
        <f t="shared" si="16"/>
        <v>38384</v>
      </c>
      <c r="N48" s="1185">
        <f t="shared" si="16"/>
        <v>38353</v>
      </c>
      <c r="O48" s="1185">
        <f t="shared" si="16"/>
        <v>38322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58" t="s">
        <v>1680</v>
      </c>
      <c r="Q7" s="3860"/>
      <c r="R7" s="701" t="s">
        <v>14</v>
      </c>
      <c r="S7" s="702">
        <f t="shared" ref="S7:S14" si="0">F7</f>
        <v>0</v>
      </c>
      <c r="T7" s="701" t="s">
        <v>14</v>
      </c>
      <c r="U7" s="702">
        <f t="shared" ref="U7:U14" si="1">H7</f>
        <v>0</v>
      </c>
      <c r="V7" s="701" t="s">
        <v>14</v>
      </c>
      <c r="W7" s="702">
        <f t="shared" ref="W7:W14" si="2">J7</f>
        <v>0</v>
      </c>
      <c r="X7" s="703"/>
      <c r="Y7" s="3858" t="s">
        <v>1680</v>
      </c>
      <c r="Z7" s="385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58" t="s">
        <v>1683</v>
      </c>
      <c r="Q8" s="3859"/>
      <c r="R8" s="701" t="s">
        <v>14</v>
      </c>
      <c r="S8" s="702">
        <f t="shared" si="0"/>
        <v>100</v>
      </c>
      <c r="T8" s="701" t="s">
        <v>14</v>
      </c>
      <c r="U8" s="702">
        <f t="shared" si="1"/>
        <v>100</v>
      </c>
      <c r="V8" s="701" t="s">
        <v>14</v>
      </c>
      <c r="W8" s="702">
        <f t="shared" si="2"/>
        <v>100</v>
      </c>
      <c r="X8" s="703"/>
      <c r="Y8" s="3858" t="s">
        <v>1683</v>
      </c>
      <c r="Z8" s="385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22" t="s">
        <v>1686</v>
      </c>
      <c r="Q9" s="1343" t="str">
        <f t="shared" ref="Q9:Q14" si="6">B9</f>
        <v>用途</v>
      </c>
      <c r="R9" s="701" t="s">
        <v>14</v>
      </c>
      <c r="S9" s="702">
        <f t="shared" si="0"/>
        <v>100</v>
      </c>
      <c r="T9" s="701" t="s">
        <v>14</v>
      </c>
      <c r="U9" s="702">
        <f t="shared" si="1"/>
        <v>100</v>
      </c>
      <c r="V9" s="701" t="s">
        <v>14</v>
      </c>
      <c r="W9" s="702">
        <f t="shared" si="2"/>
        <v>100</v>
      </c>
      <c r="X9" s="703"/>
      <c r="Y9" s="3678"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22"/>
      <c r="Q10" s="1343" t="str">
        <f t="shared" si="6"/>
        <v>土地使用年限（年）</v>
      </c>
      <c r="R10" s="701" t="s">
        <v>14</v>
      </c>
      <c r="S10" s="702">
        <f t="shared" si="0"/>
        <v>100</v>
      </c>
      <c r="T10" s="701" t="s">
        <v>14</v>
      </c>
      <c r="U10" s="702">
        <f t="shared" si="1"/>
        <v>100</v>
      </c>
      <c r="V10" s="701" t="s">
        <v>14</v>
      </c>
      <c r="W10" s="702">
        <f t="shared" si="2"/>
        <v>100</v>
      </c>
      <c r="X10" s="703"/>
      <c r="Y10" s="36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22"/>
      <c r="Q11" s="1343">
        <f t="shared" si="6"/>
        <v>111</v>
      </c>
      <c r="R11" s="701" t="s">
        <v>14</v>
      </c>
      <c r="S11" s="702">
        <f t="shared" si="0"/>
        <v>100</v>
      </c>
      <c r="T11" s="701" t="s">
        <v>14</v>
      </c>
      <c r="U11" s="702">
        <f t="shared" si="1"/>
        <v>100</v>
      </c>
      <c r="V11" s="701" t="s">
        <v>14</v>
      </c>
      <c r="W11" s="702">
        <f t="shared" si="2"/>
        <v>100</v>
      </c>
      <c r="X11" s="703"/>
      <c r="Y11" s="36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24" t="s">
        <v>1691</v>
      </c>
      <c r="Q14" s="1352" t="str">
        <f t="shared" si="6"/>
        <v>交通便捷度</v>
      </c>
      <c r="R14" s="705" t="s">
        <v>14</v>
      </c>
      <c r="S14" s="706">
        <f t="shared" si="0"/>
        <v>100</v>
      </c>
      <c r="T14" s="705" t="s">
        <v>14</v>
      </c>
      <c r="U14" s="706">
        <f t="shared" si="1"/>
        <v>100</v>
      </c>
      <c r="V14" s="705" t="s">
        <v>14</v>
      </c>
      <c r="W14" s="706">
        <f t="shared" si="2"/>
        <v>100</v>
      </c>
      <c r="X14" s="1355"/>
      <c r="Y14" s="382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25"/>
      <c r="Q15" s="1352"/>
      <c r="R15" s="705"/>
      <c r="S15" s="706"/>
      <c r="T15" s="705"/>
      <c r="U15" s="706"/>
      <c r="V15" s="705"/>
      <c r="W15" s="706"/>
      <c r="X15" s="1355"/>
      <c r="Y15" s="382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25"/>
      <c r="Q17" s="1352"/>
      <c r="R17" s="705"/>
      <c r="S17" s="706"/>
      <c r="T17" s="705"/>
      <c r="U17" s="706"/>
      <c r="V17" s="705"/>
      <c r="W17" s="706"/>
      <c r="X17" s="1355"/>
      <c r="Y17" s="382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25"/>
      <c r="Q19" s="1352"/>
      <c r="R19" s="705"/>
      <c r="S19" s="706"/>
      <c r="T19" s="705"/>
      <c r="U19" s="706"/>
      <c r="V19" s="705"/>
      <c r="W19" s="706"/>
      <c r="X19" s="1355"/>
      <c r="Y19" s="382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25"/>
      <c r="Q21" s="1352"/>
      <c r="R21" s="705"/>
      <c r="S21" s="706"/>
      <c r="T21" s="705"/>
      <c r="U21" s="706"/>
      <c r="V21" s="705"/>
      <c r="W21" s="706"/>
      <c r="X21" s="1355"/>
      <c r="Y21" s="382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29" t="s">
        <v>1696</v>
      </c>
      <c r="Q32" s="1352">
        <f t="shared" si="11"/>
        <v>111</v>
      </c>
      <c r="R32" s="705" t="s">
        <v>14</v>
      </c>
      <c r="S32" s="706">
        <f t="shared" si="12"/>
        <v>100</v>
      </c>
      <c r="T32" s="705" t="s">
        <v>14</v>
      </c>
      <c r="U32" s="706">
        <f t="shared" si="13"/>
        <v>100</v>
      </c>
      <c r="V32" s="705" t="s">
        <v>14</v>
      </c>
      <c r="W32" s="706">
        <f t="shared" si="14"/>
        <v>100</v>
      </c>
      <c r="X32" s="1355"/>
      <c r="Y32" s="382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22" t="str">
        <f>A35</f>
        <v>成交单价（元/平方米）</v>
      </c>
      <c r="Q35" s="3822"/>
      <c r="R35" s="3823">
        <f>E35</f>
        <v>0</v>
      </c>
      <c r="S35" s="3823"/>
      <c r="T35" s="3823">
        <f>G35</f>
        <v>0</v>
      </c>
      <c r="U35" s="3823"/>
      <c r="V35" s="3823">
        <f>I35</f>
        <v>0</v>
      </c>
      <c r="W35" s="3823"/>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19" t="str">
        <f>A37</f>
        <v>估价对象XX用房的比较价值（楼面单价，元/平方米）</v>
      </c>
      <c r="Q37" s="3820"/>
      <c r="R37" s="3884" t="e">
        <f>IF(F1="售价",ROUND(IF(D36="简单平均",AVERAGE(R36:W36),R36*F36+T36*H36+V36*J36),0),ROUND(IF(D36="简单平均",AVERAGE(R36:V36),R36*F36+T36*H36+V36*J36),1))</f>
        <v>#DIV/0!</v>
      </c>
      <c r="S37" s="3884"/>
      <c r="T37" s="3884"/>
      <c r="U37" s="3884"/>
      <c r="V37" s="3884"/>
      <c r="W37" s="388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2005-12</v>
      </c>
      <c r="D46" s="1185">
        <f>EDATE(C46,-1)</f>
        <v>38657</v>
      </c>
      <c r="E46" s="1185">
        <f t="shared" ref="E46:O46" si="16">EDATE(D46,-1)</f>
        <v>38626</v>
      </c>
      <c r="F46" s="1185">
        <f t="shared" si="16"/>
        <v>38596</v>
      </c>
      <c r="G46" s="1185">
        <f t="shared" si="16"/>
        <v>38565</v>
      </c>
      <c r="H46" s="1185">
        <f t="shared" si="16"/>
        <v>38534</v>
      </c>
      <c r="I46" s="1185">
        <f t="shared" si="16"/>
        <v>38504</v>
      </c>
      <c r="J46" s="1185">
        <f t="shared" si="16"/>
        <v>38473</v>
      </c>
      <c r="K46" s="1185">
        <f t="shared" si="16"/>
        <v>38443</v>
      </c>
      <c r="L46" s="1185">
        <f t="shared" si="16"/>
        <v>38412</v>
      </c>
      <c r="M46" s="1185">
        <f t="shared" si="16"/>
        <v>38384</v>
      </c>
      <c r="N46" s="1185">
        <f t="shared" si="16"/>
        <v>38353</v>
      </c>
      <c r="O46" s="1185">
        <f t="shared" si="16"/>
        <v>38322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30">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30" ht="15" thickBot="1">
      <c r="A6" s="360"/>
      <c r="B6" s="361"/>
      <c r="C6" s="3854" t="s">
        <v>1677</v>
      </c>
      <c r="D6" s="3855"/>
      <c r="E6" s="3863" t="s">
        <v>1677</v>
      </c>
      <c r="F6" s="3864"/>
      <c r="G6" s="3854" t="s">
        <v>1677</v>
      </c>
      <c r="H6" s="3855"/>
      <c r="I6" s="3854" t="s">
        <v>1677</v>
      </c>
      <c r="J6" s="3855"/>
      <c r="K6" s="559" t="s">
        <v>1678</v>
      </c>
      <c r="L6" s="2713"/>
      <c r="M6" s="2714"/>
      <c r="N6" s="2714"/>
      <c r="O6" s="2714"/>
      <c r="P6" s="3845"/>
      <c r="Q6" s="3846"/>
      <c r="R6" s="3849"/>
      <c r="S6" s="3850"/>
      <c r="T6" s="3851"/>
      <c r="U6" s="3852"/>
      <c r="V6" s="3853"/>
      <c r="W6" s="3853"/>
      <c r="X6" s="1355"/>
      <c r="Y6" s="3851"/>
      <c r="Z6" s="3852"/>
      <c r="AA6" s="3836"/>
      <c r="AB6" s="3836"/>
      <c r="AC6" s="3836"/>
    </row>
    <row r="7" spans="1:30" s="108" customFormat="1" ht="15" thickBot="1">
      <c r="A7" s="362" t="s">
        <v>1679</v>
      </c>
      <c r="B7" s="363"/>
      <c r="C7" s="364">
        <f>'数据-取费表'!B2</f>
        <v>38689</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22"/>
      <c r="Q12" s="1343" t="str">
        <f t="shared" si="6"/>
        <v>配建</v>
      </c>
      <c r="R12" s="701" t="s">
        <v>14</v>
      </c>
      <c r="S12" s="702">
        <f t="shared" si="0"/>
        <v>100</v>
      </c>
      <c r="T12" s="701" t="s">
        <v>14</v>
      </c>
      <c r="U12" s="702">
        <f t="shared" si="1"/>
        <v>100</v>
      </c>
      <c r="V12" s="701" t="s">
        <v>14</v>
      </c>
      <c r="W12" s="702">
        <f t="shared" si="2"/>
        <v>100</v>
      </c>
      <c r="X12" s="703"/>
      <c r="Y12" s="36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24" t="s">
        <v>1691</v>
      </c>
      <c r="Q15" s="1352" t="str">
        <f t="shared" si="6"/>
        <v>居住社区成熟度</v>
      </c>
      <c r="R15" s="705" t="s">
        <v>14</v>
      </c>
      <c r="S15" s="706">
        <f t="shared" si="0"/>
        <v>100</v>
      </c>
      <c r="T15" s="705" t="s">
        <v>14</v>
      </c>
      <c r="U15" s="706">
        <f t="shared" si="1"/>
        <v>100</v>
      </c>
      <c r="V15" s="705" t="s">
        <v>14</v>
      </c>
      <c r="W15" s="706">
        <f t="shared" si="2"/>
        <v>100</v>
      </c>
      <c r="X15" s="1355"/>
      <c r="Y15" s="382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25"/>
      <c r="Q20" s="1352"/>
      <c r="R20" s="705"/>
      <c r="S20" s="706"/>
      <c r="T20" s="705"/>
      <c r="U20" s="706"/>
      <c r="V20" s="705"/>
      <c r="W20" s="706"/>
      <c r="X20" s="1355"/>
      <c r="Y20" s="382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25"/>
      <c r="Q24" s="1352"/>
      <c r="R24" s="705"/>
      <c r="S24" s="706"/>
      <c r="T24" s="705"/>
      <c r="U24" s="706"/>
      <c r="V24" s="705"/>
      <c r="W24" s="706"/>
      <c r="X24" s="1355"/>
      <c r="Y24" s="3825"/>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25"/>
      <c r="Q26" s="1352"/>
      <c r="R26" s="705"/>
      <c r="S26" s="706"/>
      <c r="T26" s="705"/>
      <c r="U26" s="706"/>
      <c r="V26" s="705"/>
      <c r="W26" s="706"/>
      <c r="X26" s="1355"/>
      <c r="Y26" s="382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25"/>
      <c r="Q28" s="1343"/>
      <c r="R28" s="701"/>
      <c r="S28" s="702"/>
      <c r="T28" s="701"/>
      <c r="U28" s="702"/>
      <c r="V28" s="701"/>
      <c r="W28" s="702"/>
      <c r="X28" s="703"/>
      <c r="Y28" s="382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25"/>
      <c r="Q30" s="1343"/>
      <c r="R30" s="701"/>
      <c r="S30" s="702"/>
      <c r="T30" s="701"/>
      <c r="U30" s="702"/>
      <c r="V30" s="701"/>
      <c r="W30" s="702"/>
      <c r="X30" s="703"/>
      <c r="Y30" s="382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25"/>
      <c r="Q33" s="1352"/>
      <c r="R33" s="705"/>
      <c r="S33" s="706"/>
      <c r="T33" s="705"/>
      <c r="U33" s="706"/>
      <c r="V33" s="705"/>
      <c r="W33" s="706"/>
      <c r="X33" s="1355"/>
      <c r="Y33" s="382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3" t="s">
        <v>1696</v>
      </c>
      <c r="Q36" s="1352">
        <f t="shared" si="8"/>
        <v>111</v>
      </c>
      <c r="R36" s="705" t="s">
        <v>14</v>
      </c>
      <c r="S36" s="706">
        <f t="shared" si="10"/>
        <v>100</v>
      </c>
      <c r="T36" s="705" t="s">
        <v>14</v>
      </c>
      <c r="U36" s="706">
        <f t="shared" si="11"/>
        <v>100</v>
      </c>
      <c r="V36" s="705" t="s">
        <v>14</v>
      </c>
      <c r="W36" s="706">
        <f t="shared" si="12"/>
        <v>100</v>
      </c>
      <c r="X36" s="1355"/>
      <c r="Y36" s="3829"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29" t="s">
        <v>1696</v>
      </c>
      <c r="Q42" s="1352" t="str">
        <f t="shared" si="14"/>
        <v>工程地质条件</v>
      </c>
      <c r="R42" s="705" t="s">
        <v>14</v>
      </c>
      <c r="S42" s="706">
        <f t="shared" si="10"/>
        <v>100</v>
      </c>
      <c r="T42" s="705" t="s">
        <v>14</v>
      </c>
      <c r="U42" s="706">
        <f t="shared" si="11"/>
        <v>100</v>
      </c>
      <c r="V42" s="705" t="s">
        <v>14</v>
      </c>
      <c r="W42" s="706">
        <f t="shared" si="12"/>
        <v>100</v>
      </c>
      <c r="X42" s="1355"/>
      <c r="Y42" s="382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22" t="str">
        <f>A46</f>
        <v>成交单价</v>
      </c>
      <c r="Q46" s="3822"/>
      <c r="R46" s="3853">
        <f>E46</f>
        <v>0</v>
      </c>
      <c r="S46" s="3853"/>
      <c r="T46" s="3853">
        <f>G46</f>
        <v>0</v>
      </c>
      <c r="U46" s="3853"/>
      <c r="V46" s="3853">
        <f>I46</f>
        <v>0</v>
      </c>
      <c r="W46" s="3853"/>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22" t="str">
        <f>A47</f>
        <v>比较价值（元/平方米）</v>
      </c>
      <c r="Q47" s="3822"/>
      <c r="R47" s="3885" t="e">
        <f>ROUND(PRODUCT(R46,AA7:AA45),0)</f>
        <v>#DIV/0!</v>
      </c>
      <c r="S47" s="3885"/>
      <c r="T47" s="3885" t="e">
        <f>ROUND(PRODUCT(T46,AB7:AB45),0)</f>
        <v>#DIV/0!</v>
      </c>
      <c r="U47" s="3885"/>
      <c r="V47" s="3885" t="e">
        <f>ROUND(PRODUCT(V46,AC7:AC45),0)</f>
        <v>#DIV/0!</v>
      </c>
      <c r="W47" s="388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19" t="str">
        <f>A48</f>
        <v>估价对象XX用房的比较价值（楼面单价，元/平方米）</v>
      </c>
      <c r="Q48" s="3820"/>
      <c r="R48" s="3886" t="e">
        <f>ROUND(IF(D47="简单平均",AVERAGE(R47:W47),R47*F47+T47*H47+V47*J47),0)</f>
        <v>#DIV/0!</v>
      </c>
      <c r="S48" s="3886"/>
      <c r="T48" s="3886"/>
      <c r="U48" s="3886"/>
      <c r="V48" s="3886"/>
      <c r="W48" s="388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37" t="s">
        <v>1887</v>
      </c>
      <c r="H55" s="388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60.9</v>
      </c>
      <c r="F56" s="886" t="e">
        <f t="shared" ref="F56:F64" si="15">ROUND(B56*E56/10000,0)</f>
        <v>#DIV/0!</v>
      </c>
      <c r="G56" s="3833"/>
      <c r="H56" s="38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2005-12-1</v>
      </c>
      <c r="D67" s="692">
        <f>EDATE(C67,-3)</f>
        <v>38596</v>
      </c>
      <c r="E67" s="692">
        <f>EDATE(D67,-3)</f>
        <v>38504</v>
      </c>
      <c r="F67" s="692">
        <f t="shared" ref="F67:O67" si="18">EDATE(E67,-3)</f>
        <v>38412</v>
      </c>
      <c r="G67" s="692">
        <f t="shared" si="18"/>
        <v>38322</v>
      </c>
      <c r="H67" s="692">
        <f t="shared" si="18"/>
        <v>38231</v>
      </c>
      <c r="I67" s="692">
        <f t="shared" si="18"/>
        <v>38139</v>
      </c>
      <c r="J67" s="692">
        <f t="shared" si="18"/>
        <v>38047</v>
      </c>
      <c r="K67" s="692">
        <f t="shared" si="18"/>
        <v>37956</v>
      </c>
      <c r="L67" s="692">
        <f t="shared" si="18"/>
        <v>37865</v>
      </c>
      <c r="M67" s="692">
        <f t="shared" si="18"/>
        <v>37773</v>
      </c>
      <c r="N67" s="692">
        <f t="shared" si="18"/>
        <v>37681</v>
      </c>
      <c r="O67" s="692">
        <f t="shared" si="18"/>
        <v>37591</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2005-4</v>
      </c>
      <c r="D69" s="1182" t="str">
        <f>YEAR(D67)&amp;"-"&amp;ROUNDUP(MONTH(D67)/3,0)</f>
        <v>2005-3</v>
      </c>
      <c r="E69" s="1182" t="str">
        <f t="shared" ref="E69:O69" si="19">YEAR(E67)&amp;"-"&amp;ROUNDUP(MONTH(E67)/3,0)</f>
        <v>2005-2</v>
      </c>
      <c r="F69" s="1182" t="str">
        <f t="shared" si="19"/>
        <v>2005-1</v>
      </c>
      <c r="G69" s="1182" t="str">
        <f t="shared" si="19"/>
        <v>2004-4</v>
      </c>
      <c r="H69" s="1182" t="str">
        <f t="shared" si="19"/>
        <v>2004-3</v>
      </c>
      <c r="I69" s="1182" t="str">
        <f t="shared" si="19"/>
        <v>2004-2</v>
      </c>
      <c r="J69" s="1182" t="str">
        <f t="shared" si="19"/>
        <v>2004-1</v>
      </c>
      <c r="K69" s="1182" t="str">
        <f t="shared" si="19"/>
        <v>2003-4</v>
      </c>
      <c r="L69" s="1182" t="str">
        <f t="shared" si="19"/>
        <v>2003-3</v>
      </c>
      <c r="M69" s="1182" t="str">
        <f t="shared" si="19"/>
        <v>2003-2</v>
      </c>
      <c r="N69" s="1182" t="str">
        <f t="shared" si="19"/>
        <v>2003-1</v>
      </c>
      <c r="O69" s="1182" t="str">
        <f t="shared" si="19"/>
        <v>2002-4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37" t="s">
        <v>1770</v>
      </c>
      <c r="D4" s="3838"/>
      <c r="E4" s="3839" t="s">
        <v>1771</v>
      </c>
      <c r="F4" s="3840"/>
      <c r="G4" s="3837" t="s">
        <v>1772</v>
      </c>
      <c r="H4" s="3838"/>
      <c r="I4" s="3837" t="s">
        <v>1773</v>
      </c>
      <c r="J4" s="3838"/>
      <c r="K4" s="559" t="s">
        <v>1774</v>
      </c>
      <c r="L4" s="2713"/>
      <c r="M4" s="2714"/>
      <c r="N4" s="2714"/>
      <c r="O4" s="2714"/>
      <c r="P4" s="3841" t="s">
        <v>1775</v>
      </c>
      <c r="Q4" s="3842"/>
      <c r="R4" s="3847" t="s">
        <v>1771</v>
      </c>
      <c r="S4" s="3848"/>
      <c r="T4" s="3847" t="s">
        <v>1772</v>
      </c>
      <c r="U4" s="3848"/>
      <c r="V4" s="3853" t="s">
        <v>1773</v>
      </c>
      <c r="W4" s="3853"/>
      <c r="X4" s="1355"/>
      <c r="Y4" s="3847" t="s">
        <v>1775</v>
      </c>
      <c r="Z4" s="3848"/>
      <c r="AA4" s="3834" t="s">
        <v>1771</v>
      </c>
      <c r="AB4" s="3835" t="s">
        <v>1772</v>
      </c>
      <c r="AC4" s="3834" t="s">
        <v>1773</v>
      </c>
    </row>
    <row r="5" spans="1:29">
      <c r="A5" s="358"/>
      <c r="B5" s="359"/>
      <c r="C5" s="3861" t="s">
        <v>1673</v>
      </c>
      <c r="D5" s="3857"/>
      <c r="E5" s="3867" t="s">
        <v>1674</v>
      </c>
      <c r="F5" s="3866"/>
      <c r="G5" s="3861" t="s">
        <v>1675</v>
      </c>
      <c r="H5" s="3857"/>
      <c r="I5" s="3861" t="s">
        <v>1676</v>
      </c>
      <c r="J5" s="3857"/>
      <c r="K5" s="559"/>
      <c r="L5" s="2713"/>
      <c r="M5" s="2714"/>
      <c r="N5" s="2714"/>
      <c r="O5" s="2714"/>
      <c r="P5" s="3843"/>
      <c r="Q5" s="3844"/>
      <c r="R5" s="3849"/>
      <c r="S5" s="3850"/>
      <c r="T5" s="3849"/>
      <c r="U5" s="3850"/>
      <c r="V5" s="3853"/>
      <c r="W5" s="3853"/>
      <c r="X5" s="1355"/>
      <c r="Y5" s="3849"/>
      <c r="Z5" s="3850"/>
      <c r="AA5" s="3835"/>
      <c r="AB5" s="3835"/>
      <c r="AC5" s="3835"/>
    </row>
    <row r="6" spans="1:29" ht="15" thickBot="1">
      <c r="A6" s="360"/>
      <c r="B6" s="361"/>
      <c r="C6" s="3888" t="s">
        <v>1919</v>
      </c>
      <c r="D6" s="3889"/>
      <c r="E6" s="3890" t="s">
        <v>1919</v>
      </c>
      <c r="F6" s="3891"/>
      <c r="G6" s="3888" t="s">
        <v>1919</v>
      </c>
      <c r="H6" s="3889"/>
      <c r="I6" s="3888" t="s">
        <v>1919</v>
      </c>
      <c r="J6" s="3889"/>
      <c r="K6" s="559" t="s">
        <v>1678</v>
      </c>
      <c r="L6" s="2713"/>
      <c r="M6" s="2714"/>
      <c r="N6" s="2714"/>
      <c r="O6" s="2714"/>
      <c r="P6" s="3845"/>
      <c r="Q6" s="3846"/>
      <c r="R6" s="3849"/>
      <c r="S6" s="3850"/>
      <c r="T6" s="3851"/>
      <c r="U6" s="3852"/>
      <c r="V6" s="3853"/>
      <c r="W6" s="3853"/>
      <c r="X6" s="1355"/>
      <c r="Y6" s="3851"/>
      <c r="Z6" s="3852"/>
      <c r="AA6" s="3836"/>
      <c r="AB6" s="3836"/>
      <c r="AC6" s="3836"/>
    </row>
    <row r="7" spans="1:29" s="108" customFormat="1" ht="15" thickBot="1">
      <c r="A7" s="362" t="s">
        <v>1679</v>
      </c>
      <c r="B7" s="363"/>
      <c r="C7" s="364">
        <f>'数据-取费表'!B2</f>
        <v>38689</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58" t="s">
        <v>1680</v>
      </c>
      <c r="Q7" s="3860"/>
      <c r="R7" s="701" t="s">
        <v>14</v>
      </c>
      <c r="S7" s="702">
        <f t="shared" ref="S7:S15" si="0">F7</f>
        <v>0</v>
      </c>
      <c r="T7" s="701" t="s">
        <v>14</v>
      </c>
      <c r="U7" s="702">
        <f t="shared" ref="U7:U15" si="1">H7</f>
        <v>0</v>
      </c>
      <c r="V7" s="701" t="s">
        <v>14</v>
      </c>
      <c r="W7" s="702">
        <f t="shared" ref="W7:W15" si="2">J7</f>
        <v>0</v>
      </c>
      <c r="X7" s="703"/>
      <c r="Y7" s="3858" t="s">
        <v>1680</v>
      </c>
      <c r="Z7" s="385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58" t="s">
        <v>1683</v>
      </c>
      <c r="Q8" s="3859"/>
      <c r="R8" s="701" t="s">
        <v>14</v>
      </c>
      <c r="S8" s="702">
        <f t="shared" si="0"/>
        <v>0</v>
      </c>
      <c r="T8" s="701" t="s">
        <v>14</v>
      </c>
      <c r="U8" s="702">
        <f t="shared" si="1"/>
        <v>0</v>
      </c>
      <c r="V8" s="701" t="s">
        <v>14</v>
      </c>
      <c r="W8" s="702">
        <f t="shared" si="2"/>
        <v>0</v>
      </c>
      <c r="X8" s="703"/>
      <c r="Y8" s="3858" t="s">
        <v>1683</v>
      </c>
      <c r="Z8" s="3859"/>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22" t="s">
        <v>1686</v>
      </c>
      <c r="Q9" s="1343" t="str">
        <f t="shared" ref="Q9:Q15" si="6">B9</f>
        <v>用途</v>
      </c>
      <c r="R9" s="701" t="s">
        <v>14</v>
      </c>
      <c r="S9" s="702">
        <f t="shared" si="0"/>
        <v>100</v>
      </c>
      <c r="T9" s="701" t="s">
        <v>14</v>
      </c>
      <c r="U9" s="702">
        <f t="shared" si="1"/>
        <v>100</v>
      </c>
      <c r="V9" s="701" t="s">
        <v>14</v>
      </c>
      <c r="W9" s="702">
        <f t="shared" si="2"/>
        <v>100</v>
      </c>
      <c r="X9" s="703"/>
      <c r="Y9" s="367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22"/>
      <c r="Q10" s="1343" t="str">
        <f t="shared" si="6"/>
        <v>土地使用年限（年）</v>
      </c>
      <c r="R10" s="701" t="s">
        <v>14</v>
      </c>
      <c r="S10" s="702" t="e">
        <f t="shared" si="0"/>
        <v>#DIV/0!</v>
      </c>
      <c r="T10" s="701" t="s">
        <v>14</v>
      </c>
      <c r="U10" s="702" t="e">
        <f t="shared" si="1"/>
        <v>#DIV/0!</v>
      </c>
      <c r="V10" s="701" t="s">
        <v>14</v>
      </c>
      <c r="W10" s="702" t="e">
        <f t="shared" si="2"/>
        <v>#DIV/0!</v>
      </c>
      <c r="X10" s="703"/>
      <c r="Y10" s="367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22"/>
      <c r="Q11" s="1343" t="str">
        <f t="shared" si="6"/>
        <v>容积率</v>
      </c>
      <c r="R11" s="701" t="s">
        <v>14</v>
      </c>
      <c r="S11" s="702" t="e">
        <f t="shared" si="0"/>
        <v>#N/A</v>
      </c>
      <c r="T11" s="701" t="s">
        <v>14</v>
      </c>
      <c r="U11" s="702" t="e">
        <f t="shared" si="1"/>
        <v>#N/A</v>
      </c>
      <c r="V11" s="701" t="s">
        <v>14</v>
      </c>
      <c r="W11" s="702" t="e">
        <f t="shared" si="2"/>
        <v>#N/A</v>
      </c>
      <c r="X11" s="703"/>
      <c r="Y11" s="36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22"/>
      <c r="Q12" s="1343">
        <f t="shared" si="6"/>
        <v>111</v>
      </c>
      <c r="R12" s="701" t="s">
        <v>14</v>
      </c>
      <c r="S12" s="702">
        <f t="shared" si="0"/>
        <v>100</v>
      </c>
      <c r="T12" s="701" t="s">
        <v>14</v>
      </c>
      <c r="U12" s="702">
        <f t="shared" si="1"/>
        <v>100</v>
      </c>
      <c r="V12" s="701" t="s">
        <v>14</v>
      </c>
      <c r="W12" s="702">
        <f t="shared" si="2"/>
        <v>100</v>
      </c>
      <c r="X12" s="703"/>
      <c r="Y12" s="36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22"/>
      <c r="Q13" s="1343">
        <f t="shared" si="6"/>
        <v>111</v>
      </c>
      <c r="R13" s="701" t="s">
        <v>14</v>
      </c>
      <c r="S13" s="702">
        <f t="shared" si="0"/>
        <v>100</v>
      </c>
      <c r="T13" s="701" t="s">
        <v>14</v>
      </c>
      <c r="U13" s="702">
        <f t="shared" si="1"/>
        <v>100</v>
      </c>
      <c r="V13" s="701" t="s">
        <v>14</v>
      </c>
      <c r="W13" s="702">
        <f t="shared" si="2"/>
        <v>100</v>
      </c>
      <c r="X13" s="703"/>
      <c r="Y13" s="367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22"/>
      <c r="Q14" s="1343">
        <f t="shared" si="6"/>
        <v>111</v>
      </c>
      <c r="R14" s="701" t="s">
        <v>14</v>
      </c>
      <c r="S14" s="702">
        <f t="shared" si="0"/>
        <v>100</v>
      </c>
      <c r="T14" s="701" t="s">
        <v>14</v>
      </c>
      <c r="U14" s="702">
        <f t="shared" si="1"/>
        <v>100</v>
      </c>
      <c r="V14" s="701" t="s">
        <v>14</v>
      </c>
      <c r="W14" s="702">
        <f t="shared" si="2"/>
        <v>100</v>
      </c>
      <c r="X14" s="703"/>
      <c r="Y14" s="3678"/>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24" t="s">
        <v>1691</v>
      </c>
      <c r="Q15" s="1352" t="str">
        <f t="shared" si="6"/>
        <v>产业集聚程度</v>
      </c>
      <c r="R15" s="705" t="s">
        <v>14</v>
      </c>
      <c r="S15" s="706">
        <f t="shared" si="0"/>
        <v>100</v>
      </c>
      <c r="T15" s="705" t="s">
        <v>14</v>
      </c>
      <c r="U15" s="706">
        <f t="shared" si="1"/>
        <v>100</v>
      </c>
      <c r="V15" s="705" t="s">
        <v>14</v>
      </c>
      <c r="W15" s="706">
        <f t="shared" si="2"/>
        <v>100</v>
      </c>
      <c r="X15" s="1355"/>
      <c r="Y15" s="382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25"/>
      <c r="Q16" s="1352"/>
      <c r="R16" s="705"/>
      <c r="S16" s="706"/>
      <c r="T16" s="705"/>
      <c r="U16" s="706"/>
      <c r="V16" s="705"/>
      <c r="W16" s="706"/>
      <c r="X16" s="1355"/>
      <c r="Y16" s="382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25"/>
      <c r="Q18" s="1352"/>
      <c r="R18" s="705"/>
      <c r="S18" s="706"/>
      <c r="T18" s="705"/>
      <c r="U18" s="706"/>
      <c r="V18" s="705"/>
      <c r="W18" s="706"/>
      <c r="X18" s="1355"/>
      <c r="Y18" s="382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25"/>
      <c r="Q20" s="1352"/>
      <c r="R20" s="705"/>
      <c r="S20" s="706"/>
      <c r="T20" s="705"/>
      <c r="U20" s="706"/>
      <c r="V20" s="705"/>
      <c r="W20" s="706"/>
      <c r="X20" s="1355"/>
      <c r="Y20" s="382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25"/>
      <c r="Q22" s="1352"/>
      <c r="R22" s="705"/>
      <c r="S22" s="706"/>
      <c r="T22" s="705"/>
      <c r="U22" s="706"/>
      <c r="V22" s="705"/>
      <c r="W22" s="706"/>
      <c r="X22" s="1355"/>
      <c r="Y22" s="382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25"/>
      <c r="Q24" s="1343"/>
      <c r="R24" s="701"/>
      <c r="S24" s="702"/>
      <c r="T24" s="701"/>
      <c r="U24" s="702"/>
      <c r="V24" s="701"/>
      <c r="W24" s="702"/>
      <c r="X24" s="703"/>
      <c r="Y24" s="382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25"/>
      <c r="Q26" s="1343"/>
      <c r="R26" s="701"/>
      <c r="S26" s="702"/>
      <c r="T26" s="701"/>
      <c r="U26" s="702"/>
      <c r="V26" s="701"/>
      <c r="W26" s="702"/>
      <c r="X26" s="703"/>
      <c r="Y26" s="38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25"/>
      <c r="Q29" s="1352"/>
      <c r="R29" s="705"/>
      <c r="S29" s="706"/>
      <c r="T29" s="705"/>
      <c r="U29" s="706"/>
      <c r="V29" s="705"/>
      <c r="W29" s="706"/>
      <c r="X29" s="1355"/>
      <c r="Y29" s="382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3" t="s">
        <v>1696</v>
      </c>
      <c r="Q32" s="1352">
        <f t="shared" si="8"/>
        <v>111</v>
      </c>
      <c r="R32" s="705" t="s">
        <v>14</v>
      </c>
      <c r="S32" s="706">
        <f t="shared" si="10"/>
        <v>100</v>
      </c>
      <c r="T32" s="705" t="s">
        <v>14</v>
      </c>
      <c r="U32" s="706">
        <f t="shared" si="11"/>
        <v>100</v>
      </c>
      <c r="V32" s="705" t="s">
        <v>14</v>
      </c>
      <c r="W32" s="706">
        <f t="shared" si="12"/>
        <v>100</v>
      </c>
      <c r="X32" s="1355"/>
      <c r="Y32" s="3829"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29" t="s">
        <v>1696</v>
      </c>
      <c r="Q37" s="1352" t="str">
        <f t="shared" si="14"/>
        <v>工程地质条件</v>
      </c>
      <c r="R37" s="705" t="s">
        <v>14</v>
      </c>
      <c r="S37" s="706">
        <f t="shared" si="10"/>
        <v>100</v>
      </c>
      <c r="T37" s="705" t="s">
        <v>14</v>
      </c>
      <c r="U37" s="706">
        <f t="shared" si="11"/>
        <v>100</v>
      </c>
      <c r="V37" s="705" t="s">
        <v>14</v>
      </c>
      <c r="W37" s="706">
        <f t="shared" si="12"/>
        <v>100</v>
      </c>
      <c r="X37" s="1355"/>
      <c r="Y37" s="382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22" t="str">
        <f>A41</f>
        <v>成交单价</v>
      </c>
      <c r="Q41" s="3822"/>
      <c r="R41" s="3853">
        <f>E41</f>
        <v>0</v>
      </c>
      <c r="S41" s="3853"/>
      <c r="T41" s="3853">
        <f>G41</f>
        <v>0</v>
      </c>
      <c r="U41" s="3853"/>
      <c r="V41" s="3853">
        <f>I41</f>
        <v>0</v>
      </c>
      <c r="W41" s="3853"/>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22" t="str">
        <f>A42</f>
        <v>比较价值（元/平方米）</v>
      </c>
      <c r="Q42" s="3822"/>
      <c r="R42" s="3885" t="e">
        <f>ROUND(PRODUCT(R41,AA7:AA40),0)</f>
        <v>#DIV/0!</v>
      </c>
      <c r="S42" s="3885"/>
      <c r="T42" s="3885" t="e">
        <f>ROUND(PRODUCT(T41,AB7:AB40),0)</f>
        <v>#DIV/0!</v>
      </c>
      <c r="U42" s="3885"/>
      <c r="V42" s="3885" t="e">
        <f>ROUND(PRODUCT(V41,AC7:AC40),0)</f>
        <v>#DIV/0!</v>
      </c>
      <c r="W42" s="388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19" t="str">
        <f>A43</f>
        <v>估价对象XX用房的比较价值（楼面单价，元/平方米）</v>
      </c>
      <c r="Q43" s="3820"/>
      <c r="R43" s="3886" t="e">
        <f>ROUND(IF(D42="简单平均",AVERAGE(R42:W42),R42*F42+T42*H42+V42*J42),0)</f>
        <v>#DIV/0!</v>
      </c>
      <c r="S43" s="3886"/>
      <c r="T43" s="3886"/>
      <c r="U43" s="3886"/>
      <c r="V43" s="3886"/>
      <c r="W43" s="388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37" t="s">
        <v>1887</v>
      </c>
      <c r="H50" s="3887"/>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60.9</v>
      </c>
      <c r="F51" s="639" t="e">
        <f t="shared" ref="F51:F60" si="15">ROUND(B51*E51/10000,0)</f>
        <v>#DIV/0!</v>
      </c>
      <c r="G51" s="3833"/>
      <c r="H51" s="38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30.45</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2005-12-1</v>
      </c>
      <c r="D63" s="692">
        <f>EDATE(C63,-3)</f>
        <v>38596</v>
      </c>
      <c r="E63" s="692">
        <f>EDATE(D63,-3)</f>
        <v>38504</v>
      </c>
      <c r="F63" s="692">
        <f t="shared" ref="F63:O63" si="18">EDATE(E63,-3)</f>
        <v>38412</v>
      </c>
      <c r="G63" s="692">
        <f t="shared" si="18"/>
        <v>38322</v>
      </c>
      <c r="H63" s="692">
        <f t="shared" si="18"/>
        <v>38231</v>
      </c>
      <c r="I63" s="692">
        <f t="shared" si="18"/>
        <v>38139</v>
      </c>
      <c r="J63" s="692">
        <f t="shared" si="18"/>
        <v>38047</v>
      </c>
      <c r="K63" s="692">
        <f t="shared" si="18"/>
        <v>37956</v>
      </c>
      <c r="L63" s="692">
        <f t="shared" si="18"/>
        <v>37865</v>
      </c>
      <c r="M63" s="692">
        <f t="shared" si="18"/>
        <v>37773</v>
      </c>
      <c r="N63" s="692">
        <f t="shared" si="18"/>
        <v>37681</v>
      </c>
      <c r="O63" s="692">
        <f t="shared" si="18"/>
        <v>37591</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2005-4</v>
      </c>
      <c r="D65" s="1182" t="str">
        <f t="shared" ref="D65:O65" si="19">YEAR(D63)&amp;"-"&amp;ROUNDUP(MONTH(D63)/3,0)</f>
        <v>2005-3</v>
      </c>
      <c r="E65" s="1182" t="str">
        <f t="shared" si="19"/>
        <v>2005-2</v>
      </c>
      <c r="F65" s="1182" t="str">
        <f t="shared" si="19"/>
        <v>2005-1</v>
      </c>
      <c r="G65" s="1182" t="str">
        <f t="shared" si="19"/>
        <v>2004-4</v>
      </c>
      <c r="H65" s="1182" t="str">
        <f t="shared" si="19"/>
        <v>2004-3</v>
      </c>
      <c r="I65" s="1182" t="str">
        <f t="shared" si="19"/>
        <v>2004-2</v>
      </c>
      <c r="J65" s="1182" t="str">
        <f t="shared" si="19"/>
        <v>2004-1</v>
      </c>
      <c r="K65" s="1182" t="str">
        <f t="shared" si="19"/>
        <v>2003-4</v>
      </c>
      <c r="L65" s="1182" t="str">
        <f t="shared" si="19"/>
        <v>2003-3</v>
      </c>
      <c r="M65" s="1182" t="str">
        <f t="shared" si="19"/>
        <v>2003-2</v>
      </c>
      <c r="N65" s="1182" t="str">
        <f t="shared" si="19"/>
        <v>2003-1</v>
      </c>
      <c r="O65" s="1182" t="str">
        <f t="shared" si="19"/>
        <v>2002-4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5" t="s">
        <v>2084</v>
      </c>
      <c r="D1" s="3896"/>
      <c r="E1" s="3896"/>
      <c r="F1" s="3896"/>
      <c r="G1" s="3896"/>
      <c r="H1" s="3896"/>
      <c r="I1" s="3896"/>
      <c r="J1" s="3896"/>
      <c r="K1" s="3896"/>
      <c r="L1" s="3896"/>
      <c r="M1" s="3896"/>
      <c r="N1" s="3896"/>
      <c r="O1" s="3896"/>
      <c r="P1" s="3896"/>
      <c r="Q1" s="3896"/>
      <c r="R1" s="3896"/>
      <c r="S1" s="389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2" t="s">
        <v>27</v>
      </c>
      <c r="D22" s="3893"/>
      <c r="E22" s="3893"/>
      <c r="F22" s="3893"/>
      <c r="G22" s="3893"/>
      <c r="H22" s="3893"/>
      <c r="I22" s="3893"/>
      <c r="J22" s="3893"/>
      <c r="K22" s="3893"/>
      <c r="L22" s="3893"/>
      <c r="M22" s="3893"/>
      <c r="N22" s="3893"/>
      <c r="O22" s="3893"/>
      <c r="P22" s="3893"/>
      <c r="Q22" s="389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07" t="s">
        <v>2609</v>
      </c>
      <c r="B20" s="3902" t="s">
        <v>2630</v>
      </c>
      <c r="C20" s="3101" t="s">
        <v>2441</v>
      </c>
      <c r="D20" s="3102"/>
      <c r="E20" s="3103">
        <v>1</v>
      </c>
      <c r="F20" s="3104" t="s">
        <v>2442</v>
      </c>
      <c r="G20" s="3104"/>
    </row>
    <row r="21" spans="1:13" ht="19.5" customHeight="1">
      <c r="A21" s="3908"/>
      <c r="B21" s="3901"/>
      <c r="C21" s="3105" t="s">
        <v>2443</v>
      </c>
      <c r="D21" s="3106"/>
      <c r="E21" s="3107">
        <v>1</v>
      </c>
      <c r="F21" s="3104" t="s">
        <v>2444</v>
      </c>
      <c r="G21" s="3104"/>
    </row>
    <row r="22" spans="1:13" ht="19.5" customHeight="1">
      <c r="A22" s="3908"/>
      <c r="B22" s="3901"/>
      <c r="C22" s="3105" t="s">
        <v>2445</v>
      </c>
      <c r="D22" s="3106"/>
      <c r="E22" s="3107">
        <v>0.9</v>
      </c>
      <c r="F22" s="3104" t="s">
        <v>2446</v>
      </c>
      <c r="G22" s="3104"/>
    </row>
    <row r="23" spans="1:13" ht="19.5" customHeight="1">
      <c r="A23" s="3908"/>
      <c r="B23" s="3901"/>
      <c r="C23" s="3105" t="s">
        <v>2447</v>
      </c>
      <c r="D23" s="3106"/>
      <c r="E23" s="3107">
        <v>0.9</v>
      </c>
      <c r="F23" s="3104" t="s">
        <v>2448</v>
      </c>
      <c r="G23" s="3104"/>
    </row>
    <row r="24" spans="1:13" ht="19.5" customHeight="1">
      <c r="A24" s="3908"/>
      <c r="B24" s="3901"/>
      <c r="C24" s="3105" t="s">
        <v>2449</v>
      </c>
      <c r="D24" s="3106"/>
      <c r="E24" s="3107">
        <v>0.8</v>
      </c>
      <c r="F24" s="3104" t="s">
        <v>2450</v>
      </c>
      <c r="G24" s="3104"/>
    </row>
    <row r="25" spans="1:13" ht="19.5" customHeight="1" thickBot="1">
      <c r="A25" s="3909"/>
      <c r="B25" s="390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4" t="s">
        <v>2633</v>
      </c>
      <c r="B27" s="3902" t="s">
        <v>2614</v>
      </c>
      <c r="C27" s="3101" t="s">
        <v>2454</v>
      </c>
      <c r="D27" s="3102"/>
      <c r="E27" s="3103">
        <v>1</v>
      </c>
      <c r="F27" s="3104" t="s">
        <v>2455</v>
      </c>
      <c r="G27" s="3104"/>
    </row>
    <row r="28" spans="1:13" ht="19.5" customHeight="1">
      <c r="A28" s="3905"/>
      <c r="B28" s="3901"/>
      <c r="C28" s="3105" t="s">
        <v>2456</v>
      </c>
      <c r="D28" s="3106"/>
      <c r="E28" s="3107">
        <v>1</v>
      </c>
      <c r="F28" s="3104" t="s">
        <v>2457</v>
      </c>
      <c r="G28" s="3104"/>
    </row>
    <row r="29" spans="1:13" ht="19.5" customHeight="1">
      <c r="A29" s="3905"/>
      <c r="B29" s="3901"/>
      <c r="C29" s="3105" t="s">
        <v>2458</v>
      </c>
      <c r="D29" s="3106"/>
      <c r="E29" s="3107">
        <v>0.8</v>
      </c>
      <c r="F29" s="3104" t="s">
        <v>2459</v>
      </c>
      <c r="G29" s="3104"/>
    </row>
    <row r="30" spans="1:13" ht="19.5" customHeight="1">
      <c r="A30" s="3905"/>
      <c r="B30" s="3901"/>
      <c r="C30" s="3105" t="s">
        <v>2460</v>
      </c>
      <c r="D30" s="3106"/>
      <c r="E30" s="3107">
        <v>0.8</v>
      </c>
      <c r="F30" s="3104" t="s">
        <v>2461</v>
      </c>
      <c r="G30" s="3104"/>
    </row>
    <row r="31" spans="1:13" ht="19.5" customHeight="1">
      <c r="A31" s="3905"/>
      <c r="B31" s="3901"/>
      <c r="C31" s="3105" t="s">
        <v>2462</v>
      </c>
      <c r="D31" s="3106"/>
      <c r="E31" s="3107">
        <v>0.8</v>
      </c>
      <c r="F31" s="3104" t="s">
        <v>2463</v>
      </c>
      <c r="G31" s="3104"/>
    </row>
    <row r="32" spans="1:13" ht="19.5" customHeight="1">
      <c r="A32" s="3905"/>
      <c r="B32" s="3901"/>
      <c r="C32" s="3105" t="s">
        <v>2464</v>
      </c>
      <c r="D32" s="3106"/>
      <c r="E32" s="3107">
        <v>0.7</v>
      </c>
      <c r="F32" s="3104" t="s">
        <v>2465</v>
      </c>
      <c r="G32" s="3104"/>
    </row>
    <row r="33" spans="1:7" ht="19.5" customHeight="1">
      <c r="A33" s="3905"/>
      <c r="B33" s="3901"/>
      <c r="C33" s="3105" t="s">
        <v>2466</v>
      </c>
      <c r="D33" s="3106"/>
      <c r="E33" s="3107">
        <v>0.8</v>
      </c>
      <c r="F33" s="3104" t="s">
        <v>2467</v>
      </c>
      <c r="G33" s="3104"/>
    </row>
    <row r="34" spans="1:7" ht="19.5" customHeight="1">
      <c r="A34" s="3905"/>
      <c r="B34" s="3901"/>
      <c r="C34" s="3105" t="s">
        <v>2468</v>
      </c>
      <c r="D34" s="3106"/>
      <c r="E34" s="3107">
        <v>0.6</v>
      </c>
      <c r="F34" s="3104" t="s">
        <v>2469</v>
      </c>
      <c r="G34" s="3104"/>
    </row>
    <row r="35" spans="1:7" ht="19.5" customHeight="1">
      <c r="A35" s="3905"/>
      <c r="B35" s="3901"/>
      <c r="C35" s="3105" t="s">
        <v>2470</v>
      </c>
      <c r="D35" s="3106"/>
      <c r="E35" s="3107">
        <v>0.2</v>
      </c>
      <c r="F35" s="3104" t="s">
        <v>2471</v>
      </c>
      <c r="G35" s="3104"/>
    </row>
    <row r="36" spans="1:7" ht="19.5" customHeight="1">
      <c r="A36" s="3905"/>
      <c r="B36" s="3901"/>
      <c r="C36" s="3105" t="s">
        <v>2472</v>
      </c>
      <c r="D36" s="3106"/>
      <c r="E36" s="3107">
        <v>0.2</v>
      </c>
      <c r="F36" s="3104" t="s">
        <v>2473</v>
      </c>
      <c r="G36" s="3104"/>
    </row>
    <row r="37" spans="1:7" ht="19.5" customHeight="1">
      <c r="A37" s="3905"/>
      <c r="B37" s="3899" t="s">
        <v>2634</v>
      </c>
      <c r="C37" s="3105" t="s">
        <v>2474</v>
      </c>
      <c r="D37" s="3106"/>
      <c r="E37" s="3107">
        <v>0.6</v>
      </c>
      <c r="F37" s="3104" t="s">
        <v>2475</v>
      </c>
      <c r="G37" s="3104"/>
    </row>
    <row r="38" spans="1:7" ht="19.5" customHeight="1">
      <c r="A38" s="3905"/>
      <c r="B38" s="3901"/>
      <c r="C38" s="3105" t="s">
        <v>2476</v>
      </c>
      <c r="D38" s="3106"/>
      <c r="E38" s="3107">
        <v>0.6</v>
      </c>
      <c r="F38" s="3104" t="s">
        <v>2477</v>
      </c>
      <c r="G38" s="3104"/>
    </row>
    <row r="39" spans="1:7" ht="19.5" customHeight="1" thickBot="1">
      <c r="A39" s="3906"/>
      <c r="B39" s="390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07" t="s">
        <v>2612</v>
      </c>
      <c r="B41" s="3902" t="s">
        <v>2636</v>
      </c>
      <c r="C41" s="3101" t="s">
        <v>2481</v>
      </c>
      <c r="D41" s="3102"/>
      <c r="E41" s="3103">
        <v>1</v>
      </c>
      <c r="F41" s="3104" t="s">
        <v>2482</v>
      </c>
      <c r="G41" s="3104"/>
    </row>
    <row r="42" spans="1:7" ht="19.5" customHeight="1">
      <c r="A42" s="3908"/>
      <c r="B42" s="3901"/>
      <c r="C42" s="3105" t="s">
        <v>2483</v>
      </c>
      <c r="D42" s="3106"/>
      <c r="E42" s="3107">
        <v>1</v>
      </c>
      <c r="F42" s="3104" t="s">
        <v>2484</v>
      </c>
      <c r="G42" s="3104"/>
    </row>
    <row r="43" spans="1:7" ht="19.5" customHeight="1">
      <c r="A43" s="3908"/>
      <c r="B43" s="3900"/>
      <c r="C43" s="3105" t="s">
        <v>2485</v>
      </c>
      <c r="D43" s="3106"/>
      <c r="E43" s="3107">
        <v>1.5</v>
      </c>
      <c r="F43" s="3104" t="s">
        <v>2486</v>
      </c>
      <c r="G43" s="3104"/>
    </row>
    <row r="44" spans="1:7" ht="19.5" customHeight="1">
      <c r="A44" s="3908"/>
      <c r="B44" s="3116" t="s">
        <v>2637</v>
      </c>
      <c r="C44" s="3105" t="s">
        <v>2638</v>
      </c>
      <c r="D44" s="3106"/>
      <c r="E44" s="3107">
        <v>2</v>
      </c>
      <c r="F44" s="3104" t="s">
        <v>2487</v>
      </c>
      <c r="G44" s="3104"/>
    </row>
    <row r="45" spans="1:7" ht="19.5" customHeight="1">
      <c r="A45" s="3908"/>
      <c r="B45" s="3899" t="s">
        <v>2639</v>
      </c>
      <c r="C45" s="3105" t="s">
        <v>2488</v>
      </c>
      <c r="D45" s="3106"/>
      <c r="E45" s="3107">
        <v>1</v>
      </c>
      <c r="F45" s="3104" t="s">
        <v>2489</v>
      </c>
      <c r="G45" s="3104"/>
    </row>
    <row r="46" spans="1:7" ht="19.5" customHeight="1">
      <c r="A46" s="3908"/>
      <c r="B46" s="3901"/>
      <c r="C46" s="3105" t="s">
        <v>2490</v>
      </c>
      <c r="D46" s="3106"/>
      <c r="E46" s="3107">
        <v>1</v>
      </c>
      <c r="F46" s="3104" t="s">
        <v>2491</v>
      </c>
      <c r="G46" s="3104"/>
    </row>
    <row r="47" spans="1:7" ht="19.5" customHeight="1">
      <c r="A47" s="3908"/>
      <c r="B47" s="3901"/>
      <c r="C47" s="3105" t="s">
        <v>2492</v>
      </c>
      <c r="D47" s="3106"/>
      <c r="E47" s="3107">
        <v>1</v>
      </c>
      <c r="F47" s="3104" t="s">
        <v>2493</v>
      </c>
      <c r="G47" s="3104"/>
    </row>
    <row r="48" spans="1:7" ht="19.5" customHeight="1">
      <c r="A48" s="3908"/>
      <c r="B48" s="3901"/>
      <c r="C48" s="3105" t="s">
        <v>2494</v>
      </c>
      <c r="D48" s="3106"/>
      <c r="E48" s="3107">
        <v>1</v>
      </c>
      <c r="F48" s="3104" t="s">
        <v>2495</v>
      </c>
      <c r="G48" s="3104"/>
    </row>
    <row r="49" spans="1:7" ht="19.5" customHeight="1">
      <c r="A49" s="3908"/>
      <c r="B49" s="3901"/>
      <c r="C49" s="3105" t="s">
        <v>2496</v>
      </c>
      <c r="D49" s="3106"/>
      <c r="E49" s="3107">
        <v>1</v>
      </c>
      <c r="F49" s="3104" t="s">
        <v>2497</v>
      </c>
      <c r="G49" s="3104"/>
    </row>
    <row r="50" spans="1:7" ht="19.5" customHeight="1">
      <c r="A50" s="3908"/>
      <c r="B50" s="3901"/>
      <c r="C50" s="3105" t="s">
        <v>2498</v>
      </c>
      <c r="D50" s="3106"/>
      <c r="E50" s="3107">
        <v>1</v>
      </c>
      <c r="F50" s="3104" t="s">
        <v>2499</v>
      </c>
      <c r="G50" s="3104"/>
    </row>
    <row r="51" spans="1:7" ht="19.5" customHeight="1" thickBot="1">
      <c r="A51" s="3909"/>
      <c r="B51" s="390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99" t="s">
        <v>2653</v>
      </c>
      <c r="C73" s="3090" t="s">
        <v>2654</v>
      </c>
      <c r="D73" s="3090" t="s">
        <v>2655</v>
      </c>
      <c r="E73" s="3116">
        <v>0.2</v>
      </c>
      <c r="F73" s="3116">
        <v>25</v>
      </c>
    </row>
    <row r="74" spans="1:7" ht="24">
      <c r="A74" s="3116">
        <v>2</v>
      </c>
      <c r="B74" s="3901"/>
      <c r="C74" s="3090" t="s">
        <v>2656</v>
      </c>
      <c r="D74" s="3090" t="s">
        <v>2657</v>
      </c>
      <c r="E74" s="3116">
        <v>0.2</v>
      </c>
      <c r="F74" s="3116">
        <v>25</v>
      </c>
    </row>
    <row r="75" spans="1:7" ht="24">
      <c r="A75" s="3116">
        <v>3</v>
      </c>
      <c r="B75" s="3901"/>
      <c r="C75" s="3090" t="s">
        <v>2658</v>
      </c>
      <c r="D75" s="3090" t="s">
        <v>2659</v>
      </c>
      <c r="E75" s="3116">
        <v>0.2</v>
      </c>
      <c r="F75" s="3116">
        <v>25</v>
      </c>
    </row>
    <row r="76" spans="1:7" ht="14.4">
      <c r="A76" s="3116">
        <v>4</v>
      </c>
      <c r="B76" s="3901"/>
      <c r="C76" s="3090" t="s">
        <v>2660</v>
      </c>
      <c r="D76" s="3090" t="s">
        <v>2661</v>
      </c>
      <c r="E76" s="3116">
        <v>0.15</v>
      </c>
      <c r="F76" s="3116">
        <v>20</v>
      </c>
    </row>
    <row r="77" spans="1:7" ht="24">
      <c r="A77" s="3116">
        <v>5</v>
      </c>
      <c r="B77" s="3901"/>
      <c r="C77" s="3090" t="s">
        <v>2662</v>
      </c>
      <c r="D77" s="3090" t="s">
        <v>2663</v>
      </c>
      <c r="E77" s="3116">
        <v>0.15</v>
      </c>
      <c r="F77" s="3116">
        <v>20</v>
      </c>
    </row>
    <row r="78" spans="1:7" ht="24">
      <c r="A78" s="3116">
        <v>6</v>
      </c>
      <c r="B78" s="3901"/>
      <c r="C78" s="3090" t="s">
        <v>2664</v>
      </c>
      <c r="D78" s="3090" t="s">
        <v>2665</v>
      </c>
      <c r="E78" s="3116">
        <v>0.15</v>
      </c>
      <c r="F78" s="3116">
        <v>20</v>
      </c>
    </row>
    <row r="79" spans="1:7" ht="24">
      <c r="A79" s="3116">
        <v>7</v>
      </c>
      <c r="B79" s="3901"/>
      <c r="C79" s="3090" t="s">
        <v>2666</v>
      </c>
      <c r="D79" s="3090" t="s">
        <v>2667</v>
      </c>
      <c r="E79" s="3116">
        <v>0.15</v>
      </c>
      <c r="F79" s="3116">
        <v>20</v>
      </c>
    </row>
    <row r="80" spans="1:7" ht="24">
      <c r="A80" s="3116">
        <v>8</v>
      </c>
      <c r="B80" s="3901"/>
      <c r="C80" s="3090" t="s">
        <v>2668</v>
      </c>
      <c r="D80" s="3090" t="s">
        <v>2669</v>
      </c>
      <c r="E80" s="3116">
        <v>0.1</v>
      </c>
      <c r="F80" s="3116">
        <v>15</v>
      </c>
    </row>
    <row r="81" spans="1:6" ht="24">
      <c r="A81" s="3116">
        <v>9</v>
      </c>
      <c r="B81" s="3901"/>
      <c r="C81" s="3090" t="s">
        <v>2670</v>
      </c>
      <c r="D81" s="3090" t="s">
        <v>2671</v>
      </c>
      <c r="E81" s="3116">
        <v>0.1</v>
      </c>
      <c r="F81" s="3116">
        <v>15</v>
      </c>
    </row>
    <row r="82" spans="1:6" ht="24">
      <c r="A82" s="3116">
        <v>10</v>
      </c>
      <c r="B82" s="3901"/>
      <c r="C82" s="3090" t="s">
        <v>2672</v>
      </c>
      <c r="D82" s="3090" t="s">
        <v>2673</v>
      </c>
      <c r="E82" s="3116">
        <v>0.1</v>
      </c>
      <c r="F82" s="3116">
        <v>15</v>
      </c>
    </row>
    <row r="83" spans="1:6" ht="24">
      <c r="A83" s="3116">
        <v>11</v>
      </c>
      <c r="B83" s="3901"/>
      <c r="C83" s="3090" t="s">
        <v>2674</v>
      </c>
      <c r="D83" s="3090" t="s">
        <v>2675</v>
      </c>
      <c r="E83" s="3116">
        <v>0.1</v>
      </c>
      <c r="F83" s="3116">
        <v>15</v>
      </c>
    </row>
    <row r="84" spans="1:6" ht="24">
      <c r="A84" s="3116">
        <v>12</v>
      </c>
      <c r="B84" s="3901"/>
      <c r="C84" s="3090" t="s">
        <v>2676</v>
      </c>
      <c r="D84" s="3090" t="s">
        <v>2677</v>
      </c>
      <c r="E84" s="3116">
        <v>0.1</v>
      </c>
      <c r="F84" s="3116">
        <v>15</v>
      </c>
    </row>
    <row r="85" spans="1:6" ht="24">
      <c r="A85" s="3116">
        <v>13</v>
      </c>
      <c r="B85" s="3901"/>
      <c r="C85" s="3090" t="s">
        <v>2678</v>
      </c>
      <c r="D85" s="3090" t="s">
        <v>2679</v>
      </c>
      <c r="E85" s="3116">
        <v>0.1</v>
      </c>
      <c r="F85" s="3116">
        <v>15</v>
      </c>
    </row>
    <row r="86" spans="1:6" ht="24">
      <c r="A86" s="3116">
        <v>14</v>
      </c>
      <c r="B86" s="3901"/>
      <c r="C86" s="3090" t="s">
        <v>2680</v>
      </c>
      <c r="D86" s="3090" t="s">
        <v>2681</v>
      </c>
      <c r="E86" s="3116">
        <v>0.1</v>
      </c>
      <c r="F86" s="3116">
        <v>15</v>
      </c>
    </row>
    <row r="87" spans="1:6" ht="24">
      <c r="A87" s="3116">
        <v>15</v>
      </c>
      <c r="B87" s="3901"/>
      <c r="C87" s="3090" t="s">
        <v>2682</v>
      </c>
      <c r="D87" s="3090" t="s">
        <v>2683</v>
      </c>
      <c r="E87" s="3116">
        <v>0.1</v>
      </c>
      <c r="F87" s="3116">
        <v>15</v>
      </c>
    </row>
    <row r="88" spans="1:6" ht="24">
      <c r="A88" s="3116">
        <v>16</v>
      </c>
      <c r="B88" s="3901"/>
      <c r="C88" s="3090" t="s">
        <v>2684</v>
      </c>
      <c r="D88" s="3090" t="s">
        <v>2685</v>
      </c>
      <c r="E88" s="3116">
        <v>0.1</v>
      </c>
      <c r="F88" s="3116">
        <v>15</v>
      </c>
    </row>
    <row r="89" spans="1:6" ht="24">
      <c r="A89" s="3116">
        <v>17</v>
      </c>
      <c r="B89" s="3900"/>
      <c r="C89" s="3090" t="s">
        <v>2686</v>
      </c>
      <c r="D89" s="3090" t="s">
        <v>2687</v>
      </c>
      <c r="E89" s="3116">
        <v>0.1</v>
      </c>
      <c r="F89" s="3116">
        <v>15</v>
      </c>
    </row>
    <row r="90" spans="1:6" ht="14.4">
      <c r="A90" s="3116">
        <v>18</v>
      </c>
      <c r="B90" s="3899" t="s">
        <v>2688</v>
      </c>
      <c r="C90" s="3090" t="s">
        <v>2689</v>
      </c>
      <c r="D90" s="3090" t="s">
        <v>2690</v>
      </c>
      <c r="E90" s="3116">
        <v>0.2</v>
      </c>
      <c r="F90" s="3116">
        <v>25</v>
      </c>
    </row>
    <row r="91" spans="1:6" ht="24">
      <c r="A91" s="3116">
        <v>19</v>
      </c>
      <c r="B91" s="3901"/>
      <c r="C91" s="3090" t="s">
        <v>2691</v>
      </c>
      <c r="D91" s="3090" t="s">
        <v>2692</v>
      </c>
      <c r="E91" s="3116">
        <v>0.2</v>
      </c>
      <c r="F91" s="3116">
        <v>25</v>
      </c>
    </row>
    <row r="92" spans="1:6" ht="14.4">
      <c r="A92" s="3116">
        <v>20</v>
      </c>
      <c r="B92" s="3901"/>
      <c r="C92" s="3090" t="s">
        <v>2693</v>
      </c>
      <c r="D92" s="3090" t="s">
        <v>2694</v>
      </c>
      <c r="E92" s="3116">
        <v>0.15</v>
      </c>
      <c r="F92" s="3116">
        <v>20</v>
      </c>
    </row>
    <row r="93" spans="1:6" ht="24">
      <c r="A93" s="3116">
        <v>21</v>
      </c>
      <c r="B93" s="3901"/>
      <c r="C93" s="3090" t="s">
        <v>2695</v>
      </c>
      <c r="D93" s="3090" t="s">
        <v>2696</v>
      </c>
      <c r="E93" s="3116">
        <v>0.15</v>
      </c>
      <c r="F93" s="3116">
        <v>20</v>
      </c>
    </row>
    <row r="94" spans="1:6" ht="24">
      <c r="A94" s="3116">
        <v>22</v>
      </c>
      <c r="B94" s="3901"/>
      <c r="C94" s="3090" t="s">
        <v>2697</v>
      </c>
      <c r="D94" s="3090" t="s">
        <v>2698</v>
      </c>
      <c r="E94" s="3116">
        <v>0.15</v>
      </c>
      <c r="F94" s="3116">
        <v>20</v>
      </c>
    </row>
    <row r="95" spans="1:6" ht="36">
      <c r="A95" s="3116">
        <v>23</v>
      </c>
      <c r="B95" s="3901"/>
      <c r="C95" s="3090" t="s">
        <v>2699</v>
      </c>
      <c r="D95" s="3090" t="s">
        <v>2700</v>
      </c>
      <c r="E95" s="3116">
        <v>0.15</v>
      </c>
      <c r="F95" s="3116">
        <v>20</v>
      </c>
    </row>
    <row r="96" spans="1:6" ht="24">
      <c r="A96" s="3116">
        <v>24</v>
      </c>
      <c r="B96" s="3901"/>
      <c r="C96" s="3090" t="s">
        <v>2701</v>
      </c>
      <c r="D96" s="3090" t="s">
        <v>2702</v>
      </c>
      <c r="E96" s="3116">
        <v>0.1</v>
      </c>
      <c r="F96" s="3116">
        <v>15</v>
      </c>
    </row>
    <row r="97" spans="1:6" ht="24">
      <c r="A97" s="3116">
        <v>25</v>
      </c>
      <c r="B97" s="3901"/>
      <c r="C97" s="3090" t="s">
        <v>2703</v>
      </c>
      <c r="D97" s="3090" t="s">
        <v>2704</v>
      </c>
      <c r="E97" s="3116">
        <v>0.1</v>
      </c>
      <c r="F97" s="3116">
        <v>15</v>
      </c>
    </row>
    <row r="98" spans="1:6" ht="24">
      <c r="A98" s="3116">
        <v>26</v>
      </c>
      <c r="B98" s="3901"/>
      <c r="C98" s="3090" t="s">
        <v>2705</v>
      </c>
      <c r="D98" s="3090" t="s">
        <v>2706</v>
      </c>
      <c r="E98" s="3116">
        <v>0.1</v>
      </c>
      <c r="F98" s="3116">
        <v>15</v>
      </c>
    </row>
    <row r="99" spans="1:6" ht="24">
      <c r="A99" s="3116">
        <v>27</v>
      </c>
      <c r="B99" s="3901"/>
      <c r="C99" s="3090" t="s">
        <v>2707</v>
      </c>
      <c r="D99" s="3090" t="s">
        <v>2708</v>
      </c>
      <c r="E99" s="3116">
        <v>0.1</v>
      </c>
      <c r="F99" s="3116">
        <v>15</v>
      </c>
    </row>
    <row r="100" spans="1:6" ht="24">
      <c r="A100" s="3116">
        <v>28</v>
      </c>
      <c r="B100" s="3901"/>
      <c r="C100" s="3090" t="s">
        <v>2709</v>
      </c>
      <c r="D100" s="3090" t="s">
        <v>2710</v>
      </c>
      <c r="E100" s="3116">
        <v>0.1</v>
      </c>
      <c r="F100" s="3116">
        <v>15</v>
      </c>
    </row>
    <row r="101" spans="1:6" ht="24">
      <c r="A101" s="3116">
        <v>29</v>
      </c>
      <c r="B101" s="3901"/>
      <c r="C101" s="3090" t="s">
        <v>2711</v>
      </c>
      <c r="D101" s="3090" t="s">
        <v>2712</v>
      </c>
      <c r="E101" s="3116">
        <v>0.1</v>
      </c>
      <c r="F101" s="3116">
        <v>15</v>
      </c>
    </row>
    <row r="102" spans="1:6" ht="24">
      <c r="A102" s="3116">
        <v>30</v>
      </c>
      <c r="B102" s="3901"/>
      <c r="C102" s="3090" t="s">
        <v>2713</v>
      </c>
      <c r="D102" s="3090" t="s">
        <v>2714</v>
      </c>
      <c r="E102" s="3116">
        <v>0.1</v>
      </c>
      <c r="F102" s="3116">
        <v>15</v>
      </c>
    </row>
    <row r="103" spans="1:6" ht="24">
      <c r="A103" s="3116">
        <v>31</v>
      </c>
      <c r="B103" s="3901"/>
      <c r="C103" s="3090" t="s">
        <v>2715</v>
      </c>
      <c r="D103" s="3090" t="s">
        <v>2716</v>
      </c>
      <c r="E103" s="3116">
        <v>0.1</v>
      </c>
      <c r="F103" s="3116">
        <v>15</v>
      </c>
    </row>
    <row r="104" spans="1:6" ht="24">
      <c r="A104" s="3116">
        <v>32</v>
      </c>
      <c r="B104" s="3901"/>
      <c r="C104" s="3090" t="s">
        <v>2717</v>
      </c>
      <c r="D104" s="3090" t="s">
        <v>2718</v>
      </c>
      <c r="E104" s="3116">
        <v>0.1</v>
      </c>
      <c r="F104" s="3116">
        <v>15</v>
      </c>
    </row>
    <row r="105" spans="1:6" ht="24">
      <c r="A105" s="3116">
        <v>33</v>
      </c>
      <c r="B105" s="3901"/>
      <c r="C105" s="3090" t="s">
        <v>2719</v>
      </c>
      <c r="D105" s="3090" t="s">
        <v>2720</v>
      </c>
      <c r="E105" s="3116">
        <v>0.1</v>
      </c>
      <c r="F105" s="3116">
        <v>15</v>
      </c>
    </row>
    <row r="106" spans="1:6" ht="24">
      <c r="A106" s="3116">
        <v>34</v>
      </c>
      <c r="B106" s="3900"/>
      <c r="C106" s="3090" t="s">
        <v>2721</v>
      </c>
      <c r="D106" s="3090" t="s">
        <v>2722</v>
      </c>
      <c r="E106" s="3116">
        <v>0.1</v>
      </c>
      <c r="F106" s="3116">
        <v>15</v>
      </c>
    </row>
    <row r="107" spans="1:6" ht="36">
      <c r="A107" s="3116">
        <v>35</v>
      </c>
      <c r="B107" s="3899" t="s">
        <v>2723</v>
      </c>
      <c r="C107" s="3116" t="s">
        <v>2724</v>
      </c>
      <c r="D107" s="3090" t="s">
        <v>2725</v>
      </c>
      <c r="E107" s="3116">
        <v>0.15</v>
      </c>
      <c r="F107" s="3116">
        <v>20</v>
      </c>
    </row>
    <row r="108" spans="1:6" ht="24">
      <c r="A108" s="3116">
        <v>36</v>
      </c>
      <c r="B108" s="3901"/>
      <c r="C108" s="3116" t="s">
        <v>2726</v>
      </c>
      <c r="D108" s="3090" t="s">
        <v>2727</v>
      </c>
      <c r="E108" s="3116">
        <v>0.15</v>
      </c>
      <c r="F108" s="3116">
        <v>20</v>
      </c>
    </row>
    <row r="109" spans="1:6" ht="24">
      <c r="A109" s="3116">
        <v>37</v>
      </c>
      <c r="B109" s="3901"/>
      <c r="C109" s="3116" t="s">
        <v>2728</v>
      </c>
      <c r="D109" s="3090" t="s">
        <v>2729</v>
      </c>
      <c r="E109" s="3116">
        <v>0.15</v>
      </c>
      <c r="F109" s="3116">
        <v>20</v>
      </c>
    </row>
    <row r="110" spans="1:6" ht="24">
      <c r="A110" s="3116">
        <v>38</v>
      </c>
      <c r="B110" s="3901"/>
      <c r="C110" s="3116" t="s">
        <v>2730</v>
      </c>
      <c r="D110" s="3090" t="s">
        <v>2731</v>
      </c>
      <c r="E110" s="3116">
        <v>0.1</v>
      </c>
      <c r="F110" s="3116">
        <v>15</v>
      </c>
    </row>
    <row r="111" spans="1:6" ht="24">
      <c r="A111" s="3116">
        <v>39</v>
      </c>
      <c r="B111" s="3901"/>
      <c r="C111" s="3116" t="s">
        <v>2732</v>
      </c>
      <c r="D111" s="3090" t="s">
        <v>2733</v>
      </c>
      <c r="E111" s="3116">
        <v>0.1</v>
      </c>
      <c r="F111" s="3116">
        <v>15</v>
      </c>
    </row>
    <row r="112" spans="1:6" ht="24">
      <c r="A112" s="3116">
        <v>40</v>
      </c>
      <c r="B112" s="3900"/>
      <c r="C112" s="3116" t="s">
        <v>2734</v>
      </c>
      <c r="D112" s="3090" t="s">
        <v>2735</v>
      </c>
      <c r="E112" s="3116">
        <v>0.1</v>
      </c>
      <c r="F112" s="3116">
        <v>15</v>
      </c>
    </row>
    <row r="113" spans="1:6" ht="24">
      <c r="A113" s="3116">
        <v>41</v>
      </c>
      <c r="B113" s="3898" t="s">
        <v>2736</v>
      </c>
      <c r="C113" s="3116" t="s">
        <v>2737</v>
      </c>
      <c r="D113" s="3090" t="s">
        <v>2738</v>
      </c>
      <c r="E113" s="3116">
        <v>0.1</v>
      </c>
      <c r="F113" s="3116">
        <v>15</v>
      </c>
    </row>
    <row r="114" spans="1:6" ht="24">
      <c r="A114" s="3116">
        <v>42</v>
      </c>
      <c r="B114" s="3898"/>
      <c r="C114" s="3116" t="s">
        <v>2739</v>
      </c>
      <c r="D114" s="3090" t="s">
        <v>2740</v>
      </c>
      <c r="E114" s="3116">
        <v>0.1</v>
      </c>
      <c r="F114" s="3116">
        <v>15</v>
      </c>
    </row>
    <row r="115" spans="1:6" ht="24">
      <c r="A115" s="3116">
        <v>43</v>
      </c>
      <c r="B115" s="3898"/>
      <c r="C115" s="3116" t="s">
        <v>2741</v>
      </c>
      <c r="D115" s="3090" t="s">
        <v>2742</v>
      </c>
      <c r="E115" s="3116">
        <v>0.1</v>
      </c>
      <c r="F115" s="3116">
        <v>15</v>
      </c>
    </row>
    <row r="116" spans="1:6" ht="24">
      <c r="A116" s="3116">
        <v>44</v>
      </c>
      <c r="B116" s="3899" t="s">
        <v>2743</v>
      </c>
      <c r="C116" s="3116" t="s">
        <v>2744</v>
      </c>
      <c r="D116" s="3090" t="s">
        <v>2745</v>
      </c>
      <c r="E116" s="3116">
        <v>0.1</v>
      </c>
      <c r="F116" s="3116">
        <v>15</v>
      </c>
    </row>
    <row r="117" spans="1:6" ht="24">
      <c r="A117" s="3116">
        <v>45</v>
      </c>
      <c r="B117" s="3900"/>
      <c r="C117" s="3090" t="s">
        <v>2746</v>
      </c>
      <c r="D117" s="3090" t="s">
        <v>2747</v>
      </c>
      <c r="E117" s="3116">
        <v>0.1</v>
      </c>
      <c r="F117" s="3116">
        <v>15</v>
      </c>
    </row>
    <row r="118" spans="1:6" ht="24">
      <c r="A118" s="3116">
        <v>46</v>
      </c>
      <c r="B118" s="3899" t="s">
        <v>2748</v>
      </c>
      <c r="C118" s="3116" t="s">
        <v>2749</v>
      </c>
      <c r="D118" s="3090" t="s">
        <v>2750</v>
      </c>
      <c r="E118" s="3116">
        <v>0.1</v>
      </c>
      <c r="F118" s="3116">
        <v>15</v>
      </c>
    </row>
    <row r="119" spans="1:6" ht="24">
      <c r="A119" s="3116">
        <v>47</v>
      </c>
      <c r="B119" s="3900"/>
      <c r="C119" s="3116" t="s">
        <v>2751</v>
      </c>
      <c r="D119" s="3090" t="s">
        <v>2752</v>
      </c>
      <c r="E119" s="3116">
        <v>0.1</v>
      </c>
      <c r="F119" s="3116">
        <v>15</v>
      </c>
    </row>
    <row r="120" spans="1:6" ht="24">
      <c r="A120" s="3116">
        <v>48</v>
      </c>
      <c r="B120" s="3899" t="s">
        <v>2753</v>
      </c>
      <c r="C120" s="3116" t="s">
        <v>2754</v>
      </c>
      <c r="D120" s="3090" t="s">
        <v>2755</v>
      </c>
      <c r="E120" s="3116">
        <v>0.1</v>
      </c>
      <c r="F120" s="3116">
        <v>15</v>
      </c>
    </row>
    <row r="121" spans="1:6" ht="24">
      <c r="A121" s="3116">
        <v>49</v>
      </c>
      <c r="B121" s="3900"/>
      <c r="C121" s="3116" t="s">
        <v>2756</v>
      </c>
      <c r="D121" s="3090" t="s">
        <v>2757</v>
      </c>
      <c r="E121" s="3116">
        <v>0.1</v>
      </c>
      <c r="F121" s="3116">
        <v>15</v>
      </c>
    </row>
    <row r="122" spans="1:6" ht="24">
      <c r="A122" s="3116">
        <v>50</v>
      </c>
      <c r="B122" s="3898" t="s">
        <v>2758</v>
      </c>
      <c r="C122" s="3116" t="s">
        <v>2759</v>
      </c>
      <c r="D122" s="3090" t="s">
        <v>2760</v>
      </c>
      <c r="E122" s="3116">
        <v>0.1</v>
      </c>
      <c r="F122" s="3116">
        <v>15</v>
      </c>
    </row>
    <row r="123" spans="1:6" ht="24">
      <c r="A123" s="3116">
        <v>51</v>
      </c>
      <c r="B123" s="3898"/>
      <c r="C123" s="3116" t="s">
        <v>2761</v>
      </c>
      <c r="D123" s="3090" t="s">
        <v>2762</v>
      </c>
      <c r="E123" s="3116">
        <v>0.1</v>
      </c>
      <c r="F123" s="3116">
        <v>15</v>
      </c>
    </row>
    <row r="124" spans="1:6" ht="24">
      <c r="A124" s="3116">
        <v>52</v>
      </c>
      <c r="B124" s="3898" t="s">
        <v>2763</v>
      </c>
      <c r="C124" s="3116" t="s">
        <v>2764</v>
      </c>
      <c r="D124" s="3090" t="s">
        <v>2765</v>
      </c>
      <c r="E124" s="3116">
        <v>0.1</v>
      </c>
      <c r="F124" s="3116">
        <v>15</v>
      </c>
    </row>
    <row r="125" spans="1:6" ht="24">
      <c r="A125" s="3116">
        <v>53</v>
      </c>
      <c r="B125" s="3898"/>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98" t="s">
        <v>2771</v>
      </c>
      <c r="C127" s="3116" t="s">
        <v>2772</v>
      </c>
      <c r="D127" s="3090" t="s">
        <v>2773</v>
      </c>
      <c r="E127" s="3116">
        <v>0.1</v>
      </c>
      <c r="F127" s="3116">
        <v>15</v>
      </c>
    </row>
    <row r="128" spans="1:6" ht="24">
      <c r="A128" s="3116">
        <v>56</v>
      </c>
      <c r="B128" s="3898"/>
      <c r="C128" s="3116" t="s">
        <v>2774</v>
      </c>
      <c r="D128" s="3090" t="s">
        <v>2775</v>
      </c>
      <c r="E128" s="3116">
        <v>0.1</v>
      </c>
      <c r="F128" s="3116">
        <v>15</v>
      </c>
    </row>
    <row r="129" spans="1:6" ht="24">
      <c r="A129" s="3116">
        <v>57</v>
      </c>
      <c r="B129" s="3898"/>
      <c r="C129" s="3116" t="s">
        <v>2776</v>
      </c>
      <c r="D129" s="3090" t="s">
        <v>2777</v>
      </c>
      <c r="E129" s="3116">
        <v>0.1</v>
      </c>
      <c r="F129" s="3116">
        <v>15</v>
      </c>
    </row>
    <row r="130" spans="1:6" ht="24">
      <c r="A130" s="3116">
        <v>58</v>
      </c>
      <c r="B130" s="3898" t="s">
        <v>2778</v>
      </c>
      <c r="C130" s="3116" t="s">
        <v>2779</v>
      </c>
      <c r="D130" s="3090" t="s">
        <v>2780</v>
      </c>
      <c r="E130" s="3116">
        <v>0.1</v>
      </c>
      <c r="F130" s="3116">
        <v>15</v>
      </c>
    </row>
    <row r="131" spans="1:6" ht="24">
      <c r="A131" s="3116">
        <v>59</v>
      </c>
      <c r="B131" s="3898"/>
      <c r="C131" s="3116" t="s">
        <v>2781</v>
      </c>
      <c r="D131" s="3090" t="s">
        <v>2782</v>
      </c>
      <c r="E131" s="3116">
        <v>0.1</v>
      </c>
      <c r="F131" s="3116">
        <v>15</v>
      </c>
    </row>
    <row r="132" spans="1:6" ht="24">
      <c r="A132" s="3116">
        <v>60</v>
      </c>
      <c r="B132" s="3899" t="s">
        <v>2783</v>
      </c>
      <c r="C132" s="3116" t="s">
        <v>2784</v>
      </c>
      <c r="D132" s="3090" t="s">
        <v>2785</v>
      </c>
      <c r="E132" s="3116">
        <v>0.1</v>
      </c>
      <c r="F132" s="3116">
        <v>15</v>
      </c>
    </row>
    <row r="133" spans="1:6" ht="24">
      <c r="A133" s="3116">
        <v>61</v>
      </c>
      <c r="B133" s="390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98" t="s">
        <v>2791</v>
      </c>
      <c r="C135" s="3116" t="s">
        <v>2792</v>
      </c>
      <c r="D135" s="3090" t="s">
        <v>2793</v>
      </c>
      <c r="E135" s="3116">
        <v>0.1</v>
      </c>
      <c r="F135" s="3116">
        <v>15</v>
      </c>
    </row>
    <row r="136" spans="1:6" ht="24">
      <c r="A136" s="3116">
        <v>64</v>
      </c>
      <c r="B136" s="3898"/>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3"/>
      <c r="C2" s="3593"/>
      <c r="D2" s="3593"/>
      <c r="E2" s="3593"/>
    </row>
    <row r="3" spans="1:5" ht="17.399999999999999">
      <c r="A3" s="3594" t="str">
        <f>IF(项目基本情况!B9="房地产市场价值","估价结果一览表（市场价值不需“结果表-1”）","估价结果一览表")</f>
        <v>估价结果一览表（市场价值不需“结果表-1”）</v>
      </c>
      <c r="B3" s="3594"/>
      <c r="C3" s="3594"/>
      <c r="D3" s="3594"/>
      <c r="E3" s="3594"/>
    </row>
    <row r="4" spans="1:5" ht="18" thickBot="1">
      <c r="A4" s="1493"/>
      <c r="B4" s="3592" t="s">
        <v>917</v>
      </c>
      <c r="C4" s="3592"/>
      <c r="D4" s="3592"/>
      <c r="E4" s="1493"/>
    </row>
    <row r="5" spans="1:5" ht="16.2" thickTop="1">
      <c r="A5" s="1491"/>
      <c r="B5" s="3590" t="s">
        <v>909</v>
      </c>
      <c r="C5" s="1494" t="s">
        <v>910</v>
      </c>
      <c r="D5" s="850" t="e">
        <f ca="1">结果表!H101</f>
        <v>#REF!</v>
      </c>
      <c r="E5" s="1491"/>
    </row>
    <row r="6" spans="1:5" ht="15.6">
      <c r="A6" s="1491"/>
      <c r="B6" s="3590"/>
      <c r="C6" s="1494" t="s">
        <v>911</v>
      </c>
      <c r="D6" s="850" t="e">
        <f ca="1">NUMBERSTRING(INT(D5*10000),2)&amp;"元整"</f>
        <v>#REF!</v>
      </c>
      <c r="E6" s="1491"/>
    </row>
    <row r="7" spans="1:5" ht="15.6">
      <c r="A7" s="1491"/>
      <c r="B7" s="3595"/>
      <c r="C7" s="1495" t="s">
        <v>912</v>
      </c>
      <c r="D7" s="851" t="e">
        <f ca="1">结果表!H102</f>
        <v>#REF!</v>
      </c>
      <c r="E7" s="1491"/>
    </row>
    <row r="8" spans="1:5" ht="15.6">
      <c r="A8" s="1491"/>
      <c r="B8" s="3596" t="str">
        <f>结果表!E103</f>
        <v>2.估价师知悉的法定优先受偿款</v>
      </c>
      <c r="C8" s="1496" t="s">
        <v>913</v>
      </c>
      <c r="D8" s="851">
        <f>结果表!H103</f>
        <v>0</v>
      </c>
      <c r="E8" s="1491"/>
    </row>
    <row r="9" spans="1:5" ht="15.6">
      <c r="A9" s="1491"/>
      <c r="B9" s="359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89" t="str">
        <f>结果表!E107</f>
        <v>3.房地产抵押价值</v>
      </c>
      <c r="C13" s="1499" t="s">
        <v>910</v>
      </c>
      <c r="D13" s="853" t="e">
        <f ca="1">结果表!H107</f>
        <v>#REF!</v>
      </c>
      <c r="E13" s="1491"/>
    </row>
    <row r="14" spans="1:5" ht="15.6">
      <c r="A14" s="1491"/>
      <c r="B14" s="3590"/>
      <c r="C14" s="1494" t="s">
        <v>911</v>
      </c>
      <c r="D14" s="850" t="e">
        <f ca="1">NUMBERSTRING(INT(D13*10000),2)&amp;"元整"</f>
        <v>#REF!</v>
      </c>
      <c r="E14" s="1491"/>
    </row>
    <row r="15" spans="1:5" ht="15.6">
      <c r="A15" s="1491"/>
      <c r="B15" s="3595"/>
      <c r="C15" s="1495" t="s">
        <v>921</v>
      </c>
      <c r="D15" s="859" t="e">
        <f ca="1">结果表!H108</f>
        <v>#REF!</v>
      </c>
      <c r="E15" s="1491"/>
    </row>
    <row r="16" spans="1:5" ht="15.6">
      <c r="A16" s="1491"/>
      <c r="B16" s="3596" t="str">
        <f>结果表!E109</f>
        <v>——</v>
      </c>
      <c r="C16" s="1499" t="s">
        <v>922</v>
      </c>
      <c r="D16" s="1500" t="str">
        <f>结果表!H109</f>
        <v>——</v>
      </c>
      <c r="E16" s="1491"/>
    </row>
    <row r="17" spans="1:5" ht="15.6">
      <c r="A17" s="1491"/>
      <c r="B17" s="3597"/>
      <c r="C17" s="1494" t="s">
        <v>923</v>
      </c>
      <c r="D17" s="850" t="e">
        <f>NUMBERSTRING(INT(D16*10000),2)&amp;"元整"</f>
        <v>#VALUE!</v>
      </c>
      <c r="E17" s="1491"/>
    </row>
    <row r="18" spans="1:5" ht="15.6">
      <c r="A18" s="1491"/>
      <c r="B18" s="3598"/>
      <c r="C18" s="1495" t="s">
        <v>912</v>
      </c>
      <c r="D18" s="859" t="str">
        <f>结果表!H110</f>
        <v>——</v>
      </c>
      <c r="E18" s="1491"/>
    </row>
    <row r="19" spans="1:5" ht="15.6">
      <c r="A19" s="1491"/>
      <c r="B19" s="3589" t="str">
        <f>结果表!E111</f>
        <v>——</v>
      </c>
      <c r="C19" s="1499" t="s">
        <v>910</v>
      </c>
      <c r="D19" s="851" t="str">
        <f>结果表!H111</f>
        <v>——</v>
      </c>
      <c r="E19" s="1491"/>
    </row>
    <row r="20" spans="1:5" ht="15.6">
      <c r="A20" s="1491"/>
      <c r="B20" s="3590"/>
      <c r="C20" s="1494" t="s">
        <v>923</v>
      </c>
      <c r="D20" s="850" t="e">
        <f>NUMBERSTRING(INT(D19*10000),2)&amp;"元整"</f>
        <v>#VALUE!</v>
      </c>
      <c r="E20" s="1491"/>
    </row>
    <row r="21" spans="1:5" ht="16.2" thickBot="1">
      <c r="A21" s="1491"/>
      <c r="B21" s="359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28227</v>
      </c>
      <c r="C2" s="2" t="s">
        <v>106</v>
      </c>
      <c r="D2" s="199"/>
      <c r="E2" s="199"/>
      <c r="F2" s="199"/>
      <c r="G2" s="199"/>
    </row>
    <row r="3" spans="1:7" s="200" customFormat="1" ht="18" customHeight="1" thickBot="1">
      <c r="A3" s="203" t="s">
        <v>58</v>
      </c>
      <c r="B3" s="204">
        <f ca="1">ROUND(B2*10000/'数据-汇总表'!E3,0)</f>
        <v>4634975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60.9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60.9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60.9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1" t="s">
        <v>94</v>
      </c>
    </row>
    <row r="43" spans="1:7" ht="13.5" customHeight="1">
      <c r="A43" s="780" t="s">
        <v>347</v>
      </c>
      <c r="B43" s="215" t="s">
        <v>426</v>
      </c>
      <c r="C43" s="238">
        <f ca="1">ROUND(IF('数据-取费表'!B22&lt;=1,C39*F22*'数据-取费表'!B21/2,C39*(POWER((1+F22),'数据-取费表'!B21/2)-1)),0)</f>
        <v>0</v>
      </c>
      <c r="D43" s="238"/>
      <c r="E43" s="238"/>
      <c r="F43" s="239"/>
      <c r="G43" s="3772"/>
    </row>
    <row r="44" spans="1:7" ht="13.5" customHeight="1">
      <c r="A44" s="780" t="s">
        <v>348</v>
      </c>
      <c r="B44" s="215" t="s">
        <v>428</v>
      </c>
      <c r="C44" s="238">
        <f ca="1">ROUND(IF('数据-取费表'!B22&lt;=1,C40*F22*'数据-取费表'!B21/2,C40*(POWER((1+F22),'数据-取费表'!B21/2)-1)),4)</f>
        <v>5.9999999999999995E-4</v>
      </c>
      <c r="D44" s="238"/>
      <c r="E44" s="238"/>
      <c r="F44" s="239"/>
      <c r="G44" s="3773"/>
    </row>
    <row r="45" spans="1:7" s="214" customFormat="1" ht="13.5" customHeight="1">
      <c r="A45" s="777" t="s">
        <v>341</v>
      </c>
      <c r="B45" s="244" t="s">
        <v>85</v>
      </c>
      <c r="C45" s="245">
        <f>C46</f>
        <v>2</v>
      </c>
      <c r="D45" s="235">
        <f>C47</f>
        <v>1.5E-3</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13</v>
      </c>
      <c r="D51" s="232"/>
      <c r="E51" s="232"/>
      <c r="F51" s="264"/>
      <c r="G51" s="234" t="s">
        <v>37</v>
      </c>
    </row>
    <row r="52" spans="1:7" s="208" customFormat="1" ht="16.8" thickBot="1">
      <c r="A52" s="265" t="s">
        <v>38</v>
      </c>
      <c r="B52" s="266"/>
      <c r="C52" s="267">
        <f ca="1">C31+C51</f>
        <v>28227</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2" t="s">
        <v>2841</v>
      </c>
      <c r="B1" s="3912"/>
      <c r="C1" s="3912"/>
      <c r="D1" s="3912"/>
      <c r="E1" s="3912"/>
      <c r="F1" s="3912"/>
      <c r="G1" s="391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4" t="s">
        <v>3183</v>
      </c>
      <c r="B1" s="3914"/>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5" t="s">
        <v>3234</v>
      </c>
      <c r="B1" s="3915"/>
      <c r="C1" s="3915"/>
      <c r="D1" s="3915"/>
      <c r="E1" s="3915"/>
      <c r="F1" s="391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38689</v>
      </c>
      <c r="B1" s="3208" t="s">
        <v>3373</v>
      </c>
      <c r="C1" s="3209"/>
      <c r="D1" s="3209"/>
      <c r="E1" s="3209"/>
      <c r="F1" s="3209"/>
      <c r="G1" s="3209"/>
      <c r="H1" s="3209"/>
      <c r="I1" s="3209"/>
      <c r="J1" s="3163"/>
      <c r="K1" s="3209" t="s">
        <v>454</v>
      </c>
      <c r="L1" s="3209"/>
      <c r="M1" s="3209"/>
      <c r="N1" s="3209"/>
      <c r="O1" s="3209"/>
      <c r="P1" s="3209"/>
      <c r="Q1" s="3163"/>
      <c r="R1" s="3917" t="s">
        <v>456</v>
      </c>
      <c r="S1" s="3918"/>
      <c r="T1" s="3918"/>
      <c r="U1" s="3918"/>
      <c r="V1" s="3918"/>
      <c r="W1" s="3918"/>
      <c r="X1" s="3163"/>
      <c r="Y1" s="3917" t="s">
        <v>457</v>
      </c>
      <c r="Z1" s="3918"/>
      <c r="AA1" s="3918"/>
      <c r="AB1" s="3918"/>
      <c r="AC1" s="3918"/>
      <c r="AD1" s="3918"/>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17" t="s">
        <v>2829</v>
      </c>
      <c r="S24" s="3918"/>
      <c r="T24" s="3918"/>
      <c r="U24" s="3918"/>
      <c r="V24" s="3918"/>
      <c r="W24" s="3918"/>
      <c r="X24" s="3163"/>
      <c r="Y24" s="3917" t="s">
        <v>2830</v>
      </c>
      <c r="Z24" s="3918"/>
      <c r="AA24" s="3918"/>
      <c r="AB24" s="3918"/>
      <c r="AC24" s="3918"/>
      <c r="AD24" s="3918"/>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4" t="s">
        <v>452</v>
      </c>
      <c r="C1" s="3924"/>
      <c r="D1" s="3924"/>
      <c r="E1" s="3924"/>
      <c r="F1" s="3924"/>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1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1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1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1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1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1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1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1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1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1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1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1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1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38689</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06" t="str">
        <f>IF(项目基本情况!B9="房地产市场价值","估价结果一览表","结果表-2")</f>
        <v>估价结果一览表</v>
      </c>
      <c r="B1" s="3606"/>
      <c r="C1" s="3606"/>
      <c r="D1" s="3606"/>
      <c r="E1" s="3606"/>
      <c r="F1" s="3606"/>
      <c r="G1" s="3606"/>
      <c r="H1" s="3606"/>
      <c r="I1" s="3606"/>
    </row>
    <row r="2" spans="1:9" ht="30" customHeight="1" thickTop="1">
      <c r="A2" s="3607" t="s">
        <v>928</v>
      </c>
      <c r="B2" s="3607" t="s">
        <v>929</v>
      </c>
      <c r="C2" s="3607" t="s">
        <v>930</v>
      </c>
      <c r="D2" s="3607" t="str">
        <f>结果表!D116</f>
        <v>出让国有建设用地使用权价值</v>
      </c>
      <c r="E2" s="3607"/>
      <c r="F2" s="3607" t="str">
        <f>结果表!F116</f>
        <v>在建建筑物价值</v>
      </c>
      <c r="G2" s="3607"/>
      <c r="H2" s="3607" t="str">
        <f>IF(项目基本情况!B9="房地产市场价值","房地产市场价值","房地产价值")</f>
        <v>房地产市场价值</v>
      </c>
      <c r="I2" s="3607"/>
    </row>
    <row r="3" spans="1:9" ht="15.6">
      <c r="A3" s="3602"/>
      <c r="B3" s="3602"/>
      <c r="C3" s="3602"/>
      <c r="D3" s="854" t="s">
        <v>925</v>
      </c>
      <c r="E3" s="854" t="s">
        <v>931</v>
      </c>
      <c r="F3" s="854" t="s">
        <v>925</v>
      </c>
      <c r="G3" s="854" t="s">
        <v>926</v>
      </c>
      <c r="H3" s="854" t="s">
        <v>925</v>
      </c>
      <c r="I3" s="854" t="s">
        <v>926</v>
      </c>
    </row>
    <row r="4" spans="1:9" ht="15">
      <c r="A4" s="1505" t="str">
        <f>项目基本情况!S2</f>
        <v>北京市房地产</v>
      </c>
      <c r="B4" s="854">
        <f>项目基本情况!C17</f>
        <v>60.9</v>
      </c>
      <c r="C4" s="854">
        <f>项目基本情况!C18</f>
        <v>30.45</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2" t="s">
        <v>927</v>
      </c>
      <c r="B5" s="3602"/>
      <c r="C5" s="3602"/>
      <c r="D5" s="3602" t="e">
        <f ca="1">结果表!D119</f>
        <v>#REF!</v>
      </c>
      <c r="E5" s="3602"/>
      <c r="F5" s="3602" t="e">
        <f ca="1">结果表!F119</f>
        <v>#REF!</v>
      </c>
      <c r="G5" s="3602"/>
      <c r="H5" s="3602" t="e">
        <f ca="1">结果表!H119</f>
        <v>#REF!</v>
      </c>
      <c r="I5" s="3602"/>
    </row>
    <row r="6" spans="1:9" ht="15.6">
      <c r="A6" s="3601" t="str">
        <f>结果表!A120</f>
        <v/>
      </c>
      <c r="B6" s="3601"/>
      <c r="C6" s="3601"/>
      <c r="D6" s="3601">
        <f>结果表!D120</f>
        <v>0</v>
      </c>
      <c r="E6" s="3601"/>
      <c r="F6" s="3601"/>
      <c r="G6" s="3601"/>
      <c r="H6" s="3601"/>
      <c r="I6" s="3601"/>
    </row>
    <row r="7" spans="1:9" ht="15">
      <c r="A7" s="3602" t="s">
        <v>927</v>
      </c>
      <c r="B7" s="3602"/>
      <c r="C7" s="3602"/>
      <c r="D7" s="3603" t="str">
        <f>结果表!D121</f>
        <v>零元整</v>
      </c>
      <c r="E7" s="3604"/>
      <c r="F7" s="3604"/>
      <c r="G7" s="3604"/>
      <c r="H7" s="3604"/>
      <c r="I7" s="3605"/>
    </row>
    <row r="8" spans="1:9" ht="15.6">
      <c r="A8" s="3601" t="str">
        <f>结果表!A122</f>
        <v/>
      </c>
      <c r="B8" s="3601"/>
      <c r="C8" s="3601"/>
      <c r="D8" s="3601" t="e">
        <f ca="1">结果表!D122</f>
        <v>#REF!</v>
      </c>
      <c r="E8" s="3601"/>
      <c r="F8" s="3601"/>
      <c r="G8" s="3601"/>
      <c r="H8" s="3601"/>
      <c r="I8" s="3601"/>
    </row>
    <row r="9" spans="1:9" ht="15">
      <c r="A9" s="3602" t="s">
        <v>927</v>
      </c>
      <c r="B9" s="3602"/>
      <c r="C9" s="3602"/>
      <c r="D9" s="3602" t="e">
        <f ca="1">结果表!D123</f>
        <v>#REF!</v>
      </c>
      <c r="E9" s="3602"/>
      <c r="F9" s="3602"/>
      <c r="G9" s="3602"/>
      <c r="H9" s="3602"/>
      <c r="I9" s="3602"/>
    </row>
    <row r="10" spans="1:9" ht="15.6">
      <c r="A10" s="3601" t="str">
        <f>结果表!A124</f>
        <v/>
      </c>
      <c r="B10" s="3601"/>
      <c r="C10" s="3601"/>
      <c r="D10" s="3601" t="str">
        <f>结果表!D124</f>
        <v>——</v>
      </c>
      <c r="E10" s="3601"/>
      <c r="F10" s="3601"/>
      <c r="G10" s="3601"/>
      <c r="H10" s="3601"/>
      <c r="I10" s="3601"/>
    </row>
    <row r="11" spans="1:9" ht="15">
      <c r="A11" s="3602" t="s">
        <v>927</v>
      </c>
      <c r="B11" s="3602"/>
      <c r="C11" s="3602"/>
      <c r="D11" s="3602" t="e">
        <f>结果表!D125</f>
        <v>#VALUE!</v>
      </c>
      <c r="E11" s="3602"/>
      <c r="F11" s="3602"/>
      <c r="G11" s="3602"/>
      <c r="H11" s="3602"/>
      <c r="I11" s="3602"/>
    </row>
    <row r="12" spans="1:9" ht="15.6">
      <c r="A12" s="3601" t="str">
        <f>结果表!A126</f>
        <v/>
      </c>
      <c r="B12" s="3601"/>
      <c r="C12" s="3601"/>
      <c r="D12" s="3601" t="str">
        <f>结果表!D126</f>
        <v>——</v>
      </c>
      <c r="E12" s="3601"/>
      <c r="F12" s="3601"/>
      <c r="G12" s="3601"/>
      <c r="H12" s="3601"/>
      <c r="I12" s="3601"/>
    </row>
    <row r="13" spans="1:9" ht="15.6" thickBot="1">
      <c r="A13" s="3599" t="s">
        <v>927</v>
      </c>
      <c r="B13" s="3599"/>
      <c r="C13" s="3599"/>
      <c r="D13" s="3599" t="e">
        <f>结果表!D127</f>
        <v>#VALUE!</v>
      </c>
      <c r="E13" s="3599"/>
      <c r="F13" s="3599"/>
      <c r="G13" s="3599"/>
      <c r="H13" s="3599"/>
      <c r="I13" s="3599"/>
    </row>
    <row r="14" spans="1:9" ht="14.4" thickTop="1">
      <c r="A14" s="3600" t="s">
        <v>932</v>
      </c>
      <c r="B14" s="3600"/>
      <c r="C14" s="3600"/>
      <c r="D14" s="3600"/>
      <c r="E14" s="3600"/>
      <c r="F14" s="3600"/>
      <c r="G14" s="3600"/>
      <c r="H14" s="3600"/>
      <c r="I14" s="360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14" t="s">
        <v>949</v>
      </c>
      <c r="B1" s="3614"/>
      <c r="C1" s="3614"/>
      <c r="D1" s="3614"/>
    </row>
    <row r="2" spans="1:4" ht="17.399999999999999">
      <c r="A2" s="3615" t="s">
        <v>933</v>
      </c>
      <c r="B2" s="3615"/>
      <c r="C2" s="3615"/>
      <c r="D2" s="361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15" t="s">
        <v>939</v>
      </c>
      <c r="B6" s="3615"/>
      <c r="C6" s="3615"/>
      <c r="D6" s="361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16" t="s">
        <v>942</v>
      </c>
      <c r="B11" s="3608"/>
      <c r="C11" s="3608"/>
      <c r="D11" s="3608"/>
    </row>
    <row r="12" spans="1:4" ht="15.6">
      <c r="A12" s="36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spans="1:4" ht="30" customHeight="1">
      <c r="A13" s="3608" t="str">
        <f>IF(项目基本情况!B8="抵押","3.抵押双方在办理抵押登记手续时，应使用本公司出具的正式《房地产评估报告》，特提醒报告使用者注意。","——")</f>
        <v>——</v>
      </c>
      <c r="B13" s="3613"/>
      <c r="C13" s="3613"/>
      <c r="D13" s="3613"/>
    </row>
    <row r="14" spans="1:4" ht="15.75" customHeight="1">
      <c r="A14" s="3608" t="str">
        <f>IF(项目基本情况!B8="抵押","4.本次评估估价师所知悉的法定优先受偿款情况说明如下：","——")</f>
        <v>——</v>
      </c>
      <c r="B14" s="3613"/>
      <c r="C14" s="3613"/>
      <c r="D14" s="3613"/>
    </row>
    <row r="15" spans="1:4" ht="42" customHeight="1">
      <c r="A15" s="3608" t="str">
        <f>IF(项目基本情况!B8="抵押","（1）"&amp;CONCATENATE(项目基本情况!L20,项目基本情况!L21,项目基本情况!L22),"——")</f>
        <v>——</v>
      </c>
      <c r="B15" s="3608"/>
      <c r="C15" s="3608"/>
      <c r="D15" s="3608"/>
    </row>
    <row r="16" spans="1:4" ht="30" customHeight="1">
      <c r="A16" s="3610" t="s">
        <v>943</v>
      </c>
      <c r="B16" s="3610"/>
      <c r="C16" s="3610"/>
      <c r="D16" s="3610"/>
    </row>
    <row r="17" spans="1:4" ht="144" customHeight="1">
      <c r="A17" s="3610" t="s">
        <v>944</v>
      </c>
      <c r="B17" s="3610"/>
      <c r="C17" s="3610"/>
      <c r="D17" s="3610"/>
    </row>
    <row r="18" spans="1:4" ht="15.75" customHeight="1">
      <c r="A18" s="3608" t="str">
        <f>IF(项目基本情况!B8="抵押",结果表!K120,"——")</f>
        <v>——</v>
      </c>
      <c r="B18" s="3608"/>
      <c r="C18" s="3608"/>
      <c r="D18" s="3608"/>
    </row>
    <row r="19" spans="1:4" ht="46.5" customHeight="1">
      <c r="A19" s="36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8"/>
      <c r="C19" s="3608"/>
      <c r="D19" s="3608"/>
    </row>
    <row r="20" spans="1:4" ht="57.75" customHeight="1">
      <c r="A20" s="36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8"/>
      <c r="C20" s="3608"/>
      <c r="D20" s="3608"/>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1"/>
      <c r="C21" s="3611"/>
      <c r="D21" s="3611"/>
    </row>
    <row r="22" spans="1:4" ht="18.75" customHeight="1">
      <c r="A22" s="3612" t="s">
        <v>945</v>
      </c>
      <c r="B22" s="3612"/>
      <c r="C22" s="3612"/>
      <c r="D22" s="361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09">
        <v>42551</v>
      </c>
      <c r="D31" s="36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2" t="s">
        <v>956</v>
      </c>
      <c r="B15" s="3617" t="s">
        <v>109</v>
      </c>
      <c r="C15" s="3618"/>
    </row>
    <row r="16" spans="1:7" ht="14.4">
      <c r="A16" s="3623"/>
      <c r="B16" s="3617" t="s">
        <v>42</v>
      </c>
      <c r="C16" s="3618"/>
    </row>
    <row r="17" spans="1:3" ht="14.4">
      <c r="A17" s="3623"/>
      <c r="B17" s="3620" t="s">
        <v>957</v>
      </c>
      <c r="C17" s="1532" t="s">
        <v>956</v>
      </c>
    </row>
    <row r="18" spans="1:3" ht="14.4">
      <c r="A18" s="3623"/>
      <c r="B18" s="3620"/>
      <c r="C18" s="1532" t="s">
        <v>958</v>
      </c>
    </row>
    <row r="19" spans="1:3" ht="14.4">
      <c r="A19" s="3623"/>
      <c r="B19" s="3620"/>
      <c r="C19" s="1532" t="s">
        <v>959</v>
      </c>
    </row>
    <row r="20" spans="1:3" ht="14.4">
      <c r="A20" s="3624"/>
      <c r="B20" s="3619" t="s">
        <v>960</v>
      </c>
      <c r="C20" s="3618"/>
    </row>
    <row r="21" spans="1:3" ht="14.4">
      <c r="A21" s="1533" t="s">
        <v>961</v>
      </c>
      <c r="B21" s="1534"/>
      <c r="C21" s="1535"/>
    </row>
    <row r="22" spans="1:3" ht="14.4">
      <c r="A22" s="3621" t="s">
        <v>962</v>
      </c>
      <c r="B22" s="3619" t="s">
        <v>963</v>
      </c>
      <c r="C22" s="3618"/>
    </row>
    <row r="23" spans="1:3" ht="14.4">
      <c r="A23" s="3621"/>
      <c r="B23" s="3619" t="s">
        <v>964</v>
      </c>
      <c r="C23" s="3618"/>
    </row>
    <row r="24" spans="1:3" ht="14.4">
      <c r="A24" s="3621"/>
      <c r="B24" s="3619" t="s">
        <v>965</v>
      </c>
      <c r="C24" s="3618"/>
    </row>
    <row r="25" spans="1:3" ht="14.4">
      <c r="A25" s="3621"/>
      <c r="B25" s="3620" t="s">
        <v>966</v>
      </c>
      <c r="C25" s="1532" t="s">
        <v>967</v>
      </c>
    </row>
    <row r="26" spans="1:3" ht="14.4">
      <c r="A26" s="3621"/>
      <c r="B26" s="3620"/>
      <c r="C26" s="1532" t="s">
        <v>968</v>
      </c>
    </row>
    <row r="27" spans="1:3" ht="14.4">
      <c r="A27" s="3621"/>
      <c r="B27" s="3620"/>
      <c r="C27" s="1532" t="s">
        <v>969</v>
      </c>
    </row>
    <row r="28" spans="1:3" ht="14.4">
      <c r="A28" s="3621"/>
      <c r="B28" s="3620"/>
      <c r="C28" s="1532" t="s">
        <v>970</v>
      </c>
    </row>
    <row r="29" spans="1:3" ht="14.4">
      <c r="A29" s="3621"/>
      <c r="B29" s="3620"/>
      <c r="C29" s="1532" t="s">
        <v>971</v>
      </c>
    </row>
    <row r="30" spans="1:3" ht="14.4">
      <c r="A30" s="3621"/>
      <c r="B30" s="3620"/>
      <c r="C30" s="1532" t="s">
        <v>972</v>
      </c>
    </row>
    <row r="31" spans="1:3" ht="14.4">
      <c r="A31" s="3621"/>
      <c r="B31" s="3620"/>
      <c r="C31" s="1532" t="s">
        <v>973</v>
      </c>
    </row>
    <row r="32" spans="1:3" ht="14.4">
      <c r="A32" s="3621"/>
      <c r="B32" s="3620"/>
      <c r="C32" s="1532" t="s">
        <v>974</v>
      </c>
    </row>
    <row r="33" spans="1:3" ht="14.4">
      <c r="A33" s="3621"/>
      <c r="B33" s="362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45694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25" t="s">
        <v>2160</v>
      </c>
      <c r="B17" s="3625"/>
      <c r="C17" s="3625"/>
      <c r="D17" s="3625"/>
      <c r="E17" s="3625"/>
      <c r="F17" s="3625"/>
      <c r="G17" s="3625"/>
      <c r="H17" s="3625"/>
    </row>
    <row r="18" spans="1:8" ht="24" customHeight="1">
      <c r="A18" s="3626" t="s">
        <v>2161</v>
      </c>
      <c r="B18" s="3626"/>
      <c r="C18" s="3626"/>
      <c r="D18" s="2342"/>
      <c r="E18" s="3627" t="s">
        <v>2162</v>
      </c>
      <c r="F18" s="3626"/>
      <c r="G18" s="3626"/>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2025-02-06T07:00:41Z</dcterms:modified>
</cp:coreProperties>
</file>