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\北京市顺义区仓上小区5号楼一单元602号\测算\"/>
    </mc:Choice>
  </mc:AlternateContent>
  <bookViews>
    <workbookView minimized="1" xWindow="0" yWindow="0" windowWidth="18912" windowHeight="12996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</workbook>
</file>

<file path=xl/calcChain.xml><?xml version="1.0" encoding="utf-8"?>
<calcChain xmlns="http://schemas.openxmlformats.org/spreadsheetml/2006/main">
  <c r="D67" i="63" l="1"/>
  <c r="D66" i="63"/>
  <c r="D65" i="63"/>
  <c r="E60" i="63"/>
  <c r="B58" i="63"/>
  <c r="C15" i="63"/>
  <c r="G3" i="63"/>
  <c r="E12" i="63"/>
  <c r="G12" i="63"/>
  <c r="F12" i="63"/>
  <c r="D13" i="63"/>
  <c r="C11" i="63"/>
  <c r="C18" i="63"/>
  <c r="G26" i="63"/>
  <c r="B6" i="59"/>
  <c r="G10" i="63"/>
  <c r="C10" i="63"/>
  <c r="D12" i="63"/>
  <c r="B4" i="59"/>
  <c r="H9" i="63"/>
  <c r="I9" i="63"/>
  <c r="C9" i="63"/>
  <c r="G2" i="63"/>
  <c r="J60" i="63"/>
  <c r="I60" i="63"/>
  <c r="D60" i="63"/>
  <c r="J61" i="63"/>
  <c r="I61" i="63"/>
  <c r="D61" i="63"/>
  <c r="J62" i="63"/>
  <c r="I62" i="63"/>
  <c r="D62" i="63"/>
  <c r="J63" i="63"/>
  <c r="I63" i="63"/>
  <c r="D63" i="63"/>
  <c r="D64" i="63"/>
  <c r="J65" i="63"/>
  <c r="I65" i="63"/>
  <c r="J67" i="63"/>
  <c r="I67" i="63"/>
  <c r="H1" i="63"/>
  <c r="D18" i="63"/>
  <c r="E18" i="63"/>
  <c r="D29" i="43"/>
  <c r="G15" i="65"/>
  <c r="F15" i="65"/>
  <c r="E15" i="65"/>
  <c r="G16" i="65"/>
  <c r="F16" i="65"/>
  <c r="E16" i="65"/>
  <c r="G17" i="65"/>
  <c r="F17" i="65"/>
  <c r="E17" i="65"/>
  <c r="G18" i="65"/>
  <c r="F18" i="65"/>
  <c r="E18" i="65"/>
  <c r="Q6" i="67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G14" i="65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/>
  <c r="P10" i="67"/>
  <c r="O10" i="67"/>
  <c r="N10" i="67"/>
  <c r="Q11" i="67"/>
  <c r="P11" i="67"/>
  <c r="O11" i="67"/>
  <c r="N11" i="67"/>
  <c r="Q12" i="67"/>
  <c r="P12" i="67"/>
  <c r="O12" i="67"/>
  <c r="N12" i="67"/>
  <c r="Q13" i="67"/>
  <c r="P13" i="67"/>
  <c r="O13" i="67"/>
  <c r="N13" i="67"/>
  <c r="Q14" i="67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/>
  <c r="F21" i="67"/>
  <c r="P22" i="67"/>
  <c r="E22" i="67"/>
  <c r="U22" i="67"/>
  <c r="O22" i="67"/>
  <c r="C22" i="67"/>
  <c r="N22" i="67"/>
  <c r="N23" i="67"/>
  <c r="O23" i="67"/>
  <c r="P23" i="67"/>
  <c r="Q23" i="67"/>
  <c r="B15" i="59"/>
  <c r="C24" i="64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/>
  <c r="B3" i="68"/>
  <c r="B8" i="68"/>
  <c r="B7" i="68"/>
  <c r="B6" i="68"/>
  <c r="B5" i="68"/>
  <c r="N25" i="67"/>
  <c r="O25" i="67"/>
  <c r="P25" i="67"/>
  <c r="Q25" i="67"/>
  <c r="N26" i="67"/>
  <c r="B26" i="67"/>
  <c r="B25" i="67"/>
  <c r="O26" i="67"/>
  <c r="P26" i="67"/>
  <c r="Q26" i="67"/>
  <c r="F26" i="67"/>
  <c r="S26" i="67"/>
  <c r="E26" i="67"/>
  <c r="E25" i="67"/>
  <c r="E24" i="67"/>
  <c r="C26" i="67"/>
  <c r="B24" i="67"/>
  <c r="B22" i="67"/>
  <c r="S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/>
  <c r="E84" i="67"/>
  <c r="C86" i="67"/>
  <c r="D86" i="67"/>
  <c r="B86" i="67"/>
  <c r="B85" i="67"/>
  <c r="B84" i="67"/>
  <c r="F85" i="67"/>
  <c r="F84" i="67"/>
  <c r="F82" i="67"/>
  <c r="E82" i="67"/>
  <c r="C82" i="67"/>
  <c r="B82" i="67"/>
  <c r="B81" i="67"/>
  <c r="F81" i="67"/>
  <c r="F80" i="67"/>
  <c r="E81" i="67"/>
  <c r="E80" i="67"/>
  <c r="B80" i="67"/>
  <c r="Q78" i="67"/>
  <c r="P78" i="67"/>
  <c r="O78" i="67"/>
  <c r="N78" i="67"/>
  <c r="F78" i="67"/>
  <c r="E78" i="67"/>
  <c r="C78" i="67"/>
  <c r="D78" i="67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/>
  <c r="E74" i="67"/>
  <c r="E73" i="67"/>
  <c r="E72" i="67"/>
  <c r="U74" i="67"/>
  <c r="C74" i="67"/>
  <c r="C73" i="67"/>
  <c r="C72" i="67"/>
  <c r="D72" i="67"/>
  <c r="B74" i="67"/>
  <c r="S74" i="67"/>
  <c r="Q73" i="67"/>
  <c r="P73" i="67"/>
  <c r="O73" i="67"/>
  <c r="N73" i="67"/>
  <c r="F73" i="67"/>
  <c r="D73" i="67"/>
  <c r="B73" i="67"/>
  <c r="B72" i="67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/>
  <c r="T70" i="67"/>
  <c r="B70" i="67"/>
  <c r="Q69" i="67"/>
  <c r="P69" i="67"/>
  <c r="O69" i="67"/>
  <c r="N69" i="67"/>
  <c r="C69" i="67"/>
  <c r="D69" i="67"/>
  <c r="Q68" i="67"/>
  <c r="P68" i="67"/>
  <c r="O68" i="67"/>
  <c r="N68" i="67"/>
  <c r="Q67" i="67"/>
  <c r="P67" i="67"/>
  <c r="O67" i="67"/>
  <c r="N67" i="67"/>
  <c r="F66" i="67"/>
  <c r="V66" i="67"/>
  <c r="E66" i="67"/>
  <c r="P66" i="67"/>
  <c r="U66" i="67"/>
  <c r="C66" i="67"/>
  <c r="D66" i="67"/>
  <c r="B66" i="67"/>
  <c r="N66" i="67"/>
  <c r="S66" i="67"/>
  <c r="F65" i="67"/>
  <c r="Q65" i="67"/>
  <c r="C65" i="67"/>
  <c r="O65" i="67"/>
  <c r="B65" i="67"/>
  <c r="N65" i="67"/>
  <c r="F64" i="67"/>
  <c r="Q64" i="67"/>
  <c r="C64" i="67"/>
  <c r="O63" i="67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/>
  <c r="F62" i="67"/>
  <c r="V62" i="67"/>
  <c r="P59" i="67"/>
  <c r="E60" i="67"/>
  <c r="E61" i="67"/>
  <c r="E62" i="67"/>
  <c r="U62" i="67"/>
  <c r="O59" i="67"/>
  <c r="C60" i="67"/>
  <c r="N59" i="67"/>
  <c r="B60" i="67"/>
  <c r="Q58" i="67"/>
  <c r="P58" i="67"/>
  <c r="O58" i="67"/>
  <c r="N58" i="67"/>
  <c r="Q57" i="67"/>
  <c r="P57" i="67"/>
  <c r="O57" i="67"/>
  <c r="N57" i="67"/>
  <c r="Q56" i="67"/>
  <c r="P56" i="67"/>
  <c r="E57" i="67"/>
  <c r="E58" i="67"/>
  <c r="U58" i="67"/>
  <c r="O56" i="67"/>
  <c r="N56" i="67"/>
  <c r="Q55" i="67"/>
  <c r="F56" i="67"/>
  <c r="F57" i="67"/>
  <c r="F58" i="67"/>
  <c r="V58" i="67"/>
  <c r="P55" i="67"/>
  <c r="E56" i="67"/>
  <c r="O55" i="67"/>
  <c r="C56" i="67"/>
  <c r="D56" i="67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/>
  <c r="B54" i="67"/>
  <c r="S54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N51" i="67"/>
  <c r="B52" i="67"/>
  <c r="Q50" i="67"/>
  <c r="P50" i="67"/>
  <c r="O50" i="67"/>
  <c r="N50" i="67"/>
  <c r="Q49" i="67"/>
  <c r="P49" i="67"/>
  <c r="O49" i="67"/>
  <c r="N49" i="67"/>
  <c r="Q48" i="67"/>
  <c r="P48" i="67"/>
  <c r="E49" i="67"/>
  <c r="E50" i="67"/>
  <c r="U50" i="67"/>
  <c r="O48" i="67"/>
  <c r="N48" i="67"/>
  <c r="Q47" i="67"/>
  <c r="F48" i="67"/>
  <c r="F49" i="67"/>
  <c r="F50" i="67"/>
  <c r="V50" i="67"/>
  <c r="P47" i="67"/>
  <c r="E48" i="67"/>
  <c r="O47" i="67"/>
  <c r="C48" i="67"/>
  <c r="D48" i="67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N43" i="67"/>
  <c r="B44" i="67"/>
  <c r="B45" i="67"/>
  <c r="B46" i="67"/>
  <c r="S46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O39" i="67"/>
  <c r="C40" i="67"/>
  <c r="C41" i="67"/>
  <c r="C42" i="67"/>
  <c r="N39" i="67"/>
  <c r="B40" i="67"/>
  <c r="B41" i="67"/>
  <c r="B42" i="67"/>
  <c r="S42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O35" i="67"/>
  <c r="C36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E33" i="67"/>
  <c r="E34" i="67"/>
  <c r="U34" i="67"/>
  <c r="O32" i="67"/>
  <c r="N32" i="67"/>
  <c r="Q31" i="67"/>
  <c r="F32" i="67"/>
  <c r="F33" i="67"/>
  <c r="F34" i="67"/>
  <c r="V34" i="67"/>
  <c r="P31" i="67"/>
  <c r="E32" i="67"/>
  <c r="O31" i="67"/>
  <c r="C32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E29" i="67"/>
  <c r="E30" i="67"/>
  <c r="U30" i="67"/>
  <c r="O28" i="67"/>
  <c r="N28" i="67"/>
  <c r="Q27" i="67"/>
  <c r="F28" i="67"/>
  <c r="F29" i="67"/>
  <c r="F30" i="67"/>
  <c r="V30" i="67"/>
  <c r="P27" i="67"/>
  <c r="E28" i="67"/>
  <c r="O27" i="67"/>
  <c r="C28" i="67"/>
  <c r="N27" i="67"/>
  <c r="B28" i="67"/>
  <c r="B29" i="67"/>
  <c r="B30" i="67"/>
  <c r="S30" i="67"/>
  <c r="D64" i="67"/>
  <c r="D74" i="67"/>
  <c r="D65" i="67"/>
  <c r="O66" i="67"/>
  <c r="Q66" i="67"/>
  <c r="Y63" i="66"/>
  <c r="A70" i="66"/>
  <c r="H6" i="59"/>
  <c r="O1" i="66"/>
  <c r="J1" i="66"/>
  <c r="J2" i="66"/>
  <c r="N23" i="43"/>
  <c r="B9" i="66"/>
  <c r="G9" i="66"/>
  <c r="C9" i="66"/>
  <c r="E9" i="66"/>
  <c r="F9" i="66"/>
  <c r="B10" i="66"/>
  <c r="C10" i="66"/>
  <c r="E10" i="66"/>
  <c r="F10" i="66"/>
  <c r="B11" i="66"/>
  <c r="C11" i="66"/>
  <c r="D11" i="66"/>
  <c r="E11" i="66"/>
  <c r="F11" i="66"/>
  <c r="B12" i="66"/>
  <c r="C12" i="66"/>
  <c r="E12" i="66"/>
  <c r="F12" i="66"/>
  <c r="B13" i="66"/>
  <c r="G13" i="66"/>
  <c r="C13" i="66"/>
  <c r="D13" i="66"/>
  <c r="E13" i="66"/>
  <c r="F13" i="66"/>
  <c r="B14" i="66"/>
  <c r="C14" i="66"/>
  <c r="E14" i="66"/>
  <c r="J14" i="66"/>
  <c r="F14" i="66"/>
  <c r="B15" i="66"/>
  <c r="C15" i="66"/>
  <c r="E15" i="66"/>
  <c r="F15" i="66"/>
  <c r="B16" i="66"/>
  <c r="C16" i="66"/>
  <c r="D16" i="66"/>
  <c r="E16" i="66"/>
  <c r="F16" i="66"/>
  <c r="B17" i="66"/>
  <c r="C17" i="66"/>
  <c r="D17" i="66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/>
  <c r="E58" i="66"/>
  <c r="F58" i="66"/>
  <c r="B59" i="66"/>
  <c r="C59" i="66"/>
  <c r="D59" i="66"/>
  <c r="E59" i="66"/>
  <c r="F59" i="66"/>
  <c r="F8" i="66"/>
  <c r="K6" i="66"/>
  <c r="E8" i="66"/>
  <c r="J5" i="66"/>
  <c r="C8" i="66"/>
  <c r="B8" i="66"/>
  <c r="Z67" i="66"/>
  <c r="U67" i="66"/>
  <c r="C67" i="66"/>
  <c r="D67" i="66"/>
  <c r="AA67" i="66"/>
  <c r="AA66" i="66"/>
  <c r="AA65" i="66"/>
  <c r="AB67" i="66"/>
  <c r="AB66" i="66"/>
  <c r="W67" i="66"/>
  <c r="F67" i="66"/>
  <c r="Y67" i="66"/>
  <c r="AB63" i="66"/>
  <c r="W63" i="66"/>
  <c r="F63" i="66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/>
  <c r="W60" i="66"/>
  <c r="F60" i="66"/>
  <c r="Z66" i="66"/>
  <c r="Z65" i="66"/>
  <c r="G32" i="59"/>
  <c r="G31" i="59"/>
  <c r="G30" i="59"/>
  <c r="O2" i="59"/>
  <c r="O3" i="59"/>
  <c r="F28" i="59"/>
  <c r="P33" i="59"/>
  <c r="Q33" i="59"/>
  <c r="R33" i="59"/>
  <c r="O33" i="59"/>
  <c r="H21" i="59"/>
  <c r="U66" i="66"/>
  <c r="C66" i="66"/>
  <c r="M66" i="66"/>
  <c r="C18" i="64"/>
  <c r="G13" i="9"/>
  <c r="C13" i="9"/>
  <c r="C11" i="9"/>
  <c r="G10" i="9"/>
  <c r="G9" i="9"/>
  <c r="G8" i="9"/>
  <c r="I22" i="59"/>
  <c r="A48" i="39"/>
  <c r="P48" i="39"/>
  <c r="D120" i="39"/>
  <c r="E120" i="39"/>
  <c r="F120" i="39"/>
  <c r="G120" i="39"/>
  <c r="D103" i="39"/>
  <c r="E103" i="39"/>
  <c r="F103" i="39"/>
  <c r="G103" i="39"/>
  <c r="A119" i="39"/>
  <c r="A102" i="39"/>
  <c r="H37" i="39"/>
  <c r="AB37" i="39"/>
  <c r="D71" i="39"/>
  <c r="E71" i="39"/>
  <c r="F71" i="39"/>
  <c r="G71" i="39"/>
  <c r="H71" i="39"/>
  <c r="I71" i="39"/>
  <c r="J71" i="39"/>
  <c r="K71" i="39"/>
  <c r="L71" i="39"/>
  <c r="M71" i="39"/>
  <c r="N71" i="39"/>
  <c r="C12" i="39"/>
  <c r="C2" i="65"/>
  <c r="L2" i="65"/>
  <c r="C1" i="65"/>
  <c r="L1" i="65"/>
  <c r="C7" i="39"/>
  <c r="C56" i="39"/>
  <c r="B24" i="63"/>
  <c r="M1" i="66"/>
  <c r="H19" i="43"/>
  <c r="M18" i="43"/>
  <c r="H1" i="66"/>
  <c r="E2" i="65"/>
  <c r="E1" i="65"/>
  <c r="D2" i="65"/>
  <c r="D1" i="65"/>
  <c r="B7" i="64"/>
  <c r="E14" i="64"/>
  <c r="B5" i="64"/>
  <c r="C25" i="64"/>
  <c r="B10" i="64"/>
  <c r="D28" i="64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A16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I3" i="63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/>
  <c r="G29" i="59"/>
  <c r="F13" i="59"/>
  <c r="F19" i="59"/>
  <c r="F18" i="59"/>
  <c r="F9" i="9"/>
  <c r="B8" i="59"/>
  <c r="F10" i="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J29" i="39"/>
  <c r="W29" i="39"/>
  <c r="B2" i="64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G100" i="43"/>
  <c r="G109" i="43"/>
  <c r="F100" i="43"/>
  <c r="F109" i="43"/>
  <c r="E100" i="43"/>
  <c r="E109" i="43"/>
  <c r="D100" i="43"/>
  <c r="D109" i="43"/>
  <c r="C100" i="43"/>
  <c r="C109" i="43"/>
  <c r="L101" i="43"/>
  <c r="N101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D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E48" i="43"/>
  <c r="B46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W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J32" i="39"/>
  <c r="AC32" i="39"/>
  <c r="D93" i="39"/>
  <c r="E93" i="39"/>
  <c r="F93" i="39"/>
  <c r="G93" i="39"/>
  <c r="H93" i="39"/>
  <c r="I93" i="39"/>
  <c r="J93" i="39"/>
  <c r="K93" i="39"/>
  <c r="L93" i="39"/>
  <c r="M93" i="39"/>
  <c r="D89" i="39"/>
  <c r="E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H31" i="39"/>
  <c r="D85" i="39"/>
  <c r="E85" i="39"/>
  <c r="J23" i="39"/>
  <c r="AC23" i="39"/>
  <c r="D83" i="39"/>
  <c r="E83" i="39"/>
  <c r="J21" i="39"/>
  <c r="AC21" i="39"/>
  <c r="D81" i="39"/>
  <c r="E81" i="39"/>
  <c r="D79" i="39"/>
  <c r="E79" i="39"/>
  <c r="F79" i="39"/>
  <c r="G79" i="39"/>
  <c r="D77" i="39"/>
  <c r="E77" i="39"/>
  <c r="H15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8" i="39"/>
  <c r="AC8" i="39"/>
  <c r="H8" i="39"/>
  <c r="AB8" i="39"/>
  <c r="F8" i="39"/>
  <c r="AA8" i="39"/>
  <c r="B88" i="43"/>
  <c r="B85" i="43"/>
  <c r="C21" i="39"/>
  <c r="F45" i="39"/>
  <c r="S45" i="39"/>
  <c r="AA45" i="39"/>
  <c r="J44" i="39"/>
  <c r="W44" i="39"/>
  <c r="F42" i="39"/>
  <c r="AA42" i="39"/>
  <c r="F41" i="39"/>
  <c r="AA41" i="39"/>
  <c r="H39" i="39"/>
  <c r="U39" i="39"/>
  <c r="H34" i="39"/>
  <c r="AB34" i="39"/>
  <c r="F31" i="39"/>
  <c r="H42" i="39"/>
  <c r="AB42" i="39"/>
  <c r="J34" i="39"/>
  <c r="AC34" i="39"/>
  <c r="J31" i="39"/>
  <c r="C25" i="39"/>
  <c r="F43" i="39"/>
  <c r="AA43" i="39"/>
  <c r="H43" i="39"/>
  <c r="U43" i="39"/>
  <c r="J41" i="39"/>
  <c r="W41" i="39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F12" i="39"/>
  <c r="S12" i="39"/>
  <c r="U8" i="39"/>
  <c r="N6" i="43"/>
  <c r="M11" i="43"/>
  <c r="M10" i="43"/>
  <c r="M8" i="43"/>
  <c r="M4" i="43"/>
  <c r="E59" i="43"/>
  <c r="B57" i="43"/>
  <c r="D50" i="43"/>
  <c r="F101" i="43"/>
  <c r="D54" i="43"/>
  <c r="J101" i="43"/>
  <c r="G101" i="43"/>
  <c r="F23" i="39"/>
  <c r="AA23" i="39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/>
  <c r="F77" i="39"/>
  <c r="G77" i="39"/>
  <c r="F15" i="39"/>
  <c r="AA15" i="39"/>
  <c r="J15" i="39"/>
  <c r="W15" i="39"/>
  <c r="H41" i="39"/>
  <c r="AB40" i="39"/>
  <c r="AC41" i="39"/>
  <c r="J45" i="39"/>
  <c r="AC45" i="39"/>
  <c r="H23" i="39"/>
  <c r="F85" i="39"/>
  <c r="G85" i="39"/>
  <c r="S34" i="39"/>
  <c r="J17" i="39"/>
  <c r="W17" i="39"/>
  <c r="H17" i="39"/>
  <c r="AB17" i="39"/>
  <c r="H21" i="39"/>
  <c r="F32" i="39"/>
  <c r="AA32" i="39"/>
  <c r="F95" i="39"/>
  <c r="G95" i="39"/>
  <c r="H95" i="39"/>
  <c r="I95" i="39"/>
  <c r="J95" i="39"/>
  <c r="K95" i="39"/>
  <c r="L95" i="39"/>
  <c r="M95" i="39"/>
  <c r="H32" i="39"/>
  <c r="U32" i="39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/>
  <c r="H2" i="66"/>
  <c r="N21" i="43"/>
  <c r="K2" i="66"/>
  <c r="N24" i="43"/>
  <c r="H11" i="44"/>
  <c r="H13" i="44"/>
  <c r="N12" i="43"/>
  <c r="N8" i="43"/>
  <c r="M9" i="43"/>
  <c r="N3" i="43"/>
  <c r="F48" i="43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/>
  <c r="J2" i="65"/>
  <c r="F17" i="59"/>
  <c r="H16" i="63"/>
  <c r="E5" i="65"/>
  <c r="G8" i="65"/>
  <c r="E7" i="65"/>
  <c r="G4" i="65"/>
  <c r="E4" i="65"/>
  <c r="H4" i="65"/>
  <c r="H6" i="65"/>
  <c r="E6" i="65"/>
  <c r="E8" i="65"/>
  <c r="G5" i="65"/>
  <c r="H5" i="65"/>
  <c r="H8" i="65"/>
  <c r="H7" i="65"/>
  <c r="D71" i="43"/>
  <c r="D70" i="43"/>
  <c r="D72" i="43"/>
  <c r="D73" i="43"/>
  <c r="J77" i="43"/>
  <c r="D78" i="43"/>
  <c r="D74" i="43"/>
  <c r="C12" i="43"/>
  <c r="F61" i="63"/>
  <c r="G61" i="63"/>
  <c r="F53" i="63"/>
  <c r="G53" i="63"/>
  <c r="E20" i="64"/>
  <c r="F46" i="63"/>
  <c r="G46" i="63"/>
  <c r="F56" i="63"/>
  <c r="G56" i="63"/>
  <c r="F67" i="63"/>
  <c r="G67" i="63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/>
  <c r="W66" i="66"/>
  <c r="F66" i="66"/>
  <c r="P66" i="66"/>
  <c r="AB65" i="66"/>
  <c r="W31" i="39"/>
  <c r="AC31" i="39"/>
  <c r="AB31" i="39"/>
  <c r="U31" i="39"/>
  <c r="V64" i="66"/>
  <c r="E64" i="66"/>
  <c r="V65" i="66"/>
  <c r="E65" i="66"/>
  <c r="F13" i="39"/>
  <c r="J13" i="39"/>
  <c r="W13" i="39"/>
  <c r="H13" i="39"/>
  <c r="U13" i="39"/>
  <c r="H19" i="39"/>
  <c r="F19" i="39"/>
  <c r="AA19" i="39"/>
  <c r="J19" i="39"/>
  <c r="AC19" i="39"/>
  <c r="F35" i="39"/>
  <c r="H35" i="39"/>
  <c r="J35" i="39"/>
  <c r="AC35" i="39"/>
  <c r="F81" i="39"/>
  <c r="G81" i="39"/>
  <c r="AB45" i="39"/>
  <c r="E21" i="67"/>
  <c r="E20" i="67"/>
  <c r="E19" i="67"/>
  <c r="E18" i="67"/>
  <c r="F37" i="39"/>
  <c r="J12" i="39"/>
  <c r="AC12" i="39"/>
  <c r="I15" i="66"/>
  <c r="U63" i="66"/>
  <c r="C63" i="66"/>
  <c r="D63" i="66"/>
  <c r="Z62" i="66"/>
  <c r="D18" i="66"/>
  <c r="I18" i="66"/>
  <c r="H18" i="66"/>
  <c r="I17" i="66"/>
  <c r="H15" i="66"/>
  <c r="H12" i="66"/>
  <c r="D9" i="66"/>
  <c r="H7" i="66"/>
  <c r="D49" i="67"/>
  <c r="C50" i="67"/>
  <c r="V70" i="67"/>
  <c r="F69" i="67"/>
  <c r="F68" i="67"/>
  <c r="C29" i="67"/>
  <c r="D28" i="67"/>
  <c r="D52" i="67"/>
  <c r="C53" i="67"/>
  <c r="F17" i="39"/>
  <c r="AA17" i="39"/>
  <c r="U42" i="39"/>
  <c r="S23" i="39"/>
  <c r="F83" i="39"/>
  <c r="G83" i="39"/>
  <c r="F44" i="39"/>
  <c r="W8" i="39"/>
  <c r="M3" i="43"/>
  <c r="C6" i="43"/>
  <c r="S14" i="39"/>
  <c r="H9" i="44"/>
  <c r="F36" i="39"/>
  <c r="F29" i="59"/>
  <c r="F33" i="59"/>
  <c r="B17" i="9"/>
  <c r="V66" i="66"/>
  <c r="E66" i="66"/>
  <c r="O66" i="66"/>
  <c r="V67" i="66"/>
  <c r="E67" i="66"/>
  <c r="J7" i="66"/>
  <c r="H11" i="66"/>
  <c r="H16" i="66"/>
  <c r="G17" i="66"/>
  <c r="G12" i="66"/>
  <c r="D60" i="67"/>
  <c r="C61" i="67"/>
  <c r="B64" i="67"/>
  <c r="C77" i="67"/>
  <c r="D77" i="67"/>
  <c r="V22" i="67"/>
  <c r="B2" i="68"/>
  <c r="D7" i="68"/>
  <c r="F14" i="68"/>
  <c r="E81" i="43"/>
  <c r="B79" i="43"/>
  <c r="AC29" i="39"/>
  <c r="K1" i="60"/>
  <c r="F45" i="63"/>
  <c r="G45" i="63"/>
  <c r="W61" i="66"/>
  <c r="F61" i="66"/>
  <c r="W62" i="66"/>
  <c r="F62" i="66"/>
  <c r="G5" i="66"/>
  <c r="H13" i="66"/>
  <c r="H17" i="66"/>
  <c r="D12" i="66"/>
  <c r="I5" i="66"/>
  <c r="G8" i="66"/>
  <c r="E41" i="67"/>
  <c r="E42" i="67"/>
  <c r="U42" i="67"/>
  <c r="C57" i="67"/>
  <c r="B61" i="67"/>
  <c r="B62" i="67"/>
  <c r="S62" i="67"/>
  <c r="E65" i="67"/>
  <c r="V78" i="67"/>
  <c r="F77" i="67"/>
  <c r="F76" i="67"/>
  <c r="C85" i="67"/>
  <c r="D85" i="67"/>
  <c r="U26" i="67"/>
  <c r="J9" i="39"/>
  <c r="AC9" i="39"/>
  <c r="K12" i="66"/>
  <c r="G2" i="66"/>
  <c r="N20" i="43"/>
  <c r="E37" i="67"/>
  <c r="E38" i="67"/>
  <c r="O64" i="67"/>
  <c r="T66" i="67"/>
  <c r="T74" i="67"/>
  <c r="B21" i="67"/>
  <c r="B20" i="67"/>
  <c r="B19" i="67"/>
  <c r="B18" i="67"/>
  <c r="B49" i="67"/>
  <c r="B50" i="67"/>
  <c r="S50" i="67"/>
  <c r="B57" i="67"/>
  <c r="B58" i="67"/>
  <c r="S58" i="67"/>
  <c r="D20" i="63"/>
  <c r="E14" i="68"/>
  <c r="I20" i="43"/>
  <c r="H9" i="39"/>
  <c r="U9" i="39"/>
  <c r="F9" i="39"/>
  <c r="W9" i="39"/>
  <c r="A7" i="43"/>
  <c r="H59" i="43"/>
  <c r="AA12" i="39"/>
  <c r="H65" i="43"/>
  <c r="AB12" i="39"/>
  <c r="E17" i="64"/>
  <c r="B80" i="63"/>
  <c r="B82" i="63"/>
  <c r="E13" i="63"/>
  <c r="F13" i="63"/>
  <c r="H12" i="63"/>
  <c r="G13" i="63"/>
  <c r="H13" i="63"/>
  <c r="D14" i="63"/>
  <c r="C5" i="68"/>
  <c r="C7" i="68"/>
  <c r="C6" i="68"/>
  <c r="B11" i="64"/>
  <c r="C21" i="64"/>
  <c r="F7" i="39"/>
  <c r="J7" i="39"/>
  <c r="AC7" i="39"/>
  <c r="V47" i="39"/>
  <c r="I47" i="39"/>
  <c r="I51" i="39"/>
  <c r="J51" i="39"/>
  <c r="H7" i="39"/>
  <c r="U15" i="39"/>
  <c r="AB15" i="39"/>
  <c r="U21" i="39"/>
  <c r="AB21" i="39"/>
  <c r="F89" i="39"/>
  <c r="G89" i="39"/>
  <c r="F27" i="39"/>
  <c r="AA27" i="39"/>
  <c r="J27" i="39"/>
  <c r="J45" i="63"/>
  <c r="I45" i="63"/>
  <c r="AA13" i="39"/>
  <c r="S13" i="39"/>
  <c r="J14" i="39"/>
  <c r="L1" i="60"/>
  <c r="F42" i="63"/>
  <c r="G42" i="63"/>
  <c r="F54" i="63"/>
  <c r="G54" i="63"/>
  <c r="J52" i="63"/>
  <c r="I52" i="63"/>
  <c r="F76" i="63"/>
  <c r="G76" i="63"/>
  <c r="J76" i="63"/>
  <c r="I76" i="63"/>
  <c r="F48" i="63"/>
  <c r="G48" i="63"/>
  <c r="J53" i="63"/>
  <c r="I53" i="63"/>
  <c r="J66" i="63"/>
  <c r="I66" i="63"/>
  <c r="F75" i="63"/>
  <c r="G75" i="63"/>
  <c r="J73" i="63"/>
  <c r="I73" i="63"/>
  <c r="D8" i="63"/>
  <c r="F52" i="63"/>
  <c r="G52" i="63"/>
  <c r="F74" i="63"/>
  <c r="G74" i="63"/>
  <c r="J42" i="63"/>
  <c r="I42" i="63"/>
  <c r="J43" i="63"/>
  <c r="I43" i="63"/>
  <c r="F55" i="63"/>
  <c r="G55" i="63"/>
  <c r="J55" i="63"/>
  <c r="I55" i="63"/>
  <c r="J70" i="63"/>
  <c r="I70" i="63"/>
  <c r="F73" i="63"/>
  <c r="G73" i="63"/>
  <c r="J75" i="63"/>
  <c r="I75" i="63"/>
  <c r="I10" i="66"/>
  <c r="I13" i="66"/>
  <c r="I14" i="66"/>
  <c r="I4" i="66"/>
  <c r="I6" i="66"/>
  <c r="I8" i="66"/>
  <c r="D41" i="67"/>
  <c r="B69" i="67"/>
  <c r="B68" i="67"/>
  <c r="S70" i="67"/>
  <c r="D101" i="43"/>
  <c r="U29" i="39"/>
  <c r="O17" i="43"/>
  <c r="H17" i="43"/>
  <c r="F63" i="63"/>
  <c r="G63" i="63"/>
  <c r="F57" i="63"/>
  <c r="G57" i="63"/>
  <c r="J72" i="63"/>
  <c r="I72" i="63"/>
  <c r="F72" i="63"/>
  <c r="G72" i="63"/>
  <c r="F64" i="63"/>
  <c r="G64" i="63"/>
  <c r="F60" i="63"/>
  <c r="G60" i="63"/>
  <c r="J51" i="63"/>
  <c r="I51" i="63"/>
  <c r="D30" i="64"/>
  <c r="U62" i="66"/>
  <c r="C62" i="66"/>
  <c r="Z61" i="66"/>
  <c r="Y62" i="66"/>
  <c r="T63" i="66"/>
  <c r="B63" i="66"/>
  <c r="D29" i="67"/>
  <c r="C30" i="67"/>
  <c r="D32" i="67"/>
  <c r="C33" i="67"/>
  <c r="C37" i="67"/>
  <c r="D36" i="67"/>
  <c r="T42" i="67"/>
  <c r="D42" i="67"/>
  <c r="D44" i="67"/>
  <c r="C45" i="67"/>
  <c r="D45" i="67"/>
  <c r="T50" i="67"/>
  <c r="D50" i="67"/>
  <c r="U78" i="67"/>
  <c r="E77" i="67"/>
  <c r="E76" i="67"/>
  <c r="D82" i="67"/>
  <c r="C81" i="67"/>
  <c r="V26" i="67"/>
  <c r="F25" i="67"/>
  <c r="F24" i="67"/>
  <c r="T22" i="67"/>
  <c r="D22" i="67"/>
  <c r="U37" i="39"/>
  <c r="F38" i="43"/>
  <c r="H114" i="43"/>
  <c r="H109" i="43"/>
  <c r="H101" i="43"/>
  <c r="F16" i="59"/>
  <c r="F8" i="9"/>
  <c r="F5" i="9"/>
  <c r="E51" i="63"/>
  <c r="B49" i="63"/>
  <c r="J64" i="63"/>
  <c r="I64" i="63"/>
  <c r="F51" i="63"/>
  <c r="G51" i="63"/>
  <c r="J47" i="63"/>
  <c r="I47" i="63"/>
  <c r="E70" i="63"/>
  <c r="B68" i="63"/>
  <c r="J54" i="63"/>
  <c r="I54" i="63"/>
  <c r="D66" i="66"/>
  <c r="N66" i="66"/>
  <c r="I7" i="66"/>
  <c r="U64" i="66"/>
  <c r="C64" i="66"/>
  <c r="U65" i="66"/>
  <c r="C65" i="66"/>
  <c r="Y66" i="66"/>
  <c r="T67" i="66"/>
  <c r="B67" i="66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/>
  <c r="S78" i="67"/>
  <c r="D26" i="67"/>
  <c r="C25" i="67"/>
  <c r="T26" i="67"/>
  <c r="S15" i="39"/>
  <c r="AC40" i="39"/>
  <c r="F21" i="39"/>
  <c r="AB39" i="39"/>
  <c r="S38" i="39"/>
  <c r="S41" i="39"/>
  <c r="B84" i="63"/>
  <c r="B81" i="63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/>
  <c r="F65" i="63"/>
  <c r="G65" i="63"/>
  <c r="J57" i="63"/>
  <c r="I57" i="63"/>
  <c r="F44" i="63"/>
  <c r="G44" i="63"/>
  <c r="J74" i="63"/>
  <c r="I74" i="63"/>
  <c r="F70" i="63"/>
  <c r="G70" i="63"/>
  <c r="F62" i="63"/>
  <c r="G62" i="63"/>
  <c r="F66" i="63"/>
  <c r="G66" i="63"/>
  <c r="J56" i="63"/>
  <c r="I56" i="63"/>
  <c r="J71" i="63"/>
  <c r="I71" i="63"/>
  <c r="D29" i="64"/>
  <c r="D27" i="64"/>
  <c r="J4" i="66"/>
  <c r="D40" i="67"/>
  <c r="U70" i="67"/>
  <c r="E69" i="67"/>
  <c r="E68" i="67"/>
  <c r="F20" i="67"/>
  <c r="F19" i="67"/>
  <c r="F18" i="67"/>
  <c r="I12" i="66"/>
  <c r="J10" i="66"/>
  <c r="J8" i="66"/>
  <c r="J6" i="66"/>
  <c r="D21" i="63"/>
  <c r="D19" i="63"/>
  <c r="J9" i="66"/>
  <c r="I9" i="66"/>
  <c r="AA62" i="66"/>
  <c r="V63" i="66"/>
  <c r="E63" i="66"/>
  <c r="O63" i="66"/>
  <c r="K7" i="66"/>
  <c r="K5" i="66"/>
  <c r="C68" i="67"/>
  <c r="D68" i="67"/>
  <c r="C76" i="67"/>
  <c r="D76" i="67"/>
  <c r="C84" i="67"/>
  <c r="D84" i="67"/>
  <c r="C8" i="68"/>
  <c r="G18" i="66"/>
  <c r="J1" i="65"/>
  <c r="E42" i="63"/>
  <c r="B40" i="63"/>
  <c r="H60" i="43"/>
  <c r="H61" i="43"/>
  <c r="H63" i="43"/>
  <c r="F81" i="43"/>
  <c r="H66" i="43"/>
  <c r="H67" i="43"/>
  <c r="H64" i="43"/>
  <c r="F70" i="43"/>
  <c r="H74" i="43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/>
  <c r="J46" i="63"/>
  <c r="I46" i="63"/>
  <c r="J48" i="63"/>
  <c r="I48" i="63"/>
  <c r="F43" i="63"/>
  <c r="G43" i="63"/>
  <c r="F47" i="63"/>
  <c r="G47" i="63"/>
  <c r="E19" i="64"/>
  <c r="E16" i="64"/>
  <c r="D19" i="64"/>
  <c r="D16" i="64"/>
  <c r="M17" i="43"/>
  <c r="I2" i="65"/>
  <c r="G6" i="65"/>
  <c r="I1" i="65"/>
  <c r="D56" i="39"/>
  <c r="C58" i="39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D5" i="65"/>
  <c r="D8" i="65"/>
  <c r="D7" i="65"/>
  <c r="H70" i="43"/>
  <c r="E70" i="43"/>
  <c r="B68" i="43"/>
  <c r="C24" i="43"/>
  <c r="S44" i="39"/>
  <c r="AA44" i="39"/>
  <c r="U18" i="67"/>
  <c r="E17" i="67"/>
  <c r="E16" i="67"/>
  <c r="E15" i="67"/>
  <c r="E14" i="67"/>
  <c r="I11" i="66"/>
  <c r="F12" i="59"/>
  <c r="F20" i="59"/>
  <c r="F11" i="9"/>
  <c r="B17" i="67"/>
  <c r="B16" i="67"/>
  <c r="B15" i="67"/>
  <c r="B14" i="67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/>
  <c r="P65" i="66"/>
  <c r="W64" i="66"/>
  <c r="F64" i="66"/>
  <c r="P50" i="66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H73" i="43"/>
  <c r="AB9" i="39"/>
  <c r="AA9" i="39"/>
  <c r="S9" i="39"/>
  <c r="B85" i="63"/>
  <c r="B83" i="63"/>
  <c r="AB7" i="39"/>
  <c r="T47" i="39"/>
  <c r="G47" i="39"/>
  <c r="U7" i="39"/>
  <c r="S7" i="39"/>
  <c r="AA7" i="39"/>
  <c r="R47" i="39"/>
  <c r="M65" i="66"/>
  <c r="D65" i="66"/>
  <c r="N65" i="66"/>
  <c r="D33" i="67"/>
  <c r="C34" i="67"/>
  <c r="U61" i="66"/>
  <c r="C61" i="66"/>
  <c r="U60" i="66"/>
  <c r="C60" i="66"/>
  <c r="AA61" i="66"/>
  <c r="V62" i="66"/>
  <c r="E62" i="66"/>
  <c r="O62" i="66"/>
  <c r="AC36" i="39"/>
  <c r="W36" i="39"/>
  <c r="AA21" i="39"/>
  <c r="S21" i="39"/>
  <c r="C24" i="67"/>
  <c r="D24" i="67"/>
  <c r="D25" i="67"/>
  <c r="C20" i="67"/>
  <c r="D21" i="67"/>
  <c r="Y65" i="66"/>
  <c r="T66" i="66"/>
  <c r="B66" i="66"/>
  <c r="L66" i="66"/>
  <c r="D64" i="66"/>
  <c r="M64" i="66"/>
  <c r="M63" i="66"/>
  <c r="Y61" i="66"/>
  <c r="T62" i="66"/>
  <c r="B62" i="66"/>
  <c r="D62" i="66"/>
  <c r="M62" i="66"/>
  <c r="AC14" i="39"/>
  <c r="W14" i="39"/>
  <c r="AC27" i="39"/>
  <c r="W27" i="39"/>
  <c r="AB14" i="39"/>
  <c r="U14" i="39"/>
  <c r="C80" i="67"/>
  <c r="D80" i="67"/>
  <c r="D81" i="67"/>
  <c r="T30" i="67"/>
  <c r="D30" i="67"/>
  <c r="V18" i="67"/>
  <c r="F17" i="67"/>
  <c r="F16" i="67"/>
  <c r="F15" i="67"/>
  <c r="F14" i="67"/>
  <c r="H11" i="39"/>
  <c r="F11" i="39"/>
  <c r="J11" i="39"/>
  <c r="F22" i="43"/>
  <c r="E22" i="43"/>
  <c r="I102" i="43"/>
  <c r="E102" i="43"/>
  <c r="M102" i="43"/>
  <c r="C102" i="43"/>
  <c r="L102" i="43"/>
  <c r="H102" i="43"/>
  <c r="H110" i="43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/>
  <c r="D5" i="43"/>
  <c r="H84" i="43"/>
  <c r="H87" i="43"/>
  <c r="H83" i="43"/>
  <c r="H82" i="43"/>
  <c r="H81" i="43"/>
  <c r="H85" i="43"/>
  <c r="H88" i="43"/>
  <c r="H86" i="43"/>
  <c r="F22" i="59"/>
  <c r="F13" i="9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/>
  <c r="K2" i="65"/>
  <c r="K4" i="65"/>
  <c r="T62" i="67"/>
  <c r="D62" i="67"/>
  <c r="T54" i="67"/>
  <c r="D54" i="67"/>
  <c r="U14" i="67"/>
  <c r="E13" i="67"/>
  <c r="E12" i="67"/>
  <c r="E11" i="67"/>
  <c r="E10" i="67"/>
  <c r="N62" i="66"/>
  <c r="S14" i="67"/>
  <c r="B13" i="67"/>
  <c r="B12" i="67"/>
  <c r="B11" i="67"/>
  <c r="B10" i="67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/>
  <c r="C30" i="63"/>
  <c r="P40" i="66"/>
  <c r="P30" i="66"/>
  <c r="P52" i="66"/>
  <c r="T58" i="67"/>
  <c r="D58" i="67"/>
  <c r="P63" i="67"/>
  <c r="P64" i="67"/>
  <c r="P55" i="66"/>
  <c r="D22" i="43"/>
  <c r="C21" i="43"/>
  <c r="G51" i="39"/>
  <c r="H51" i="39"/>
  <c r="G52" i="39"/>
  <c r="H52" i="39"/>
  <c r="E47" i="39"/>
  <c r="R48" i="39"/>
  <c r="M106" i="43"/>
  <c r="M105" i="43"/>
  <c r="M104" i="43"/>
  <c r="M107" i="43"/>
  <c r="M108" i="43"/>
  <c r="M103" i="43"/>
  <c r="M110" i="43"/>
  <c r="V14" i="67"/>
  <c r="F13" i="67"/>
  <c r="F12" i="67"/>
  <c r="F11" i="67"/>
  <c r="F10" i="67"/>
  <c r="T65" i="66"/>
  <c r="B65" i="66"/>
  <c r="L65" i="66"/>
  <c r="T64" i="66"/>
  <c r="B64" i="66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/>
  <c r="C27" i="63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/>
  <c r="K119" i="43"/>
  <c r="L119" i="43"/>
  <c r="M119" i="43"/>
  <c r="I117" i="43"/>
  <c r="J117" i="43"/>
  <c r="K117" i="43"/>
  <c r="L117" i="43"/>
  <c r="M117" i="43"/>
  <c r="B119" i="43"/>
  <c r="C119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G119" i="43"/>
  <c r="H119" i="43"/>
  <c r="I116" i="43"/>
  <c r="J116" i="43"/>
  <c r="K116" i="43"/>
  <c r="L116" i="43"/>
  <c r="M116" i="43"/>
  <c r="D117" i="43"/>
  <c r="E117" i="43"/>
  <c r="F117" i="43"/>
  <c r="G117" i="43"/>
  <c r="H117" i="43"/>
  <c r="B117" i="43"/>
  <c r="C117" i="43"/>
  <c r="B116" i="43"/>
  <c r="D119" i="43"/>
  <c r="E119" i="43"/>
  <c r="F119" i="43"/>
  <c r="I118" i="43"/>
  <c r="J118" i="43"/>
  <c r="K118" i="43"/>
  <c r="L118" i="43"/>
  <c r="M118" i="43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/>
  <c r="C5" i="43"/>
  <c r="T38" i="67"/>
  <c r="D38" i="67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/>
  <c r="O61" i="66"/>
  <c r="V60" i="66"/>
  <c r="E60" i="66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/>
  <c r="L61" i="66"/>
  <c r="T60" i="66"/>
  <c r="B60" i="66"/>
  <c r="T34" i="67"/>
  <c r="D34" i="67"/>
  <c r="C23" i="64"/>
  <c r="E58" i="39"/>
  <c r="F56" i="39"/>
  <c r="G2" i="65"/>
  <c r="G1" i="65"/>
  <c r="E20" i="43"/>
  <c r="Q20" i="43"/>
  <c r="R20" i="43"/>
  <c r="P20" i="43"/>
  <c r="S20" i="43"/>
  <c r="G9" i="59"/>
  <c r="C12" i="9"/>
  <c r="G21" i="59"/>
  <c r="F21" i="59"/>
  <c r="F12" i="9"/>
  <c r="F14" i="9"/>
  <c r="B9" i="67"/>
  <c r="B8" i="67"/>
  <c r="B7" i="67"/>
  <c r="S10" i="67"/>
  <c r="E9" i="67"/>
  <c r="E8" i="67"/>
  <c r="E7" i="67"/>
  <c r="U10" i="67"/>
  <c r="C20" i="63"/>
  <c r="C21" i="63"/>
  <c r="E21" i="63"/>
  <c r="C19" i="63"/>
  <c r="E19" i="63"/>
  <c r="C47" i="39"/>
  <c r="C48" i="39"/>
  <c r="B3" i="39"/>
  <c r="E51" i="39"/>
  <c r="F51" i="39"/>
  <c r="E52" i="39"/>
  <c r="F52" i="39"/>
  <c r="I52" i="39"/>
  <c r="J52" i="39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/>
  <c r="C28" i="63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/>
  <c r="C26" i="63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/>
  <c r="C29" i="63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/>
  <c r="F7" i="67"/>
  <c r="V10" i="67"/>
  <c r="C22" i="64"/>
  <c r="C30" i="64"/>
  <c r="B6" i="67"/>
  <c r="F6" i="67"/>
  <c r="V6" i="67"/>
  <c r="E6" i="67"/>
  <c r="U6" i="67"/>
  <c r="G56" i="39"/>
  <c r="F58" i="39"/>
  <c r="G20" i="43"/>
  <c r="E41" i="43"/>
  <c r="C41" i="43"/>
  <c r="F11" i="59"/>
  <c r="G12" i="9"/>
  <c r="C22" i="63"/>
  <c r="B5" i="63"/>
  <c r="B4" i="63"/>
  <c r="E20" i="63"/>
  <c r="B3" i="63"/>
  <c r="C17" i="67"/>
  <c r="T18" i="67"/>
  <c r="D18" i="67"/>
  <c r="C28" i="64"/>
  <c r="E28" i="64"/>
  <c r="B3" i="64"/>
  <c r="S6" i="67"/>
  <c r="G58" i="39"/>
  <c r="H56" i="39"/>
  <c r="C29" i="64"/>
  <c r="E29" i="64"/>
  <c r="E30" i="64"/>
  <c r="C20" i="43"/>
  <c r="B17" i="59"/>
  <c r="B18" i="59"/>
  <c r="C16" i="67"/>
  <c r="D17" i="67"/>
  <c r="C27" i="64"/>
  <c r="E27" i="64"/>
  <c r="H58" i="39"/>
  <c r="I56" i="39"/>
  <c r="C15" i="67"/>
  <c r="D16" i="67"/>
  <c r="I58" i="39"/>
  <c r="J56" i="39"/>
  <c r="D15" i="67"/>
  <c r="C14" i="67"/>
  <c r="K56" i="39"/>
  <c r="J58" i="39"/>
  <c r="T14" i="67"/>
  <c r="C13" i="67"/>
  <c r="D14" i="67"/>
  <c r="L56" i="39"/>
  <c r="K58" i="39"/>
  <c r="D13" i="67"/>
  <c r="C12" i="67"/>
  <c r="M56" i="39"/>
  <c r="L58" i="39"/>
  <c r="C11" i="67"/>
  <c r="D12" i="67"/>
  <c r="M58" i="39"/>
  <c r="N56" i="39"/>
  <c r="C10" i="67"/>
  <c r="D11" i="67"/>
  <c r="O56" i="39"/>
  <c r="O58" i="39"/>
  <c r="N58" i="39"/>
  <c r="D10" i="67"/>
  <c r="C9" i="67"/>
  <c r="T10" i="67"/>
  <c r="C8" i="67"/>
  <c r="D9" i="67"/>
  <c r="C7" i="67"/>
  <c r="D8" i="67"/>
  <c r="C6" i="67"/>
  <c r="D7" i="67"/>
  <c r="T6" i="67"/>
  <c r="D6" i="67"/>
  <c r="I19" i="43"/>
  <c r="C19" i="43"/>
  <c r="C35" i="43"/>
  <c r="C37" i="43"/>
  <c r="C34" i="43"/>
  <c r="C36" i="43"/>
  <c r="C38" i="43"/>
  <c r="C29" i="43"/>
  <c r="B3" i="43"/>
  <c r="F6" i="59"/>
  <c r="C39" i="43"/>
  <c r="C33" i="43"/>
  <c r="E36" i="43"/>
  <c r="G36" i="43"/>
  <c r="I36" i="43"/>
  <c r="E34" i="43"/>
  <c r="G34" i="43"/>
  <c r="I34" i="43"/>
  <c r="E39" i="43"/>
  <c r="G39" i="43"/>
  <c r="I39" i="43"/>
  <c r="E37" i="43"/>
  <c r="G37" i="43"/>
  <c r="I37" i="43"/>
  <c r="E33" i="43"/>
  <c r="G33" i="43"/>
  <c r="I33" i="43"/>
  <c r="C30" i="43"/>
  <c r="E29" i="43"/>
  <c r="E38" i="43"/>
  <c r="G38" i="43"/>
  <c r="I38" i="43"/>
  <c r="G35" i="43"/>
  <c r="I35" i="43"/>
  <c r="E35" i="43"/>
  <c r="E30" i="43"/>
  <c r="C27" i="43"/>
  <c r="B4" i="43"/>
  <c r="F7" i="59"/>
  <c r="F5" i="59"/>
  <c r="C26" i="43"/>
  <c r="B2" i="43"/>
  <c r="F8" i="59"/>
  <c r="B11" i="9"/>
  <c r="B5" i="9"/>
  <c r="F9" i="59"/>
  <c r="B12" i="9"/>
  <c r="F10" i="59"/>
  <c r="B13" i="9"/>
  <c r="B14" i="9"/>
  <c r="F4" i="59"/>
  <c r="F24" i="59"/>
  <c r="F25" i="59"/>
  <c r="F35" i="59"/>
  <c r="B18" i="9"/>
  <c r="C11" i="68"/>
  <c r="B15" i="9"/>
  <c r="F36" i="59"/>
  <c r="B19" i="9"/>
  <c r="B16" i="9"/>
  <c r="H16" i="9"/>
  <c r="H19" i="9"/>
  <c r="B11" i="68"/>
  <c r="C23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<sst xmlns="http://schemas.openxmlformats.org/spreadsheetml/2006/main" count="3975" uniqueCount="1807">
  <si>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</si>
  <si>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</si>
  <si>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</si>
  <si>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</si>
  <si>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</si>
  <si>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</si>
  <si>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</si>
  <si>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</si>
  <si>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</si>
  <si>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</si>
  <si>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</si>
  <si>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</si>
  <si>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</si>
  <si>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</si>
  <si>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</si>
  <si>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</si>
  <si>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</si>
  <si>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</si>
  <si>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</si>
  <si>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</si>
  <si>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</si>
  <si>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</si>
  <si>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</si>
  <si>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</si>
  <si>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</si>
  <si>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</si>
  <si>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</si>
  <si>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</si>
  <si>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</si>
  <si>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</si>
  <si>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</si>
  <si>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</si>
  <si>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</si>
  <si>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</si>
  <si>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</si>
  <si>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</si>
  <si>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</si>
  <si>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</si>
  <si>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</si>
  <si>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</si>
  <si>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</si>
  <si>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</si>
  <si>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</si>
  <si>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</si>
  <si>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</si>
  <si>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</si>
  <si>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</si>
  <si>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</si>
  <si>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</si>
  <si>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</si>
  <si>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</si>
  <si>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</si>
  <si>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</si>
  <si>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</si>
  <si>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</si>
  <si>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</si>
  <si>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</si>
  <si>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</si>
  <si>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</si>
  <si>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</si>
  <si>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</si>
  <si>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</si>
  <si>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</si>
  <si>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</si>
  <si>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</si>
  <si>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</si>
  <si>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</si>
  <si>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</si>
  <si>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</si>
  <si>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</si>
  <si>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</si>
  <si>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</si>
  <si>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</si>
  <si>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</si>
  <si>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</si>
  <si>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</si>
  <si>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</si>
  <si>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</si>
  <si>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</si>
  <si>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</si>
  <si>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</si>
  <si>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</si>
  <si>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</si>
  <si>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</si>
  <si>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</si>
  <si>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</si>
  <si>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</si>
  <si>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</si>
  <si>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</si>
  <si>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</si>
  <si>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</si>
  <si>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</si>
  <si>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</si>
  <si>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</si>
  <si>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</si>
  <si>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</si>
  <si>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</si>
  <si>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</si>
  <si>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</si>
  <si>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</si>
  <si>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</si>
  <si>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</si>
  <si>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</si>
  <si>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</si>
  <si>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</si>
  <si>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</si>
  <si>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</si>
  <si>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</si>
  <si>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</si>
  <si>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</si>
  <si>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</si>
  <si>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</si>
  <si>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</si>
  <si>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</si>
  <si>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</si>
  <si>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</si>
  <si>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</si>
  <si>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</si>
  <si>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</si>
  <si>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</si>
  <si>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</si>
  <si>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</si>
  <si>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</si>
  <si>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</si>
  <si>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</si>
  <si>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</si>
  <si>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</si>
  <si>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</si>
  <si>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</si>
  <si>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</si>
  <si>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</si>
  <si>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</si>
  <si>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</si>
  <si>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</si>
  <si>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</si>
  <si>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</si>
  <si>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</si>
  <si>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</si>
  <si>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</si>
  <si>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</si>
  <si>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</si>
  <si>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</si>
  <si>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</si>
  <si>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</si>
  <si>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</si>
  <si>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</si>
  <si>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</si>
  <si>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</si>
  <si>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</si>
  <si>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</si>
  <si>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</si>
  <si>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</si>
  <si>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</si>
  <si>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</si>
  <si>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</si>
  <si>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</si>
  <si>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</si>
  <si>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</si>
  <si>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</si>
  <si>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</si>
  <si>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</si>
  <si>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</si>
  <si>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</si>
  <si>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</si>
  <si>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</si>
  <si>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</si>
  <si>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</si>
  <si>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</si>
  <si>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</si>
  <si>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</si>
  <si>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</si>
  <si>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</si>
  <si>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</si>
  <si>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</si>
  <si>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</si>
  <si>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</si>
  <si>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</si>
  <si>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</si>
  <si>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</si>
  <si>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</si>
  <si>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</si>
  <si>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</si>
  <si>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</si>
  <si>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</si>
  <si>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</si>
  <si>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</si>
  <si>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</si>
  <si>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</si>
  <si>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</si>
  <si>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</si>
  <si>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</si>
  <si>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</si>
  <si>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</si>
  <si>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</si>
  <si>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</si>
  <si>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</si>
  <si>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</si>
  <si>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</si>
  <si>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</si>
  <si>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</si>
  <si>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</si>
  <si>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</si>
  <si>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</si>
  <si>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</si>
  <si>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</si>
  <si>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</si>
  <si>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</si>
  <si>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</si>
  <si>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</si>
  <si>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</si>
  <si>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</si>
  <si>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</si>
  <si>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</si>
  <si>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</si>
  <si>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</si>
  <si>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</si>
  <si>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</si>
  <si>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</si>
  <si>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</si>
  <si>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</si>
  <si>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</si>
  <si>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</si>
  <si>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</si>
  <si>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</si>
  <si>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</si>
  <si>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</si>
  <si>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</si>
  <si>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</si>
  <si>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</si>
  <si>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</si>
  <si>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</si>
  <si>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</si>
  <si>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</si>
  <si>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</si>
  <si>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</si>
  <si>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</si>
  <si>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</si>
  <si>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</si>
  <si>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</si>
  <si>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</si>
  <si>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</si>
  <si>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</si>
  <si>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</si>
  <si>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</si>
  <si>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</si>
  <si>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</si>
  <si>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</si>
  <si>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</si>
  <si>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</si>
  <si>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</si>
  <si>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</si>
  <si>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</si>
  <si>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</si>
  <si>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</si>
  <si>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</si>
  <si>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</si>
  <si>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</si>
  <si>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</si>
  <si>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</si>
  <si>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</si>
  <si>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</si>
  <si>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</si>
  <si>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</si>
  <si>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</si>
  <si>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</si>
  <si>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</si>
  <si>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</si>
  <si>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</si>
  <si>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</si>
  <si>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</si>
  <si>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</si>
  <si>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</si>
  <si>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</si>
  <si>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</si>
  <si>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</si>
  <si>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</si>
  <si>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</si>
  <si>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</si>
  <si>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</si>
  <si>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</si>
  <si>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</si>
  <si>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</si>
  <si>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</si>
  <si>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</si>
  <si>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</si>
  <si>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</si>
  <si>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</si>
  <si>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</si>
  <si>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</si>
  <si>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</si>
  <si>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</si>
  <si>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</si>
  <si>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</si>
  <si>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</si>
  <si>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</si>
  <si>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</si>
  <si>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</si>
  <si>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</si>
  <si>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</si>
  <si>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</si>
  <si>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</si>
  <si>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</si>
  <si>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</si>
  <si>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</si>
  <si>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</si>
  <si>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</si>
  <si>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</si>
  <si>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</si>
  <si>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</si>
  <si>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</si>
  <si>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</si>
  <si>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</si>
  <si>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</si>
  <si>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</si>
  <si>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</si>
  <si>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</si>
  <si>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</si>
  <si>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</si>
  <si>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</si>
  <si>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</si>
  <si>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</si>
  <si>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</si>
  <si>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</si>
  <si>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</si>
  <si>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</si>
  <si>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</si>
  <si>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</si>
  <si>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</si>
  <si>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</si>
  <si>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</si>
  <si>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</si>
  <si>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</si>
  <si>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</si>
  <si>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</si>
  <si>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</si>
  <si>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</si>
  <si>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</si>
  <si>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</si>
  <si>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</si>
  <si>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</si>
  <si>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</si>
  <si>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</si>
  <si>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</si>
  <si>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</si>
  <si>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</si>
  <si>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</si>
  <si>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</si>
  <si>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</si>
  <si>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</si>
  <si>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</si>
  <si>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</si>
  <si>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</si>
  <si>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</si>
  <si>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</si>
  <si>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</si>
  <si>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</si>
  <si>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</si>
  <si>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</si>
  <si>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</si>
  <si>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</si>
  <si>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</si>
  <si>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</si>
  <si>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</si>
  <si>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</si>
  <si>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</si>
  <si>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</si>
  <si>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</si>
  <si>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</si>
  <si>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</si>
  <si>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</si>
  <si>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</si>
  <si>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</si>
  <si>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</si>
  <si>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</si>
  <si>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</si>
  <si>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</si>
  <si>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</si>
  <si>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</si>
  <si>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</si>
  <si>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</si>
  <si>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</si>
  <si>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</si>
  <si>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</si>
  <si>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</si>
  <si>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</si>
  <si>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</si>
  <si>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</si>
  <si>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</si>
  <si>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</si>
  <si>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</si>
  <si>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</si>
  <si>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</si>
  <si>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</si>
  <si>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</si>
  <si>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</si>
  <si>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</si>
  <si>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</si>
  <si>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</si>
  <si>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</si>
  <si>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</si>
  <si>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</si>
  <si>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</si>
  <si>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</si>
  <si>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</si>
  <si>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</si>
  <si>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</si>
  <si>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</si>
  <si>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</si>
  <si>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</si>
  <si>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</si>
  <si>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</si>
  <si>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</si>
  <si>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</si>
  <si>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</si>
  <si>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</si>
  <si>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</si>
  <si>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</si>
  <si>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</si>
  <si>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</si>
  <si>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</si>
  <si>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</si>
  <si>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</si>
  <si>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</si>
  <si>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</si>
  <si>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</si>
  <si>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</si>
  <si>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</si>
  <si>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</si>
  <si>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</si>
  <si>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</si>
  <si>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</si>
  <si>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</si>
  <si>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</si>
  <si>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</si>
  <si>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</si>
  <si>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</si>
  <si>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</si>
  <si>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</si>
  <si>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</si>
  <si>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</si>
  <si>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</si>
  <si>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</si>
  <si>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</si>
  <si>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</si>
  <si>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</si>
  <si>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</si>
  <si>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</si>
  <si>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</si>
  <si>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</si>
  <si>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</si>
  <si>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</si>
  <si>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</si>
  <si>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</si>
  <si>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</si>
  <si>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</si>
  <si>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</si>
  <si>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</si>
  <si>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</si>
  <si>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</si>
  <si>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</si>
  <si>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</si>
  <si>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</si>
  <si>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</si>
  <si>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</si>
  <si>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</si>
  <si>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</si>
  <si>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</si>
  <si>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</si>
  <si>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</si>
  <si>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</si>
  <si>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</si>
  <si>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</si>
  <si>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</si>
  <si>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</si>
  <si>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</si>
  <si>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</si>
  <si>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</si>
  <si>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</si>
  <si>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</si>
  <si>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</si>
  <si>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</si>
  <si>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</si>
  <si>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</si>
  <si>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</si>
  <si>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</si>
  <si>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</si>
  <si>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</si>
  <si>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</si>
  <si>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</si>
  <si>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</si>
  <si>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</si>
  <si>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</si>
  <si>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</si>
  <si>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</si>
  <si>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</si>
  <si>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</si>
  <si>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</si>
  <si>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</si>
  <si>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</si>
  <si>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</si>
  <si>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</si>
  <si>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</si>
  <si>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</si>
  <si>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</si>
  <si>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</si>
  <si>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</si>
  <si>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</si>
  <si>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</si>
  <si>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</si>
  <si>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</si>
  <si>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</si>
  <si>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</si>
  <si>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</si>
  <si>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</si>
  <si>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</si>
  <si>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</si>
  <si>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</si>
  <si>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</si>
  <si>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</si>
  <si>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</si>
  <si>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</si>
  <si>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</si>
  <si>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</si>
  <si>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</si>
  <si>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</si>
  <si>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</si>
  <si>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</si>
  <si>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</si>
  <si>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</si>
  <si>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</si>
  <si>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</si>
  <si>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</si>
  <si>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</si>
  <si>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</si>
  <si>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</si>
  <si>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</si>
  <si>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</si>
  <si>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</si>
  <si>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</si>
  <si>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</si>
  <si>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</si>
  <si>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</si>
  <si>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</si>
  <si>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</si>
  <si>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</si>
  <si>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</si>
  <si>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</si>
  <si>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</si>
  <si>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</si>
  <si>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</si>
  <si>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</si>
  <si>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</si>
  <si>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</si>
  <si>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</si>
  <si>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</si>
  <si>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</si>
  <si>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</si>
  <si>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</si>
  <si>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</si>
  <si>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</si>
  <si>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</si>
  <si>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</si>
  <si>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</si>
  <si>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</si>
  <si>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</si>
  <si>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</si>
  <si>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</si>
  <si>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</si>
  <si>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</si>
  <si>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</si>
  <si>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</si>
  <si>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</si>
  <si>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</si>
  <si>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</si>
  <si>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</si>
  <si>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</si>
  <si>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</si>
  <si>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</si>
  <si>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</si>
  <si>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</si>
  <si>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</si>
  <si>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</si>
  <si>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</si>
  <si>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</si>
  <si>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</si>
  <si>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</si>
  <si>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</si>
  <si>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</si>
  <si>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</si>
  <si>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</si>
  <si>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</si>
  <si>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</si>
  <si>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</si>
  <si>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</si>
  <si>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</si>
  <si>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</si>
  <si>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</si>
  <si>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</si>
  <si>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</si>
  <si>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</si>
  <si>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</si>
  <si>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</si>
  <si>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</si>
  <si>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</si>
  <si>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</si>
  <si>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</si>
  <si>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</si>
  <si>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</si>
  <si>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</si>
  <si>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</si>
  <si>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</si>
  <si>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</si>
  <si>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</si>
  <si>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</si>
  <si>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</si>
  <si>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</si>
  <si>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</si>
  <si>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</si>
  <si>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</si>
  <si>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</si>
  <si>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</si>
  <si>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</si>
  <si>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</si>
  <si>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</si>
  <si>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</si>
  <si>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</si>
  <si>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</si>
  <si>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</si>
  <si>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</si>
  <si>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</si>
  <si>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</si>
  <si>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</si>
  <si>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</si>
  <si>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</si>
  <si>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</si>
  <si>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</si>
  <si>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</si>
  <si>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</si>
  <si>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</si>
  <si>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</si>
  <si>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</si>
  <si>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</si>
  <si>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</si>
  <si>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</si>
  <si>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</si>
  <si>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</si>
  <si>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</si>
  <si>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</si>
  <si>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</si>
  <si>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</si>
  <si>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</si>
  <si>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</si>
  <si>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</si>
  <si>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</si>
  <si>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</si>
  <si>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</si>
  <si>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</si>
  <si>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</si>
  <si>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</si>
  <si>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</si>
  <si>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</si>
  <si>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</si>
  <si>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</si>
  <si>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</si>
  <si>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</si>
  <si>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</si>
  <si>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</si>
  <si>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</si>
  <si>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</si>
  <si>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</si>
  <si>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</si>
  <si>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</si>
  <si>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</si>
  <si>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</si>
  <si>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</si>
  <si>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</si>
  <si>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</si>
  <si>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</si>
  <si>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</si>
  <si>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</si>
  <si>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</si>
  <si>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</si>
  <si>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</si>
  <si>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</si>
  <si>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</si>
  <si>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</si>
  <si>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</si>
  <si>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</si>
  <si>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</si>
  <si>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</si>
  <si>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</si>
  <si>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</si>
  <si>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</si>
  <si>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</si>
  <si>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</si>
  <si>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</si>
  <si>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</si>
  <si>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</si>
  <si>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</si>
  <si>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</si>
  <si>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</si>
  <si>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</si>
  <si>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</si>
  <si>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</si>
  <si>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</si>
  <si>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</si>
  <si>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</si>
  <si>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</si>
  <si>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</si>
  <si>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</si>
  <si>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</si>
  <si>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</si>
  <si>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</si>
  <si>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</si>
  <si>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</si>
  <si>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</si>
  <si>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</si>
  <si>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</si>
  <si>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</si>
  <si>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</si>
  <si>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</si>
  <si>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</si>
  <si>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</si>
  <si>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</si>
  <si>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</si>
  <si>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</si>
  <si>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</si>
  <si>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</si>
  <si>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</si>
  <si>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</si>
  <si>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</si>
  <si>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</si>
  <si>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</si>
  <si>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</si>
  <si>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</si>
  <si>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</si>
  <si>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</si>
  <si>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</si>
  <si>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</si>
  <si>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</si>
  <si>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</si>
  <si>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</si>
  <si>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</si>
  <si>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</si>
  <si>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</si>
  <si>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</si>
  <si>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</si>
  <si>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</si>
  <si>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</si>
  <si>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</si>
  <si>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</si>
  <si>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</si>
  <si>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</si>
  <si>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</si>
  <si>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</si>
  <si>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</si>
  <si>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</si>
  <si>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</si>
  <si>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</si>
  <si>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</si>
  <si>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</si>
  <si>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</si>
  <si>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</si>
  <si>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</si>
  <si>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</si>
  <si>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</si>
  <si>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</si>
  <si>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</si>
  <si>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</si>
  <si>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</si>
  <si>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</si>
  <si>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</si>
  <si>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</si>
  <si>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</si>
  <si>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</si>
  <si>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</si>
  <si>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</si>
  <si>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</si>
  <si>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</si>
  <si>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</si>
  <si>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</si>
  <si>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</si>
  <si>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</si>
  <si>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</si>
  <si>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</si>
  <si>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</si>
  <si>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</si>
  <si>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</si>
  <si>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</si>
  <si>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</si>
  <si>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</si>
  <si>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</si>
  <si>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</si>
  <si>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</si>
  <si>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</si>
  <si>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</si>
  <si>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</si>
  <si>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</si>
  <si>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</si>
  <si>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</si>
  <si>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</si>
  <si>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</si>
  <si>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</si>
  <si>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</si>
  <si>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</si>
  <si>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</si>
  <si>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</si>
  <si>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</si>
  <si>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</si>
  <si>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</si>
  <si>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</si>
  <si>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</si>
  <si>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</si>
  <si>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</si>
  <si>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</si>
  <si>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</si>
  <si>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</si>
  <si>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</si>
  <si>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</si>
  <si>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</si>
  <si>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</si>
  <si>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</si>
  <si>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</si>
  <si>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</si>
  <si>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</si>
  <si>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</si>
  <si>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</si>
  <si>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</si>
  <si>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</si>
  <si>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</si>
  <si>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</si>
  <si>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</si>
  <si>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</si>
  <si>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</si>
  <si>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</si>
  <si>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</si>
  <si>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</si>
  <si>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</si>
  <si>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</si>
  <si>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</si>
  <si>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</si>
  <si>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</si>
  <si>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</si>
  <si>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</si>
  <si>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</si>
  <si>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</si>
  <si>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</si>
  <si>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</si>
  <si>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</si>
  <si>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</si>
  <si>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</si>
  <si>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</si>
  <si>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</si>
  <si>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</si>
  <si>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</si>
  <si>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</si>
  <si>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</si>
  <si>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</si>
  <si>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</si>
  <si>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</si>
  <si>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</si>
  <si>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</si>
  <si>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</si>
  <si>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</si>
  <si>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</si>
  <si>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</si>
  <si>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</si>
  <si>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</si>
  <si>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</si>
  <si>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</si>
  <si>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</si>
  <si>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</si>
  <si>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</si>
  <si>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</si>
  <si>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</si>
  <si>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</si>
  <si>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</si>
  <si>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</si>
  <si>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</si>
  <si>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</si>
  <si>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</si>
  <si>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</si>
  <si>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</si>
  <si>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</si>
  <si>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</si>
  <si>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</si>
  <si>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</si>
  <si>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</si>
  <si>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</si>
  <si>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</si>
  <si>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</si>
  <si>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</si>
  <si>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</si>
  <si>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</si>
  <si>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</si>
  <si>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</si>
  <si>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</si>
  <si>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</si>
  <si>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</si>
  <si>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</si>
  <si>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</si>
  <si>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</si>
  <si>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</si>
  <si>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</si>
  <si>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</si>
  <si>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</si>
  <si>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</si>
  <si>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</si>
  <si>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</si>
  <si>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</si>
  <si>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</si>
  <si>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</si>
  <si>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</si>
  <si>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</si>
  <si>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</si>
  <si>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</si>
  <si>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</si>
  <si>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</si>
  <si>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</si>
  <si>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</si>
  <si>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</si>
  <si>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</si>
  <si>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</si>
  <si>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</si>
  <si>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</si>
  <si>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</si>
  <si>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</si>
  <si>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</si>
  <si>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</si>
  <si>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</si>
  <si>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</si>
  <si>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</si>
  <si>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</si>
  <si>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</si>
  <si>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</si>
  <si>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</si>
  <si>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</si>
  <si>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</si>
  <si>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</si>
  <si>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</si>
  <si>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</si>
  <si>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</si>
  <si>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</si>
  <si>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</si>
  <si>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</si>
  <si>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</si>
  <si>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</si>
  <si>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</si>
  <si>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</si>
  <si>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</si>
  <si>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</si>
  <si>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</si>
  <si>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</si>
  <si>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</si>
  <si>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</si>
  <si>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</si>
  <si>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</si>
  <si>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</si>
  <si>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</si>
  <si>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</si>
  <si>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</si>
  <si>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</si>
  <si>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</si>
  <si>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</si>
  <si>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</si>
  <si>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</si>
  <si>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</si>
  <si>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</si>
  <si>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</si>
  <si>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</si>
  <si>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</si>
  <si>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</si>
  <si>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</si>
  <si>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</si>
  <si>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</si>
  <si>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</si>
  <si>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</si>
  <si>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</si>
  <si>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</si>
  <si>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</si>
  <si>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</si>
  <si>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</si>
  <si>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</si>
  <si>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</si>
  <si>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</si>
  <si>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</si>
  <si>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</si>
  <si>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</si>
  <si>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</si>
  <si>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</si>
  <si>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</si>
  <si>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</si>
  <si>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</si>
  <si>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</si>
  <si>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</si>
  <si>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</si>
  <si>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</si>
  <si>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</si>
  <si>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</si>
  <si>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</si>
  <si>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</si>
  <si>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</si>
  <si>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</si>
  <si>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</si>
  <si>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</si>
  <si>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</si>
  <si>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</si>
  <si>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</si>
  <si>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</si>
  <si>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</si>
  <si>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</si>
  <si>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</si>
  <si>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</si>
  <si>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</si>
  <si>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</si>
  <si>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</si>
  <si>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</si>
  <si>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</si>
  <si>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</si>
  <si>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</si>
  <si>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</si>
  <si>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</si>
  <si>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</si>
  <si>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</si>
  <si>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</si>
  <si>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</si>
  <si>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</si>
  <si>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</si>
  <si>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</si>
  <si>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</si>
  <si>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</si>
  <si>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</si>
  <si>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</si>
  <si>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</si>
  <si>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</si>
  <si>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</si>
  <si>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</si>
  <si>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</si>
  <si>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</si>
  <si>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</si>
  <si>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</si>
  <si>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</si>
  <si>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</si>
  <si>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</si>
  <si>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</si>
  <si>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</si>
  <si>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</si>
  <si>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</si>
  <si>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</si>
  <si>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</si>
  <si>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</si>
  <si>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</si>
  <si>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</si>
  <si>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</si>
  <si>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</si>
  <si>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</si>
  <si>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</si>
  <si>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</si>
  <si>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</si>
  <si>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</si>
  <si>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</si>
  <si>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</si>
  <si>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</si>
  <si>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</si>
  <si>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</si>
  <si>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</si>
  <si>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</si>
  <si>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</si>
  <si>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</si>
  <si>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</si>
  <si>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</si>
  <si>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</si>
  <si>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</si>
  <si>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</si>
  <si>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</si>
  <si>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</si>
  <si>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</si>
  <si>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</si>
  <si>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</si>
  <si>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</si>
  <si>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</si>
  <si>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</si>
  <si>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</si>
  <si>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</si>
  <si>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</si>
  <si>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</si>
  <si>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</si>
  <si>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</si>
  <si>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</si>
  <si>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</si>
  <si>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</si>
  <si>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</si>
  <si>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</si>
  <si>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</si>
  <si>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</si>
  <si>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</si>
  <si>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</si>
  <si>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</si>
  <si>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</si>
  <si>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</si>
  <si>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</si>
  <si>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</si>
  <si>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</si>
  <si>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</si>
  <si>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</si>
  <si>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</si>
  <si>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</si>
  <si>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</si>
  <si>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</si>
  <si>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</si>
  <si>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</si>
  <si>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</si>
  <si>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</si>
  <si>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</si>
  <si>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</si>
  <si>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</si>
  <si>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</si>
  <si>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</si>
  <si>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</si>
  <si>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</si>
  <si>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</si>
  <si>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</si>
  <si>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</si>
  <si>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</si>
  <si>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</si>
  <si>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</si>
  <si>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</si>
  <si>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</si>
  <si>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</si>
  <si>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</si>
  <si>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</si>
  <si>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</si>
  <si>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</si>
  <si>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</si>
  <si>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</si>
  <si>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</si>
  <si>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</si>
  <si>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</si>
  <si>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</si>
  <si>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</si>
  <si>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</si>
  <si>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</si>
  <si>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</si>
  <si>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</si>
  <si>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</si>
  <si>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</si>
  <si>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</si>
  <si>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</si>
  <si>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</si>
  <si>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</si>
  <si>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</si>
  <si>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</si>
  <si>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</si>
  <si>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</si>
  <si>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</si>
  <si>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</si>
  <si>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</si>
  <si>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</si>
  <si>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</si>
  <si>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</si>
  <si>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</si>
  <si>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</si>
  <si>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</si>
  <si>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</si>
  <si>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</si>
  <si>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</si>
  <si>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</si>
  <si>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</si>
  <si>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</si>
  <si>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</si>
  <si>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</si>
  <si>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</si>
  <si>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</si>
  <si>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</si>
  <si>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</si>
  <si>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</si>
  <si>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</si>
  <si>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</si>
  <si>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</si>
  <si>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</si>
  <si>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</si>
  <si>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</si>
  <si>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</si>
  <si>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</si>
  <si>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</si>
  <si>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</si>
  <si>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</si>
  <si>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</si>
  <si>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</si>
  <si>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</si>
  <si>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</si>
  <si>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</si>
  <si>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</si>
  <si>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</si>
  <si>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</si>
  <si>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</si>
  <si>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</si>
  <si>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</si>
  <si>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</si>
  <si>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</si>
  <si>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</si>
  <si>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</si>
  <si>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</si>
  <si>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</si>
  <si>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</si>
  <si>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</si>
  <si>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</si>
  <si>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</si>
  <si>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</si>
  <si>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</si>
  <si>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</si>
  <si>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</si>
  <si>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</si>
  <si>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</si>
  <si>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</si>
  <si>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</si>
  <si>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</si>
  <si>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</si>
  <si>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</si>
  <si>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</si>
  <si>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</si>
  <si>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</si>
  <si>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</si>
  <si>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</si>
  <si>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</si>
  <si>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</si>
  <si>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</si>
  <si>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</si>
  <si>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</si>
  <si>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</si>
  <si>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</si>
  <si>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</si>
  <si>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</si>
  <si>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</si>
  <si>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</si>
  <si>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</si>
  <si>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</si>
  <si>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</si>
  <si>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</si>
  <si>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</si>
  <si>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</si>
  <si>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</si>
  <si>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</si>
  <si>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</si>
  <si>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</si>
  <si>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</si>
  <si>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</si>
  <si>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</si>
  <si>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</si>
  <si>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</si>
  <si>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</si>
  <si>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</si>
  <si>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</si>
  <si>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</si>
  <si>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</si>
  <si>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</si>
  <si>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</si>
  <si>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</si>
  <si>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</si>
  <si>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</si>
  <si>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</si>
  <si>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</si>
  <si>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</si>
  <si>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</si>
  <si>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</si>
  <si>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</si>
  <si>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</si>
  <si>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</si>
  <si>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</si>
  <si>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</si>
  <si>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</si>
  <si>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</si>
  <si>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</si>
  <si>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</si>
  <si>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</si>
  <si>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</si>
  <si>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</si>
  <si>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</si>
  <si>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</si>
  <si>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</si>
  <si>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</si>
  <si>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</si>
  <si>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</si>
  <si>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</si>
  <si>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</si>
  <si>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</si>
  <si>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</si>
  <si>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</si>
  <si>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</si>
  <si>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</si>
  <si>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</si>
  <si>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</si>
  <si>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</si>
  <si>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</si>
  <si>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</si>
  <si>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</si>
  <si>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</si>
  <si>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</si>
  <si>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</si>
  <si>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</si>
  <si>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</si>
  <si>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</si>
  <si>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</si>
  <si>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</si>
  <si>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</si>
  <si>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</si>
  <si>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</si>
  <si>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</si>
  <si>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</si>
  <si>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</si>
  <si>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</si>
  <si>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</si>
  <si>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</si>
  <si>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</si>
  <si>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</si>
  <si>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</si>
  <si>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</si>
  <si>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</si>
  <si>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</si>
  <si>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</si>
  <si>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</si>
  <si>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</si>
  <si>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</si>
  <si>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</si>
  <si>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</si>
  <si>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</si>
  <si>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</si>
  <si>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</si>
  <si>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</si>
  <si>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</si>
  <si>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</si>
  <si>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</si>
  <si>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</si>
  <si>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</si>
  <si>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</si>
  <si>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</si>
  <si>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</si>
  <si>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</si>
  <si>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</si>
  <si>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</si>
  <si>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</si>
  <si>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</si>
  <si>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</si>
  <si>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</si>
  <si>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</si>
  <si>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</si>
  <si>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</si>
  <si>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</si>
  <si>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</si>
  <si>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</si>
  <si>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</si>
  <si>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</si>
  <si>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</si>
  <si>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</si>
  <si>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</si>
  <si>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</si>
  <si>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</si>
  <si>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</si>
  <si>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</si>
  <si>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</si>
  <si>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</si>
  <si>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</si>
  <si>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</si>
  <si>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</si>
  <si>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</si>
  <si>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</si>
  <si>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</si>
  <si>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</si>
  <si>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</si>
  <si>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</si>
  <si>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</si>
  <si>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</si>
  <si>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</si>
  <si>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</si>
  <si>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</si>
  <si>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</si>
  <si>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</si>
  <si>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</si>
  <si>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</si>
  <si>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</si>
  <si>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</si>
  <si>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</si>
  <si>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</si>
  <si>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</si>
  <si>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</si>
  <si>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</si>
  <si>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</si>
  <si>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</si>
  <si>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</si>
  <si>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</si>
  <si>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</si>
  <si>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</si>
  <si>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</si>
  <si>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</si>
  <si>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</si>
  <si>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</si>
  <si>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</si>
  <si>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</si>
  <si>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</si>
  <si>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</si>
  <si>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</si>
  <si>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</si>
  <si>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</si>
  <si>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</si>
  <si>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</si>
  <si>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</si>
  <si>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</si>
  <si>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</si>
  <si>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</si>
  <si>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</si>
  <si>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</si>
  <si>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</si>
  <si>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</si>
  <si>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</si>
  <si>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</si>
  <si>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</si>
  <si>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</si>
  <si>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</si>
  <si>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</si>
  <si>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</si>
  <si>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</si>
  <si>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</si>
  <si>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</si>
  <si>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</si>
  <si>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</si>
  <si>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</si>
  <si>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</si>
  <si>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</si>
  <si>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</si>
  <si>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</si>
  <si>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</si>
  <si>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</si>
  <si>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</si>
  <si>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</si>
  <si>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</si>
  <si>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</si>
  <si>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</si>
  <si>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</si>
  <si>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</si>
  <si>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</si>
  <si>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</si>
  <si>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</si>
  <si>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</si>
  <si>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</si>
  <si>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</si>
  <si>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</si>
  <si>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</si>
  <si>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</si>
  <si>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</si>
  <si>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</si>
  <si>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</si>
  <si>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</si>
  <si>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</si>
  <si>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</si>
  <si>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</si>
  <si>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</si>
  <si>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</si>
  <si>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</si>
  <si>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</si>
  <si>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</si>
  <si>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</si>
  <si>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</si>
  <si>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</si>
  <si>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</si>
  <si>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</si>
  <si>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</si>
  <si>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</si>
  <si>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</si>
  <si>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</si>
  <si>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</si>
  <si>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</si>
  <si>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</si>
  <si>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</si>
  <si>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</si>
  <si>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</si>
  <si>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</si>
  <si>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</si>
  <si>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</si>
  <si>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</si>
  <si>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</si>
  <si>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</si>
  <si>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</si>
  <si>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</si>
  <si>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</si>
  <si>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</si>
  <si>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</si>
  <si>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</si>
  <si>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</si>
  <si>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</si>
  <si>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</si>
  <si>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</si>
  <si>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</si>
  <si>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</si>
  <si>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</si>
  <si>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</si>
  <si>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</si>
  <si>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</si>
  <si>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</si>
  <si>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</si>
  <si>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</si>
  <si>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</si>
  <si>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</si>
  <si>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</si>
  <si>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</si>
  <si>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</si>
  <si>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</si>
  <si>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</si>
  <si>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</si>
  <si>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</si>
  <si>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</si>
  <si>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</si>
  <si>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</si>
  <si>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</si>
  <si>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</si>
  <si>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</si>
  <si>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</si>
  <si>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</si>
  <si>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</si>
  <si>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</si>
  <si>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</si>
  <si>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</si>
  <si>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</si>
  <si>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</si>
  <si>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</si>
  <si>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</si>
  <si>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</si>
  <si>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</si>
  <si>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</si>
  <si>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</si>
  <si>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</si>
  <si>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</si>
  <si>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</si>
  <si>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</si>
  <si>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</si>
  <si>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</si>
  <si>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</si>
  <si>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</si>
  <si>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</si>
  <si>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</si>
  <si>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</si>
  <si>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</si>
  <si>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</si>
  <si>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</si>
  <si>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</si>
  <si>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</si>
  <si>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</si>
  <si>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</si>
  <si>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</si>
  <si>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</si>
  <si>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</si>
  <si>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</si>
  <si>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</si>
  <si>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</si>
  <si>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</si>
  <si>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</si>
  <si>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</si>
  <si>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</si>
  <si>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</si>
  <si>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</si>
  <si>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</si>
  <si>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</si>
  <si>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</si>
  <si>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</si>
  <si>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</si>
  <si>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</si>
  <si>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</si>
  <si>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</si>
  <si>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</si>
  <si>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</si>
  <si>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</si>
  <si>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</si>
  <si>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</si>
  <si>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</si>
  <si>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</si>
  <si>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</si>
  <si>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</si>
  <si>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</si>
  <si>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</si>
  <si>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</si>
  <si>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</si>
  <si>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</si>
  <si>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</si>
  <si>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</si>
  <si>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</si>
  <si>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</si>
  <si>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</si>
  <si>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</si>
  <si>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</si>
  <si>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</si>
  <si>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</si>
  <si>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</si>
  <si>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</si>
  <si>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</si>
  <si>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</si>
  <si>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</si>
  <si>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</si>
  <si>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</si>
  <si>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</si>
  <si>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</si>
  <si>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</si>
  <si>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</si>
  <si>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</si>
  <si>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</si>
  <si>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</si>
  <si>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</si>
  <si>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</si>
  <si>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</si>
  <si>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</si>
  <si>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</si>
  <si>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</si>
  <si>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</si>
  <si>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</si>
  <si>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</si>
  <si>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</si>
  <si>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</si>
  <si>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</si>
  <si>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</si>
  <si>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</si>
  <si>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</si>
  <si>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</si>
  <si>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</si>
  <si>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</si>
  <si>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</si>
  <si>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</si>
  <si>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</si>
  <si>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</si>
  <si>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</si>
  <si>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</si>
  <si>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</si>
  <si>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</si>
  <si>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</si>
  <si>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</si>
  <si>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</si>
  <si>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</si>
  <si>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</si>
  <si>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</si>
  <si>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</si>
  <si>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</si>
  <si>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</si>
  <si>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</si>
  <si>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</si>
  <si>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</si>
  <si>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</si>
  <si>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</si>
  <si>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</si>
  <si>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</si>
  <si>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</si>
  <si>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</si>
  <si>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</si>
  <si>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</si>
  <si>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</si>
  <si>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</si>
  <si>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</si>
  <si>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</si>
  <si>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</si>
  <si>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</si>
  <si>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</si>
  <si>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</si>
  <si>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</si>
  <si>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</si>
  <si>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</si>
  <si>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</si>
  <si>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</si>
  <si>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</si>
  <si>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</si>
  <si>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</si>
  <si>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</si>
  <si>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</si>
  <si>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</si>
  <si>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</si>
  <si>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</si>
  <si>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</si>
  <si>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</si>
  <si>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</si>
  <si>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</si>
  <si>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</si>
  <si>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</si>
  <si>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</si>
  <si>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</si>
  <si>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</si>
  <si>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</si>
  <si>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</si>
  <si>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</si>
  <si>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</si>
  <si>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</si>
  <si>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</si>
  <si>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</si>
  <si>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</si>
  <si>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</si>
  <si>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</si>
  <si>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</si>
  <si>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</si>
  <si>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</si>
  <si>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</si>
  <si>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</si>
  <si>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</si>
  <si>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</si>
  <si>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</si>
  <si>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</si>
  <si>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</si>
  <si>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</si>
  <si>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</si>
  <si>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</si>
  <si>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</si>
  <si>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</si>
  <si>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</si>
  <si>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</si>
  <si>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</si>
  <si>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</si>
  <si>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</si>
  <si>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</si>
  <si>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</si>
  <si>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</si>
  <si>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</si>
  <si>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</si>
  <si>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</si>
  <si>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</si>
  <si>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</si>
  <si>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</si>
  <si>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</si>
  <si>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</si>
  <si>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</si>
  <si>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</si>
  <si>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</si>
  <si>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</si>
  <si>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</si>
  <si>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</si>
  <si>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</si>
  <si>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</si>
  <si>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</si>
  <si>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</si>
  <si>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</si>
  <si>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</si>
  <si>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</si>
  <si>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</si>
  <si>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</si>
  <si>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</si>
  <si>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</si>
  <si>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</si>
  <si>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</si>
  <si>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</si>
  <si>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</si>
  <si>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</si>
  <si>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</si>
  <si>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</si>
  <si>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</si>
  <si>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</si>
  <si>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</si>
  <si>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</si>
  <si>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</si>
  <si>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</si>
  <si>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</si>
  <si>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</si>
  <si>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</si>
  <si>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</si>
  <si>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</si>
  <si>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</si>
  <si>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</si>
  <si>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</si>
  <si>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</si>
  <si>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</si>
  <si>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</si>
  <si>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</si>
  <si>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</si>
  <si>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</si>
  <si>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</si>
  <si>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</si>
  <si>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</si>
  <si>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</si>
  <si>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</si>
  <si>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</si>
  <si>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</si>
  <si>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</si>
  <si>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</si>
  <si>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</si>
  <si>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</si>
  <si>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</si>
  <si>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</si>
  <si>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</si>
  <si>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</si>
  <si>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</si>
  <si>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</si>
  <si>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</si>
  <si>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</si>
  <si>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</si>
  <si>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</si>
  <si>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</si>
  <si>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</si>
  <si>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</si>
  <si>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</si>
  <si>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</si>
  <si>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</si>
  <si>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</si>
  <si>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</si>
  <si>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</si>
  <si>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</si>
  <si>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</si>
  <si>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</si>
  <si>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较好</t>
  </si>
  <si>
    <t>不临58条商业街</t>
  </si>
  <si>
    <t>好</t>
  </si>
  <si>
    <t>500-1000米</t>
  </si>
  <si>
    <t>与级别开发程度一致</t>
  </si>
  <si>
    <t>砖混</t>
  </si>
  <si>
    <t>四环路外</t>
  </si>
  <si>
    <t>%</t>
    <phoneticPr fontId="107" type="noConversion"/>
  </si>
  <si>
    <t>郊区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</si>
</sst>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3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109" fillId="8" borderId="0" xfId="0" applyNumberFormat="1" applyFont="1" applyFill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>
        <row r="2">
          <cell r="F2">
            <v>40</v>
          </cell>
        </row>
        <row r="3">
          <cell r="F3">
            <v>50</v>
          </cell>
        </row>
        <row r="4">
          <cell r="F4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71" t="s">
        <v>168</v>
      </c>
      <c r="B15" s="647" t="s">
        <v>250</v>
      </c>
    </row>
    <row r="16" spans="1:7" ht="14.4">
      <c r="A16" s="1772"/>
      <c r="B16" s="648" t="s">
        <v>169</v>
      </c>
    </row>
    <row r="17" spans="1:2" ht="14.4">
      <c r="A17" s="180" t="s">
        <v>170</v>
      </c>
      <c r="B17" s="649"/>
    </row>
    <row r="18" spans="1:2" ht="14.4">
      <c r="A18" s="1770" t="s">
        <v>171</v>
      </c>
      <c r="B18" s="647" t="s">
        <v>1386</v>
      </c>
    </row>
    <row r="19" spans="1:2" ht="14.4">
      <c r="A19" s="1770"/>
      <c r="B19" s="647" t="s">
        <v>1387</v>
      </c>
    </row>
    <row r="20" spans="1:2" ht="14.4">
      <c r="A20" s="1770"/>
      <c r="B20" s="647" t="s">
        <v>1388</v>
      </c>
    </row>
    <row r="21" spans="1:2" ht="14.4">
      <c r="A21" s="1770"/>
      <c r="B21" s="499" t="s">
        <v>172</v>
      </c>
    </row>
    <row r="22" spans="1:2" ht="14.4">
      <c r="A22" s="1770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20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20"/>
      <c r="B19" s="1820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20"/>
      <c r="B20" s="1820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20"/>
      <c r="B21" s="1820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20"/>
      <c r="B22" s="1820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20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20"/>
      <c r="B24" s="1820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20"/>
      <c r="B25" s="1820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20"/>
      <c r="B26" s="1820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20"/>
      <c r="B27" s="1820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20"/>
      <c r="B28" s="1820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20"/>
      <c r="B29" s="1820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20"/>
      <c r="B30" s="1820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20"/>
      <c r="B31" s="1820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20"/>
      <c r="B32" s="1820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20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20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20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20"/>
      <c r="B36" s="1820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20"/>
      <c r="B37" s="1820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20"/>
      <c r="B38" s="1820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20"/>
      <c r="B39" s="1820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20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20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20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20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20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20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20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20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20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20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20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20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20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20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20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20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20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20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20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20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20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20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20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20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20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20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20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20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20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20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20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20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20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20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20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20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20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20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20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20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20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20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20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20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20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20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20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20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20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20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5" zoomScale="90" zoomScaleNormal="90" zoomScaleSheetLayoutView="89" workbookViewId="0">
      <selection activeCell="C16" sqref="C1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60.9</v>
      </c>
      <c r="I1" s="707" t="s">
        <v>1340</v>
      </c>
      <c r="J1" s="509">
        <f>主表!B6</f>
        <v>30.45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六级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2526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v>1500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1.4903999999999999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38689</v>
      </c>
      <c r="I9" s="1516">
        <f>ROUND(SUMPRODUCT((地价!A36:A86=YEAR(H9)&amp;"-"&amp;ROUNDUP(MONTH(H9)/3,0))*(地价!B3:F3=E2)*(地价!B36:F86)),0)</f>
        <v>155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 t="s">
        <v>1806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1.1299999999999999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30" t="s">
        <v>1337</v>
      </c>
      <c r="B18" s="761" t="s">
        <v>1324</v>
      </c>
      <c r="C18" s="629">
        <f>ROUND(C7*C9*C10*C11*C15*C16,0)</f>
        <v>2526</v>
      </c>
      <c r="D18" s="630">
        <f>H1</f>
        <v>60.9</v>
      </c>
      <c r="E18" s="631">
        <f>ROUND(C18*D18,0)</f>
        <v>153833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31"/>
      <c r="B19" s="766" t="s">
        <v>1327</v>
      </c>
      <c r="C19" s="621">
        <f>ROUND(C7*C9*C10*C11*C15*C16*G3,0)</f>
        <v>5052</v>
      </c>
      <c r="D19" s="630">
        <f>J1</f>
        <v>30.45</v>
      </c>
      <c r="E19" s="631">
        <f>ROUND(C19*D19,0)</f>
        <v>153833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2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60.9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2"/>
      <c r="B21" s="771" t="s">
        <v>1326</v>
      </c>
      <c r="C21" s="638">
        <f>ROUND(IF(G3&lt;I3,C8*C9*C10*C15,C8*C9*C10*C15*G3),0)</f>
        <v>0</v>
      </c>
      <c r="D21" s="639">
        <f>J1</f>
        <v>30.45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 t="s">
        <v>1804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16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1769">
        <v>1060</v>
      </c>
      <c r="F26" s="1769">
        <v>1820</v>
      </c>
      <c r="G26" s="1769">
        <f>(E26+F26)/2</f>
        <v>1440</v>
      </c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 t="s">
        <v>1805</v>
      </c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1.1299999999999999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1798</v>
      </c>
      <c r="D60" s="490">
        <f t="shared" ref="D60:D67" si="7">SUMIF($F$59:$J$59,C60,F60:J60)</f>
        <v>1.2999999999999999E-2</v>
      </c>
      <c r="E60" s="253">
        <f>SUM(D60:D67)</f>
        <v>0.13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1798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1798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1798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1798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1798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1798</v>
      </c>
      <c r="D67" s="490">
        <f t="shared" si="7"/>
        <v>1.2999999999999999E-2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1" sqref="F1:G104857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6" t="s">
        <v>1308</v>
      </c>
      <c r="B1" s="1833" t="s">
        <v>1309</v>
      </c>
      <c r="C1" s="1834"/>
      <c r="D1" s="1835"/>
      <c r="E1" s="1833" t="s">
        <v>1310</v>
      </c>
      <c r="F1" s="1834"/>
      <c r="G1" s="1835"/>
    </row>
    <row r="2" spans="1:7">
      <c r="A2" s="1837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1" t="s">
        <v>1423</v>
      </c>
      <c r="E2" s="1845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>
        <f ca="1">IF(C1="求取熟地价",C27,ROUND((C15*B11+C18)*C22/B11,0))</f>
        <v>0</v>
      </c>
      <c r="C3" s="949" t="s">
        <v>913</v>
      </c>
      <c r="D3" s="1842"/>
      <c r="E3" s="1846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2"/>
      <c r="E4" s="1846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3"/>
      <c r="E5" s="1847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41" t="s">
        <v>1424</v>
      </c>
      <c r="E6" s="1845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六类</v>
      </c>
      <c r="C7" s="703"/>
      <c r="D7" s="1842"/>
      <c r="E7" s="1846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3"/>
      <c r="E8" s="1847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60.9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30.45</v>
      </c>
      <c r="C10" s="703"/>
      <c r="D10" s="1841" t="s">
        <v>1402</v>
      </c>
      <c r="E10" s="1845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>
        <f>IF(A11="容积率",主表!B8,主表!B9)</f>
        <v>2</v>
      </c>
      <c r="C11" s="703"/>
      <c r="D11" s="1844"/>
      <c r="E11" s="1848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>
        <f>IF(B11&lt;1,1,SUMIF(B55:K55,ROUNDDOWN(B11,0),B56:K56)+(SUMIF(B55:K55,ROUNDUP(B11,0),B56:K56)-SUMIF(B55:K55,ROUNDDOWN(B11,0),B56:K56))*(B11-ROUNDDOWN(B11,0)))</f>
        <v>1.91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0.95499999999999996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55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30" t="s">
        <v>1337</v>
      </c>
      <c r="B27" s="761" t="s">
        <v>1324</v>
      </c>
      <c r="C27" s="621">
        <f>ROUND(C28/B11,0)</f>
        <v>0</v>
      </c>
      <c r="D27" s="630">
        <f>B9</f>
        <v>60.9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31"/>
      <c r="B28" s="766" t="s">
        <v>1327</v>
      </c>
      <c r="C28" s="621">
        <f>IF(主表!B4&lt;DATE(2002,12,10),ROUND(C14*C21*C22+C15*B11+C18,0),0)</f>
        <v>0</v>
      </c>
      <c r="D28" s="630">
        <f>B10</f>
        <v>30.45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2" t="s">
        <v>1450</v>
      </c>
      <c r="B29" s="748" t="s">
        <v>1451</v>
      </c>
      <c r="C29" s="635">
        <f>ROUND(C30/B11,0)</f>
        <v>0</v>
      </c>
      <c r="D29" s="636">
        <f>B9</f>
        <v>60.9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51"/>
      <c r="B30" s="952" t="s">
        <v>1452</v>
      </c>
      <c r="C30" s="626">
        <f>IF(主表!B4&lt;DATE(2002,12,10),ROUND(C14*C21*C22+C15*B11,0),0)</f>
        <v>0</v>
      </c>
      <c r="D30" s="676">
        <f>B10</f>
        <v>30.45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9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50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50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50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50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50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50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50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8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9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9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9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9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0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9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9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9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0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75" t="s">
        <v>91</v>
      </c>
      <c r="D4" s="1876"/>
      <c r="E4" s="1877" t="s">
        <v>92</v>
      </c>
      <c r="F4" s="1878"/>
      <c r="G4" s="1875" t="s">
        <v>93</v>
      </c>
      <c r="H4" s="1876"/>
      <c r="I4" s="1875" t="s">
        <v>94</v>
      </c>
      <c r="J4" s="1876"/>
      <c r="K4" s="142" t="s">
        <v>95</v>
      </c>
      <c r="L4" s="448"/>
      <c r="M4" s="449"/>
      <c r="N4" s="449"/>
      <c r="O4" s="449"/>
      <c r="P4" s="1879" t="s">
        <v>96</v>
      </c>
      <c r="Q4" s="1880"/>
      <c r="R4" s="1862" t="s">
        <v>92</v>
      </c>
      <c r="S4" s="1863"/>
      <c r="T4" s="1862" t="s">
        <v>93</v>
      </c>
      <c r="U4" s="1863"/>
      <c r="V4" s="1859" t="s">
        <v>94</v>
      </c>
      <c r="W4" s="1859"/>
      <c r="X4" s="201"/>
      <c r="Y4" s="1862" t="s">
        <v>96</v>
      </c>
      <c r="Z4" s="1863"/>
      <c r="AA4" s="1872" t="s">
        <v>92</v>
      </c>
      <c r="AB4" s="1873" t="s">
        <v>93</v>
      </c>
      <c r="AC4" s="1872" t="s">
        <v>94</v>
      </c>
    </row>
    <row r="5" spans="1:30" ht="14.4">
      <c r="A5" s="41"/>
      <c r="B5" s="42"/>
      <c r="C5" s="1887" t="s">
        <v>227</v>
      </c>
      <c r="D5" s="1888"/>
      <c r="E5" s="1885" t="s">
        <v>228</v>
      </c>
      <c r="F5" s="1886"/>
      <c r="G5" s="1887" t="s">
        <v>231</v>
      </c>
      <c r="H5" s="1888"/>
      <c r="I5" s="1887" t="s">
        <v>229</v>
      </c>
      <c r="J5" s="1888"/>
      <c r="K5" s="142"/>
      <c r="L5" s="448"/>
      <c r="M5" s="449"/>
      <c r="N5" s="449"/>
      <c r="O5" s="449"/>
      <c r="P5" s="1881"/>
      <c r="Q5" s="1882"/>
      <c r="R5" s="1864"/>
      <c r="S5" s="1865"/>
      <c r="T5" s="1864"/>
      <c r="U5" s="1865"/>
      <c r="V5" s="1859"/>
      <c r="W5" s="1859"/>
      <c r="X5" s="201"/>
      <c r="Y5" s="1864"/>
      <c r="Z5" s="1865"/>
      <c r="AA5" s="1873"/>
      <c r="AB5" s="1873"/>
      <c r="AC5" s="1873"/>
    </row>
    <row r="6" spans="1:30" ht="15" thickBot="1">
      <c r="A6" s="43"/>
      <c r="B6" s="44"/>
      <c r="C6" s="1889" t="s">
        <v>230</v>
      </c>
      <c r="D6" s="1890"/>
      <c r="E6" s="1891" t="s">
        <v>230</v>
      </c>
      <c r="F6" s="1892"/>
      <c r="G6" s="1889" t="s">
        <v>230</v>
      </c>
      <c r="H6" s="1890"/>
      <c r="I6" s="1889" t="s">
        <v>230</v>
      </c>
      <c r="J6" s="1890"/>
      <c r="K6" s="142" t="s">
        <v>97</v>
      </c>
      <c r="L6" s="448"/>
      <c r="M6" s="449"/>
      <c r="N6" s="449"/>
      <c r="O6" s="449"/>
      <c r="P6" s="1883"/>
      <c r="Q6" s="1884"/>
      <c r="R6" s="1864"/>
      <c r="S6" s="1865"/>
      <c r="T6" s="1866"/>
      <c r="U6" s="1867"/>
      <c r="V6" s="1859"/>
      <c r="W6" s="1859"/>
      <c r="X6" s="201"/>
      <c r="Y6" s="1866"/>
      <c r="Z6" s="1867"/>
      <c r="AA6" s="1874"/>
      <c r="AB6" s="1874"/>
      <c r="AC6" s="1874"/>
    </row>
    <row r="7" spans="1:30" s="22" customFormat="1" ht="15.6" thickBot="1">
      <c r="A7" s="45" t="s">
        <v>98</v>
      </c>
      <c r="B7" s="46"/>
      <c r="C7" s="1343">
        <f>主表!B4</f>
        <v>38689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60" t="s">
        <v>99</v>
      </c>
      <c r="Q7" s="1868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60" t="s">
        <v>99</v>
      </c>
      <c r="Z7" s="186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60" t="s">
        <v>125</v>
      </c>
      <c r="Q8" s="186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60" t="s">
        <v>125</v>
      </c>
      <c r="Z8" s="186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2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1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2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1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>
        <f>IF(B11="容积率",主表!B8,主表!B9)</f>
        <v>2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2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1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六级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2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1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2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1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2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1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9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9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70"/>
      <c r="Q16" s="206"/>
      <c r="R16" s="207"/>
      <c r="S16" s="208"/>
      <c r="T16" s="207"/>
      <c r="U16" s="208"/>
      <c r="V16" s="207"/>
      <c r="W16" s="208"/>
      <c r="X16" s="201"/>
      <c r="Y16" s="1870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0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0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70"/>
      <c r="Q18" s="206"/>
      <c r="R18" s="207"/>
      <c r="S18" s="208"/>
      <c r="T18" s="207"/>
      <c r="U18" s="208"/>
      <c r="V18" s="207"/>
      <c r="W18" s="208"/>
      <c r="X18" s="201"/>
      <c r="Y18" s="1870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0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0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70"/>
      <c r="Q20" s="206"/>
      <c r="R20" s="207"/>
      <c r="S20" s="208"/>
      <c r="T20" s="207"/>
      <c r="U20" s="208"/>
      <c r="V20" s="207"/>
      <c r="W20" s="208"/>
      <c r="X20" s="201"/>
      <c r="Y20" s="1870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0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0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70"/>
      <c r="Q22" s="206"/>
      <c r="R22" s="207"/>
      <c r="S22" s="208"/>
      <c r="T22" s="207"/>
      <c r="U22" s="208"/>
      <c r="V22" s="207"/>
      <c r="W22" s="208"/>
      <c r="X22" s="201"/>
      <c r="Y22" s="1870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0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0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70"/>
      <c r="Q24" s="235"/>
      <c r="R24" s="207"/>
      <c r="S24" s="208"/>
      <c r="T24" s="207"/>
      <c r="U24" s="208"/>
      <c r="V24" s="207"/>
      <c r="W24" s="208"/>
      <c r="X24" s="234"/>
      <c r="Y24" s="1870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0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0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70"/>
      <c r="Q26" s="206"/>
      <c r="R26" s="207"/>
      <c r="S26" s="208"/>
      <c r="T26" s="207"/>
      <c r="U26" s="208"/>
      <c r="V26" s="207"/>
      <c r="W26" s="208"/>
      <c r="X26" s="201"/>
      <c r="Y26" s="1870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0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0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70"/>
      <c r="Q28" s="18"/>
      <c r="R28" s="202"/>
      <c r="S28" s="203"/>
      <c r="T28" s="202"/>
      <c r="U28" s="203"/>
      <c r="V28" s="202"/>
      <c r="W28" s="203"/>
      <c r="X28" s="204"/>
      <c r="Y28" s="1870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0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0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70"/>
      <c r="Q30" s="497"/>
      <c r="R30" s="202"/>
      <c r="S30" s="203"/>
      <c r="T30" s="202"/>
      <c r="U30" s="203"/>
      <c r="V30" s="202"/>
      <c r="W30" s="203"/>
      <c r="X30" s="204"/>
      <c r="Y30" s="1870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0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0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0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0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70"/>
      <c r="Q33" s="206"/>
      <c r="R33" s="207"/>
      <c r="S33" s="208"/>
      <c r="T33" s="207"/>
      <c r="U33" s="208"/>
      <c r="V33" s="207"/>
      <c r="W33" s="208"/>
      <c r="X33" s="201"/>
      <c r="Y33" s="1870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70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0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70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0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7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8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8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8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8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8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8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8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8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8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8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8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8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8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8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8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8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8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8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8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2" t="str">
        <f>A46</f>
        <v>成交单价</v>
      </c>
      <c r="Q46" s="1852"/>
      <c r="R46" s="1859">
        <f>E46</f>
        <v>0</v>
      </c>
      <c r="S46" s="1859"/>
      <c r="T46" s="1859">
        <f>G46</f>
        <v>0</v>
      </c>
      <c r="U46" s="1859"/>
      <c r="V46" s="1859">
        <f>I46</f>
        <v>0</v>
      </c>
      <c r="W46" s="1859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2" t="str">
        <f>A47</f>
        <v>比较价值（元/平方米）</v>
      </c>
      <c r="Q47" s="1852"/>
      <c r="R47" s="1853" t="e">
        <f>ROUND(PRODUCT(R46,AA7:AA45),0)</f>
        <v>#DIV/0!</v>
      </c>
      <c r="S47" s="1853"/>
      <c r="T47" s="1853" t="e">
        <f>ROUND(PRODUCT(T46,AB7:AB45),0)</f>
        <v>#DIV/0!</v>
      </c>
      <c r="U47" s="1853"/>
      <c r="V47" s="1853" t="e">
        <f>ROUND(PRODUCT(V46,AC7:AC45),0)</f>
        <v>#DIV/0!</v>
      </c>
      <c r="W47" s="1853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4" t="str">
        <f>A48</f>
        <v>估价对象比较价值（单价内涵，元/平方米）</v>
      </c>
      <c r="Q48" s="1855"/>
      <c r="R48" s="1856" t="e">
        <f>ROUND(AVERAGE(R47:V47),0)</f>
        <v>#DIV/0!</v>
      </c>
      <c r="S48" s="1856"/>
      <c r="T48" s="1856"/>
      <c r="U48" s="1856"/>
      <c r="V48" s="1856"/>
      <c r="W48" s="1856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2005-12-1</v>
      </c>
      <c r="D56" s="1532">
        <f>EDATE(C56,-3)</f>
        <v>38596</v>
      </c>
      <c r="E56" s="1532">
        <f t="shared" ref="E56:O56" si="15">EDATE(D56,-3)</f>
        <v>38504</v>
      </c>
      <c r="F56" s="1532">
        <f t="shared" si="15"/>
        <v>38412</v>
      </c>
      <c r="G56" s="1532">
        <f t="shared" si="15"/>
        <v>38322</v>
      </c>
      <c r="H56" s="1532">
        <f t="shared" si="15"/>
        <v>38231</v>
      </c>
      <c r="I56" s="1532">
        <f t="shared" si="15"/>
        <v>38139</v>
      </c>
      <c r="J56" s="1532">
        <f t="shared" si="15"/>
        <v>38047</v>
      </c>
      <c r="K56" s="1532">
        <f t="shared" si="15"/>
        <v>37956</v>
      </c>
      <c r="L56" s="1532">
        <f t="shared" si="15"/>
        <v>37865</v>
      </c>
      <c r="M56" s="1532">
        <f t="shared" si="15"/>
        <v>37773</v>
      </c>
      <c r="N56" s="1532">
        <f t="shared" si="15"/>
        <v>37681</v>
      </c>
      <c r="O56" s="1532">
        <f t="shared" si="15"/>
        <v>37591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2005-4</v>
      </c>
      <c r="D58" s="1531" t="str">
        <f t="shared" ref="D58:O58" si="16">YEAR(D56)&amp;"-"&amp;ROUNDUP(MONTH(D56)/3,0)</f>
        <v>2005-3</v>
      </c>
      <c r="E58" s="1531" t="str">
        <f t="shared" si="16"/>
        <v>2005-2</v>
      </c>
      <c r="F58" s="1531" t="str">
        <f t="shared" si="16"/>
        <v>2005-1</v>
      </c>
      <c r="G58" s="1531" t="str">
        <f t="shared" si="16"/>
        <v>2004-4</v>
      </c>
      <c r="H58" s="1531" t="str">
        <f t="shared" si="16"/>
        <v>2004-3</v>
      </c>
      <c r="I58" s="1531" t="str">
        <f t="shared" si="16"/>
        <v>2004-2</v>
      </c>
      <c r="J58" s="1531" t="str">
        <f t="shared" si="16"/>
        <v>2004-1</v>
      </c>
      <c r="K58" s="1531" t="str">
        <f t="shared" si="16"/>
        <v>2003-4</v>
      </c>
      <c r="L58" s="1531" t="str">
        <f t="shared" si="16"/>
        <v>2003-3</v>
      </c>
      <c r="M58" s="1531" t="str">
        <f t="shared" si="16"/>
        <v>2003-2</v>
      </c>
      <c r="N58" s="1531" t="str">
        <f t="shared" si="16"/>
        <v>2003-1</v>
      </c>
      <c r="O58" s="1531" t="str">
        <f t="shared" si="16"/>
        <v>2002-4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38689</v>
      </c>
      <c r="D1" s="970" t="str">
        <f>主表!A23</f>
        <v>建设期</v>
      </c>
      <c r="E1" s="1008">
        <f>主表!B23</f>
        <v>1</v>
      </c>
      <c r="F1" s="970" t="s">
        <v>1506</v>
      </c>
      <c r="G1" s="971">
        <f ca="1">INDIRECT("d"&amp;$K$1)/100</f>
        <v>5.5800000000000002E-2</v>
      </c>
      <c r="H1" s="970" t="s">
        <v>1507</v>
      </c>
      <c r="I1" s="971">
        <f ca="1">SUMIF(F4:F8,E1,G4:G8)/100</f>
        <v>2.2499999999999999E-2</v>
      </c>
      <c r="J1" s="1137">
        <f>IF(C1&gt;C14,0,MATCH(C1,C$14:C$68,-1))+IF(SUMIF(C14:C68,C1,D14:D68)=0,14,13)</f>
        <v>50</v>
      </c>
      <c r="K1" s="1137">
        <f ca="1">MATCH(E1,C4:C8,1)+IF(SUMIF(C4:C8,E1,D4:D8)=0,3,2)</f>
        <v>5</v>
      </c>
      <c r="L1" s="1137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38689</v>
      </c>
      <c r="D2" s="1012" t="str">
        <f>主表!A24</f>
        <v>土地开发期</v>
      </c>
      <c r="E2" s="1008">
        <f>主表!B24</f>
        <v>1</v>
      </c>
      <c r="F2" s="970" t="s">
        <v>1506</v>
      </c>
      <c r="G2" s="971">
        <f ca="1">INDIRECT("e"&amp;$K$2)/100</f>
        <v>5.5800000000000002E-2</v>
      </c>
      <c r="H2" s="970" t="s">
        <v>1507</v>
      </c>
      <c r="I2" s="971">
        <f ca="1">SUMIF(F4:F8,E2,G4:G8)/100</f>
        <v>2.2499999999999999E-2</v>
      </c>
      <c r="J2" s="1137">
        <f>IF(C2&gt;C14,0,MATCH(C2,C$14:C$68,-1))+IF(SUMIF(C14:C68,C2,D14:D68)=0,14,13)</f>
        <v>50</v>
      </c>
      <c r="K2" s="1137">
        <f ca="1">MATCH(E2,C4:C8,1)+IF(SUMIF(C4:C8,E2,D4:D8)=0,3,2)</f>
        <v>5</v>
      </c>
      <c r="L2" s="1137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5.7599999999999998E-2</v>
      </c>
      <c r="H3" s="1019" t="s">
        <v>1507</v>
      </c>
      <c r="I3" s="1020">
        <f ca="1">SUMIF(F4:F8,E3,H4:H8)/100</f>
        <v>3.2400000000000005E-2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5.22</v>
      </c>
      <c r="E4" s="1004">
        <f ca="1">INDIRECT("d"&amp;$J$2)</f>
        <v>5.22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1785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1700</v>
      </c>
      <c r="C1" s="1586"/>
      <c r="D1" s="1586"/>
      <c r="F1" s="1586"/>
    </row>
    <row r="2" spans="1:32" s="1585" customFormat="1" ht="13.8" thickBot="1">
      <c r="B2" s="1586" t="s">
        <v>1635</v>
      </c>
      <c r="C2" s="1586"/>
      <c r="D2" s="1586"/>
      <c r="F2" s="1586"/>
      <c r="G2" s="1901" t="s">
        <v>1636</v>
      </c>
      <c r="H2" s="1901"/>
      <c r="I2" s="1901"/>
      <c r="J2" s="1901"/>
      <c r="K2" s="1901"/>
      <c r="L2" s="1901"/>
      <c r="N2" s="1896" t="s">
        <v>1637</v>
      </c>
      <c r="O2" s="1896"/>
      <c r="P2" s="1896"/>
      <c r="Q2" s="1896"/>
      <c r="S2" s="1896" t="s">
        <v>1638</v>
      </c>
      <c r="T2" s="1896"/>
      <c r="U2" s="1896"/>
      <c r="V2" s="1896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588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1790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1744</v>
      </c>
      <c r="Y6" s="1617"/>
      <c r="Z6" s="1617"/>
      <c r="AA6" s="1617"/>
    </row>
    <row r="7" spans="1:32">
      <c r="A7" s="1618" t="s">
        <v>1789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1788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1787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1786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1784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1783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1782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1781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1760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1759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1757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1758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1752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4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1747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4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1746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4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1745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902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1742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7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1739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4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1639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4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1640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902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276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7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275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4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265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4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274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5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273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3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272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4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271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4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270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5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269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3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268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4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267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4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266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5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1641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8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1642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9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1643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9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1644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900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1645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3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1646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4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1647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4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1648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5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1649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3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1650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4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1651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4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1652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5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1653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3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1654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4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1655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4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1656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5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1657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3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1658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4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1659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767">
        <f t="shared" si="180"/>
        <v>286.13517466736738</v>
      </c>
      <c r="F57" s="1619">
        <f t="shared" si="180"/>
        <v>165.47535084591149</v>
      </c>
      <c r="G57" s="1894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1660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5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1661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3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1662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4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1663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4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1664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5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1665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3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1666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4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1667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4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1668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5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1669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3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1670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4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1671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4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1672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5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1673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3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1674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4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1675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4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1676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5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1677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3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1678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4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1679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4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1680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5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1681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3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1682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4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1683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4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1684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5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1685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3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1686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4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1687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4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1688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768">
        <f t="shared" si="202"/>
        <v>103.5</v>
      </c>
      <c r="F86" s="1661">
        <f t="shared" si="202"/>
        <v>100.5</v>
      </c>
      <c r="G86" s="1895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1695</v>
      </c>
      <c r="G89" s="1703"/>
      <c r="N89" s="1703"/>
      <c r="S89" s="1703"/>
    </row>
    <row r="90" spans="1:32" s="1702" customFormat="1">
      <c r="A90" s="1702" t="s">
        <v>1696</v>
      </c>
      <c r="G90" s="1703"/>
      <c r="N90" s="1703"/>
      <c r="S90" s="1703"/>
    </row>
    <row r="91" spans="1:32" s="1702" customFormat="1">
      <c r="A91" s="1702" t="s">
        <v>1697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1698</v>
      </c>
      <c r="G92" s="1703"/>
      <c r="N92" s="1703"/>
      <c r="S92" s="1703"/>
    </row>
    <row r="99" spans="14:29" ht="13.8" thickBot="1"/>
    <row r="100" spans="14:29" ht="24">
      <c r="S100" s="1706" t="s">
        <v>1689</v>
      </c>
      <c r="T100" s="1707" t="s">
        <v>1690</v>
      </c>
      <c r="U100" s="1707" t="s">
        <v>1691</v>
      </c>
      <c r="V100" s="1707" t="s">
        <v>1692</v>
      </c>
      <c r="W100" s="1708" t="s">
        <v>1693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32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16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34.799999999999997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1701</v>
      </c>
      <c r="B1" s="1728">
        <f>SUM(B14:B23)</f>
        <v>60.9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1702</v>
      </c>
      <c r="B2" s="1728">
        <f>SUM(C14:C23)</f>
        <v>30.45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1703</v>
      </c>
      <c r="B3" s="1732">
        <f>主表!B3</f>
        <v>38689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1704</v>
      </c>
      <c r="B4" s="1728" t="s">
        <v>1705</v>
      </c>
      <c r="C4" s="1728" t="s">
        <v>1706</v>
      </c>
      <c r="D4" s="1728" t="s">
        <v>1707</v>
      </c>
      <c r="E4" s="1726"/>
      <c r="F4" s="1729"/>
      <c r="G4" s="1729"/>
      <c r="H4" s="1730"/>
      <c r="I4" s="1730"/>
    </row>
    <row r="5" spans="1:10" ht="15.6">
      <c r="A5" s="1728" t="s">
        <v>1708</v>
      </c>
      <c r="B5" s="1728">
        <f>SUM(D14:D23)</f>
        <v>0</v>
      </c>
      <c r="C5" s="1728">
        <f>ROUND(B5*10000/$B$1,0)</f>
        <v>0</v>
      </c>
      <c r="D5" s="1728">
        <f>ROUND(B5*10000/$B$2,0)</f>
        <v>0</v>
      </c>
      <c r="E5" s="1726"/>
      <c r="F5" s="1729"/>
      <c r="G5" s="1729"/>
      <c r="H5" s="1730"/>
      <c r="I5" s="1730"/>
    </row>
    <row r="6" spans="1:10" ht="15.6">
      <c r="A6" s="1728" t="s">
        <v>1709</v>
      </c>
      <c r="B6" s="1728">
        <f>SUM(G14:G23)</f>
        <v>0</v>
      </c>
      <c r="C6" s="1728">
        <f>ROUND(B6*10000/$B$1,0)</f>
        <v>0</v>
      </c>
      <c r="D6" s="1728">
        <f>ROUND(B6*10000/$B$2,0)</f>
        <v>0</v>
      </c>
      <c r="E6" s="1726"/>
      <c r="F6" s="1729"/>
      <c r="G6" s="1729"/>
      <c r="H6" s="1730"/>
      <c r="I6" s="1730"/>
    </row>
    <row r="7" spans="1:10" ht="15.6">
      <c r="A7" s="1728" t="s">
        <v>1710</v>
      </c>
      <c r="B7" s="1728">
        <f>SUM(H14:H23)</f>
        <v>0</v>
      </c>
      <c r="C7" s="1728">
        <f>ROUND(B7*10000/$B$1,0)</f>
        <v>0</v>
      </c>
      <c r="D7" s="1728">
        <f>ROUND(B7*10000/$B$2,0)</f>
        <v>0</v>
      </c>
      <c r="E7" s="1726"/>
      <c r="F7" s="1729"/>
      <c r="G7" s="1729"/>
      <c r="H7" s="1730"/>
      <c r="I7" s="1730"/>
    </row>
    <row r="8" spans="1:10" ht="15.6">
      <c r="A8" s="1728" t="s">
        <v>1711</v>
      </c>
      <c r="B8" s="1728">
        <f>SUM(I14:I23)</f>
        <v>0</v>
      </c>
      <c r="C8" s="1728">
        <f>ROUND(B8*10000/$B$1,0)</f>
        <v>0</v>
      </c>
      <c r="D8" s="1728">
        <f>ROUND(B8*10000/$B$2,0)</f>
        <v>0</v>
      </c>
      <c r="E8" s="1726"/>
      <c r="F8" s="1729"/>
      <c r="G8" s="1729"/>
      <c r="H8" s="1730"/>
      <c r="I8" s="1730"/>
    </row>
    <row r="9" spans="1:10" ht="15.6">
      <c r="A9" s="1728" t="s">
        <v>1712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1713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1732</v>
      </c>
      <c r="B11" s="1727">
        <f ca="1">结果表!B19</f>
        <v>12.831200000000001</v>
      </c>
      <c r="C11" s="1727">
        <f ca="1">结果表!B18</f>
        <v>2107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1714</v>
      </c>
      <c r="B13" s="1734" t="s">
        <v>1715</v>
      </c>
      <c r="C13" s="1734" t="s">
        <v>1716</v>
      </c>
      <c r="D13" s="1734" t="s">
        <v>1717</v>
      </c>
      <c r="E13" s="1728" t="s">
        <v>1706</v>
      </c>
      <c r="F13" s="1728" t="s">
        <v>1718</v>
      </c>
      <c r="G13" s="1734" t="s">
        <v>1719</v>
      </c>
      <c r="H13" s="1734" t="s">
        <v>1720</v>
      </c>
      <c r="I13" s="1734" t="s">
        <v>1721</v>
      </c>
      <c r="J13" s="1735"/>
    </row>
    <row r="14" spans="1:10" ht="15.6">
      <c r="A14" s="1736" t="s">
        <v>1722</v>
      </c>
      <c r="B14" s="1737">
        <f>主表!B7</f>
        <v>60.9</v>
      </c>
      <c r="C14" s="1737">
        <f>主表!B6</f>
        <v>30.45</v>
      </c>
      <c r="D14" s="1737"/>
      <c r="E14" s="1737">
        <f>ROUND(D14*10000/B14,0)</f>
        <v>0</v>
      </c>
      <c r="F14" s="1737">
        <f>ROUND(D14*10000/C14,0)</f>
        <v>0</v>
      </c>
      <c r="G14" s="1737"/>
      <c r="H14" s="1737"/>
      <c r="I14" s="1737"/>
      <c r="J14" s="1735"/>
    </row>
    <row r="15" spans="1:10" ht="15.6">
      <c r="A15" s="1736" t="s">
        <v>1723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1724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1725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1726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1727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1728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1729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1730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1731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C13" sqref="C13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73" t="s">
        <v>1352</v>
      </c>
      <c r="B2" s="1773"/>
      <c r="C2" s="1773"/>
      <c r="D2" s="1773"/>
      <c r="E2" s="1773"/>
      <c r="F2" s="1773"/>
      <c r="G2" s="1773"/>
      <c r="H2" s="1741"/>
      <c r="I2" s="1740"/>
      <c r="X2" s="221"/>
      <c r="AG2" s="189"/>
    </row>
    <row r="3" spans="1:33" ht="14.4">
      <c r="A3" s="1774" t="s">
        <v>1353</v>
      </c>
      <c r="B3" s="1775"/>
      <c r="C3" s="1776"/>
      <c r="D3" s="1777" t="s">
        <v>1354</v>
      </c>
      <c r="E3" s="1775"/>
      <c r="F3" s="1775"/>
      <c r="G3" s="1778"/>
      <c r="H3" s="1741"/>
      <c r="I3" s="1740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9" t="s">
        <v>1355</v>
      </c>
      <c r="E4" s="1780"/>
      <c r="F4" s="1292" t="s">
        <v>1356</v>
      </c>
      <c r="G4" s="1294" t="s">
        <v>1358</v>
      </c>
      <c r="H4" s="1741"/>
      <c r="I4" s="1740"/>
      <c r="X4" s="221"/>
      <c r="AG4" s="189"/>
    </row>
    <row r="5" spans="1:33" ht="14.4">
      <c r="A5" s="1781" t="s">
        <v>1359</v>
      </c>
      <c r="B5" s="1782">
        <f>主表!F5</f>
        <v>2526</v>
      </c>
      <c r="C5" s="1783" t="s">
        <v>1360</v>
      </c>
      <c r="D5" s="1780" t="s">
        <v>1361</v>
      </c>
      <c r="E5" s="1784"/>
      <c r="F5" s="1295">
        <f>SUM(F6:F10)</f>
        <v>0</v>
      </c>
      <c r="G5" s="1296" t="s">
        <v>1634</v>
      </c>
      <c r="H5" s="1741"/>
      <c r="I5" s="1740"/>
      <c r="X5" s="221"/>
      <c r="AG5" s="189"/>
    </row>
    <row r="6" spans="1:33" ht="43.2">
      <c r="A6" s="1781"/>
      <c r="B6" s="1782"/>
      <c r="C6" s="1783"/>
      <c r="D6" s="1785" t="s">
        <v>1382</v>
      </c>
      <c r="E6" s="1295" t="s">
        <v>1362</v>
      </c>
      <c r="F6" s="1295">
        <f>主表!F14</f>
        <v>0</v>
      </c>
      <c r="G6" s="1296" t="s">
        <v>1363</v>
      </c>
      <c r="H6" s="1741"/>
      <c r="I6" s="1740"/>
      <c r="X6" s="221"/>
      <c r="AG6" s="189"/>
    </row>
    <row r="7" spans="1:33" ht="14.4">
      <c r="A7" s="1781"/>
      <c r="B7" s="1782"/>
      <c r="C7" s="1783"/>
      <c r="D7" s="1785"/>
      <c r="E7" s="1295" t="s">
        <v>1364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81"/>
      <c r="B8" s="1782"/>
      <c r="C8" s="1783"/>
      <c r="D8" s="1786" t="s">
        <v>1383</v>
      </c>
      <c r="E8" s="1787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81"/>
      <c r="B9" s="1782"/>
      <c r="C9" s="1783"/>
      <c r="D9" s="1786" t="s">
        <v>1384</v>
      </c>
      <c r="E9" s="1787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81"/>
      <c r="B10" s="1782"/>
      <c r="C10" s="1783"/>
      <c r="D10" s="1786" t="s">
        <v>1385</v>
      </c>
      <c r="E10" s="1787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80" t="s">
        <v>1366</v>
      </c>
      <c r="E11" s="1784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1367</v>
      </c>
      <c r="B12" s="1295">
        <f ca="1">主表!F9</f>
        <v>141</v>
      </c>
      <c r="C12" s="1298" t="str">
        <f ca="1">"前期开发期为"&amp;主表!B24&amp;"年，贷款利率为"&amp;TEXT(主表!G9,"0.00%")&amp;"，"&amp;主表!H9</f>
        <v>前期开发期为1年，贷款利率为5.58%，计息期为1年，复利计息</v>
      </c>
      <c r="D12" s="1780" t="s">
        <v>1368</v>
      </c>
      <c r="E12" s="1784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房屋建设期为1年，贷款利率为5.58%，计息期为1年，复利计息</v>
      </c>
      <c r="H12" s="1741"/>
      <c r="I12" s="1740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80" t="s">
        <v>1369</v>
      </c>
      <c r="E13" s="1784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1370</v>
      </c>
      <c r="B14" s="1295">
        <f ca="1">SUM(B5:B13)</f>
        <v>2667</v>
      </c>
      <c r="C14" s="1298" t="s">
        <v>1371</v>
      </c>
      <c r="D14" s="1780" t="s">
        <v>1370</v>
      </c>
      <c r="E14" s="1784"/>
      <c r="F14" s="1295">
        <f ca="1">F5+F11+F12+F13</f>
        <v>0</v>
      </c>
      <c r="G14" s="1296" t="s">
        <v>1371</v>
      </c>
      <c r="H14" s="1741"/>
      <c r="I14" s="1740"/>
      <c r="X14" s="221"/>
      <c r="AG14" s="189"/>
    </row>
    <row r="15" spans="1:33" ht="29.4" thickBot="1">
      <c r="A15" s="1291" t="s">
        <v>1372</v>
      </c>
      <c r="B15" s="1782">
        <f ca="1">主表!F24</f>
        <v>2667</v>
      </c>
      <c r="C15" s="1788"/>
      <c r="D15" s="1786" t="s">
        <v>1373</v>
      </c>
      <c r="E15" s="1787"/>
      <c r="F15" s="1787"/>
      <c r="G15" s="1789"/>
      <c r="H15" s="1741"/>
      <c r="I15" s="1740"/>
      <c r="X15" s="221"/>
      <c r="AG15" s="189"/>
    </row>
    <row r="16" spans="1:33" ht="29.4" thickBot="1">
      <c r="A16" s="1291" t="s">
        <v>1374</v>
      </c>
      <c r="B16" s="1782">
        <f ca="1">主表!F25</f>
        <v>16.242000000000001</v>
      </c>
      <c r="C16" s="1788"/>
      <c r="D16" s="1786" t="s">
        <v>1375</v>
      </c>
      <c r="E16" s="1787"/>
      <c r="F16" s="1787"/>
      <c r="G16" s="1789"/>
      <c r="H16" s="1300" t="str">
        <f ca="1">NUMBERSTRING(INT(B16*10000),2)&amp;"元整"</f>
        <v>壹拾陆万贰仟肆佰贰拾元整</v>
      </c>
      <c r="I16" s="1301"/>
      <c r="X16" s="221"/>
      <c r="AG16" s="189"/>
    </row>
    <row r="17" spans="1:33" ht="14.4">
      <c r="A17" s="1291" t="s">
        <v>1376</v>
      </c>
      <c r="B17" s="1795">
        <f>主表!F33</f>
        <v>0.79</v>
      </c>
      <c r="C17" s="1788"/>
      <c r="D17" s="1786" t="s">
        <v>1377</v>
      </c>
      <c r="E17" s="1787"/>
      <c r="F17" s="1787"/>
      <c r="G17" s="1789"/>
      <c r="H17" s="1741"/>
      <c r="I17" s="1740"/>
      <c r="X17" s="221"/>
      <c r="AG17" s="189"/>
    </row>
    <row r="18" spans="1:33" ht="29.4" thickBot="1">
      <c r="A18" s="1291" t="s">
        <v>1378</v>
      </c>
      <c r="B18" s="1782">
        <f ca="1">主表!F35</f>
        <v>2107</v>
      </c>
      <c r="C18" s="1788"/>
      <c r="D18" s="1786" t="s">
        <v>1379</v>
      </c>
      <c r="E18" s="1787"/>
      <c r="F18" s="1787"/>
      <c r="G18" s="1789"/>
      <c r="H18" s="1741"/>
      <c r="I18" s="1740"/>
      <c r="X18" s="221"/>
      <c r="AG18" s="189"/>
    </row>
    <row r="19" spans="1:33" ht="29.4" thickBot="1">
      <c r="A19" s="1299" t="s">
        <v>1380</v>
      </c>
      <c r="B19" s="1790">
        <f ca="1">主表!F36</f>
        <v>12.831200000000001</v>
      </c>
      <c r="C19" s="1791"/>
      <c r="D19" s="1792" t="s">
        <v>1381</v>
      </c>
      <c r="E19" s="1793"/>
      <c r="F19" s="1793"/>
      <c r="G19" s="1794"/>
      <c r="H19" s="1300" t="str">
        <f ca="1">NUMBERSTRING(INT(B19*10000),2)&amp;"元整"</f>
        <v>壹拾贰万捌仟叁佰壹拾贰元整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D12" sqref="D12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01" t="s">
        <v>1274</v>
      </c>
      <c r="E2" s="1802"/>
      <c r="F2" s="1802"/>
      <c r="G2" s="1802"/>
      <c r="H2" s="1803"/>
      <c r="I2" s="1164"/>
      <c r="J2" s="1164"/>
      <c r="K2" s="1211"/>
      <c r="L2" s="1211"/>
      <c r="N2" s="501" t="s">
        <v>1152</v>
      </c>
      <c r="O2" s="484">
        <f>SUMPRODUCT((N6:N12=B20)*(O5:Q5=B21)*(O6:Q12))</f>
        <v>50</v>
      </c>
    </row>
    <row r="3" spans="1:18" ht="15.75" customHeight="1">
      <c r="A3" s="1178" t="s">
        <v>1774</v>
      </c>
      <c r="B3" s="1564">
        <v>38689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13</v>
      </c>
    </row>
    <row r="4" spans="1:18" ht="15.75" customHeight="1">
      <c r="A4" s="1190" t="s">
        <v>1775</v>
      </c>
      <c r="B4" s="1564">
        <f>B3</f>
        <v>38689</v>
      </c>
      <c r="C4" s="1163"/>
      <c r="D4" s="1170" t="s">
        <v>1275</v>
      </c>
      <c r="E4" s="1171" t="s">
        <v>1568</v>
      </c>
      <c r="F4" s="1172">
        <f ca="1">F5+F8+F9+F10</f>
        <v>2667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0.02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2526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>
        <f>B7/B9</f>
        <v>30.45</v>
      </c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2526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60.9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>
        <f>ROUND(B7/B6,2)</f>
        <v>2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141</v>
      </c>
      <c r="G9" s="1193">
        <f ca="1">存贷款利率!G2</f>
        <v>5.5800000000000002E-2</v>
      </c>
      <c r="H9" s="1194" t="str">
        <f>"计息期为"&amp;B24&amp;"年，"&amp;"复利计息"</f>
        <v>计息期为1年，复利计息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6" t="s">
        <v>34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34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55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>IF(ISERROR(ROUND(POWER(1+B17,B13-B15)*(POWER(1+B17,B15)-1)/(POWER(1+B17,B13)-1),3)),0,ROUND(POWER(1+B17,B13-B15)*(POWER(1+B17,B15)-1)/(POWER(1+B17,B13)-1),3))</f>
        <v>0.94499999999999995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1803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5.5800000000000002E-2</v>
      </c>
      <c r="H21" s="1194" t="str">
        <f>"计息期为"&amp;B23&amp;"年，"&amp;"复利计息"</f>
        <v>计息期为1年，复利计息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>
        <v>1992</v>
      </c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>
        <v>1</v>
      </c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>
        <v>1</v>
      </c>
      <c r="C24" s="1211"/>
      <c r="D24" s="1177">
        <v>1</v>
      </c>
      <c r="E24" s="1178" t="s">
        <v>1244</v>
      </c>
      <c r="F24" s="1021">
        <f ca="1">F4+F11</f>
        <v>2667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16.242000000000001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4" t="s">
        <v>1276</v>
      </c>
      <c r="E26" s="1805"/>
      <c r="F26" s="1805"/>
      <c r="G26" s="1805"/>
      <c r="H26" s="1806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0.75</v>
      </c>
      <c r="G28" s="506">
        <v>0.3</v>
      </c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0.8</v>
      </c>
      <c r="G29" s="1227">
        <f>1-G28</f>
        <v>0.7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>
        <v>80</v>
      </c>
      <c r="G30" s="1227">
        <f>IF(ISNUMBER(FIND("砖木",B20)),O30,SUMPRODUCT((N30:N32=E30)*(O29:R29=B20)*(O30:R32)))</f>
        <v>0.2</v>
      </c>
      <c r="H30" s="1228"/>
      <c r="I30" s="1796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80</v>
      </c>
      <c r="G31" s="1227">
        <f>IF(ISNUMBER(FIND("砖木",B20)),O31,SUMPRODUCT((N30:N32=E31)*(O29:R29=B20)*(O30:R32)))</f>
        <v>0.45</v>
      </c>
      <c r="H31" s="1228"/>
      <c r="I31" s="1796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80</v>
      </c>
      <c r="G32" s="1227">
        <f>IF(ISNUMBER(FIND("砖木",B20)),O32,SUMPRODUCT((N30:N32=E32)*(O29:R29=B20)*(O30:R32)))</f>
        <v>0.35</v>
      </c>
      <c r="H32" s="1228"/>
      <c r="I32" s="1796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0.79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4" t="s">
        <v>1279</v>
      </c>
      <c r="E34" s="1805"/>
      <c r="F34" s="1805"/>
      <c r="G34" s="1805"/>
      <c r="H34" s="1806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2107</v>
      </c>
      <c r="G35" s="1797" t="s">
        <v>1256</v>
      </c>
      <c r="H35" s="1798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12.831200000000001</v>
      </c>
      <c r="G36" s="1799" t="s">
        <v>1258</v>
      </c>
      <c r="H36" s="1800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27" sqref="I27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60.9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六级</v>
      </c>
      <c r="H2" s="811" t="s">
        <v>911</v>
      </c>
      <c r="I2" s="665" t="str">
        <f>主表!B11</f>
        <v>六级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7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8"/>
      <c r="B8" s="814" t="s">
        <v>918</v>
      </c>
      <c r="C8" s="933" t="s">
        <v>1799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8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8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8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7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9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9"/>
      <c r="B14" s="846"/>
      <c r="C14" s="847" t="s">
        <v>26</v>
      </c>
      <c r="D14" s="795" t="s">
        <v>25</v>
      </c>
      <c r="E14" s="795" t="s">
        <v>26</v>
      </c>
      <c r="F14" s="848" t="s">
        <v>1801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0"/>
      <c r="B15" s="853" t="s">
        <v>1473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7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6" t="s">
        <v>927</v>
      </c>
      <c r="E16" s="1817"/>
      <c r="F16" s="1816" t="s">
        <v>925</v>
      </c>
      <c r="G16" s="1818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1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1802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32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38689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5.5800000000000002E-2</v>
      </c>
      <c r="F20" s="1464" t="s">
        <v>935</v>
      </c>
      <c r="G20" s="1468">
        <f ca="1">SUMIF(P18:S18,E2,P20:S20)</f>
        <v>6.4000000000000001E-2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1.0426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>
        <f>主表!B7</f>
        <v>60.9</v>
      </c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3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4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4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5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6.4000000000000001E-2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1.0426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5.7400000000000012E-3</v>
      </c>
      <c r="E70" s="253">
        <f>ROUND(SUM(D70:D78),4)</f>
        <v>4.2599999999999999E-2</v>
      </c>
      <c r="F70" s="937">
        <f>IF(E2="住宅/居住",SUMIF(L1:L12,G2,N1:N12),"——")</f>
        <v>0</v>
      </c>
      <c r="G70" s="491">
        <v>5.7400000000000012E-3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1.23E-2</v>
      </c>
      <c r="E71" s="263"/>
      <c r="F71" s="938"/>
      <c r="G71" s="491">
        <v>1.23E-2</v>
      </c>
      <c r="H71" s="494">
        <f t="shared" si="15"/>
        <v>0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3.2800000000000004E-3</v>
      </c>
      <c r="E72" s="263"/>
      <c r="F72" s="938"/>
      <c r="G72" s="491">
        <v>3.2800000000000004E-3</v>
      </c>
      <c r="H72" s="494">
        <f t="shared" si="15"/>
        <v>0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-1.6400000000000002E-3</v>
      </c>
      <c r="E73" s="263"/>
      <c r="F73" s="938"/>
      <c r="G73" s="491">
        <v>1.6400000000000002E-3</v>
      </c>
      <c r="H73" s="494">
        <f t="shared" si="15"/>
        <v>0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1798</v>
      </c>
      <c r="D74" s="490">
        <f t="shared" si="14"/>
        <v>3.2800000000000004E-3</v>
      </c>
      <c r="E74" s="263"/>
      <c r="F74" s="938"/>
      <c r="G74" s="491">
        <v>3.2800000000000004E-3</v>
      </c>
      <c r="H74" s="494">
        <f t="shared" si="15"/>
        <v>0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1800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0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1798</v>
      </c>
      <c r="D76" s="490">
        <f t="shared" si="14"/>
        <v>2.0500000000000002E-3</v>
      </c>
      <c r="E76" s="263"/>
      <c r="F76" s="938"/>
      <c r="G76" s="491">
        <v>2.0500000000000002E-3</v>
      </c>
      <c r="H76" s="494">
        <f t="shared" si="15"/>
        <v>0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6.1500000000000001E-3</v>
      </c>
      <c r="E77" s="263"/>
      <c r="F77" s="938"/>
      <c r="G77" s="491">
        <v>6.1500000000000001E-3</v>
      </c>
      <c r="H77" s="494">
        <f t="shared" si="15"/>
        <v>0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1798</v>
      </c>
      <c r="D78" s="490">
        <f t="shared" si="14"/>
        <v>1.6400000000000002E-3</v>
      </c>
      <c r="E78" s="264"/>
      <c r="F78" s="938"/>
      <c r="G78" s="491">
        <v>1.6400000000000002E-3</v>
      </c>
      <c r="H78" s="494">
        <f t="shared" si="15"/>
        <v>0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2" t="s">
        <v>1158</v>
      </c>
      <c r="B91" s="1812"/>
      <c r="C91" s="1812"/>
      <c r="D91" s="1812"/>
      <c r="E91" s="1812"/>
      <c r="F91" s="1812"/>
      <c r="G91" s="1812"/>
      <c r="H91" s="1812"/>
      <c r="I91" s="1812"/>
      <c r="J91" s="1812"/>
      <c r="K91" s="653"/>
      <c r="L91" s="653"/>
      <c r="M91" s="653"/>
      <c r="N91" s="653"/>
    </row>
    <row r="92" spans="1:37">
      <c r="A92" s="1820" t="s">
        <v>1159</v>
      </c>
      <c r="B92" s="1820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20"/>
      <c r="B93" s="1820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21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2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21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22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22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22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22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22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22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22"/>
      <c r="B109" s="1824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3"/>
      <c r="B110" s="1825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9" t="s">
        <v>1174</v>
      </c>
      <c r="B111" s="1819"/>
      <c r="C111" s="1819"/>
      <c r="D111" s="1819"/>
      <c r="E111" s="1819"/>
      <c r="F111" s="1819"/>
      <c r="G111" s="1819"/>
      <c r="H111" s="1819"/>
      <c r="I111" s="1819"/>
      <c r="J111" s="1819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226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6" t="s">
        <v>984</v>
      </c>
      <c r="B1" s="1826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6" t="s">
        <v>288</v>
      </c>
      <c r="B1" s="1826"/>
      <c r="C1" s="1826"/>
      <c r="D1" s="1826"/>
      <c r="E1" s="1826"/>
      <c r="F1" s="1826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7" t="s">
        <v>301</v>
      </c>
      <c r="B2" s="1827"/>
      <c r="C2" s="1827"/>
      <c r="D2" s="1827"/>
      <c r="E2" s="1827"/>
      <c r="F2" s="1827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8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9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2025-02-06T01:38:32Z</dcterms:modified>
</cp:coreProperties>
</file>