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车库" sheetId="69" r:id="rId41"/>
    <sheet name="土地案例"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1" i="9" l="1"/>
  <c r="I13" i="3"/>
  <c r="C93" i="9" l="1"/>
  <c r="E82" i="39"/>
  <c r="F82" i="39" s="1"/>
  <c r="G82" i="39" s="1"/>
  <c r="H82" i="39" s="1"/>
  <c r="I82" i="39" s="1"/>
  <c r="J82" i="39" s="1"/>
  <c r="D82" i="39"/>
  <c r="E68" i="21"/>
  <c r="F68" i="21" s="1"/>
  <c r="G68" i="21" s="1"/>
  <c r="H68" i="21" s="1"/>
  <c r="I68" i="21" s="1"/>
  <c r="J68" i="21" s="1"/>
  <c r="K68" i="21" s="1"/>
  <c r="L68" i="21" s="1"/>
  <c r="D68" i="21"/>
  <c r="P75" i="69" l="1"/>
  <c r="Q73" i="69"/>
  <c r="P62" i="69"/>
  <c r="Q60" i="69"/>
  <c r="D60" i="69"/>
  <c r="Q59" i="69"/>
  <c r="K59" i="69"/>
  <c r="F58" i="69"/>
  <c r="Q52" i="69"/>
  <c r="J50" i="69"/>
  <c r="J51" i="69" s="1"/>
  <c r="M47" i="69"/>
  <c r="L46" i="69" s="1"/>
  <c r="F34" i="69"/>
  <c r="F33" i="69"/>
  <c r="F60" i="69" s="1"/>
  <c r="F32" i="69"/>
  <c r="F59" i="69" s="1"/>
  <c r="F31" i="69"/>
  <c r="F28" i="69"/>
  <c r="C28" i="69"/>
  <c r="F23" i="69"/>
  <c r="D24" i="69" s="1"/>
  <c r="D23" i="69"/>
  <c r="D22" i="69"/>
  <c r="F21" i="69"/>
  <c r="M20" i="69"/>
  <c r="F20" i="69"/>
  <c r="M19" i="69"/>
  <c r="M18" i="69"/>
  <c r="F18" i="69"/>
  <c r="M17" i="69"/>
  <c r="F17" i="69"/>
  <c r="F15" i="69"/>
  <c r="G1" i="69"/>
  <c r="I7" i="21"/>
  <c r="G7" i="21"/>
  <c r="E7" i="21"/>
  <c r="I48" i="39"/>
  <c r="G48" i="39"/>
  <c r="E48" i="39"/>
  <c r="D119" i="39"/>
  <c r="I40" i="39"/>
  <c r="G40" i="39"/>
  <c r="E40" i="39"/>
  <c r="C40" i="39"/>
  <c r="D73" i="39"/>
  <c r="E73" i="39" s="1"/>
  <c r="F73" i="39" s="1"/>
  <c r="G73" i="39" s="1"/>
  <c r="H73" i="39" s="1"/>
  <c r="I73" i="39" s="1"/>
  <c r="J73" i="39" s="1"/>
  <c r="K73" i="39" s="1"/>
  <c r="I9" i="39"/>
  <c r="G9" i="39"/>
  <c r="E9" i="39"/>
  <c r="I7" i="39"/>
  <c r="G7" i="39"/>
  <c r="E7" i="39"/>
  <c r="G22" i="6"/>
  <c r="F21" i="6"/>
  <c r="F20" i="6"/>
  <c r="F19" i="6"/>
  <c r="D3" i="4"/>
  <c r="L47" i="69"/>
  <c r="M28" i="69"/>
  <c r="F8" i="69"/>
  <c r="M22" i="69"/>
  <c r="F9" i="69"/>
  <c r="F36" i="69"/>
  <c r="F42" i="69"/>
  <c r="M24" i="69"/>
  <c r="F50" i="69" l="1"/>
  <c r="F63" i="69"/>
  <c r="L59" i="69"/>
  <c r="F61" i="69"/>
  <c r="AH5" i="59"/>
  <c r="AG5" i="59"/>
  <c r="AE5" i="59"/>
  <c r="AF5" i="59" s="1"/>
  <c r="AD5" i="59"/>
  <c r="Q5" i="59"/>
  <c r="P5" i="59"/>
  <c r="O5" i="59"/>
  <c r="N5" i="59"/>
  <c r="J15" i="69"/>
  <c r="F16" i="69"/>
  <c r="F6" i="69"/>
  <c r="M9" i="69"/>
  <c r="M8" i="69"/>
  <c r="M6" i="69"/>
  <c r="L48" i="69"/>
  <c r="F37" i="69"/>
  <c r="F40" i="69"/>
  <c r="J36" i="69"/>
  <c r="M27" i="69"/>
  <c r="F38" i="69"/>
  <c r="F26" i="69"/>
  <c r="M26" i="69"/>
  <c r="F13" i="69"/>
  <c r="M23" i="69"/>
  <c r="L60" i="69" l="1"/>
  <c r="L56" i="69"/>
  <c r="L57" i="69"/>
  <c r="L58" i="69"/>
  <c r="J59" i="69"/>
  <c r="J53" i="69"/>
  <c r="J60" i="69"/>
  <c r="Q49" i="69" s="1"/>
  <c r="J57" i="69"/>
  <c r="J55" i="69" s="1"/>
  <c r="J58" i="69" s="1"/>
  <c r="Q51" i="69" s="1"/>
  <c r="I54" i="69"/>
  <c r="F65" i="69"/>
  <c r="Q72" i="69"/>
  <c r="F67" i="69"/>
  <c r="F64" i="69"/>
  <c r="C27" i="69"/>
  <c r="Q75" i="69"/>
  <c r="Q62" i="69"/>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0" i="55"/>
  <c r="B61" i="63" s="1"/>
  <c r="A9" i="55"/>
  <c r="A8" i="55"/>
  <c r="A6" i="54"/>
  <c r="B49" i="63" s="1"/>
  <c r="A8" i="54"/>
  <c r="B53" i="63" s="1"/>
  <c r="A7" i="54"/>
  <c r="A28" i="51"/>
  <c r="B21" i="63" s="1"/>
  <c r="A27" i="51"/>
  <c r="B20" i="63" s="1"/>
  <c r="Q11" i="59"/>
  <c r="O11" i="59"/>
  <c r="N12" i="59"/>
  <c r="O12" i="59"/>
  <c r="P12" i="59"/>
  <c r="Q12" i="59"/>
  <c r="N11" i="59"/>
  <c r="P11" i="59"/>
  <c r="F13" i="59"/>
  <c r="V13" i="59" s="1"/>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A26" i="51" s="1"/>
  <c r="B19" i="63" s="1"/>
  <c r="B44" i="63"/>
  <c r="B40" i="63"/>
  <c r="B30" i="63"/>
  <c r="B27" i="63"/>
  <c r="B25" i="63"/>
  <c r="A11" i="51"/>
  <c r="B10" i="63" s="1"/>
  <c r="A26" i="64"/>
  <c r="K40" i="9"/>
  <c r="B58" i="63"/>
  <c r="B51" i="63"/>
  <c r="A46" i="9"/>
  <c r="K41" i="9" s="1"/>
  <c r="B8" i="63"/>
  <c r="A21" i="55"/>
  <c r="B71" i="63"/>
  <c r="A20" i="55"/>
  <c r="B69" i="63" s="1"/>
  <c r="B26" i="63"/>
  <c r="B28" i="63"/>
  <c r="B29" i="63"/>
  <c r="B31" i="63"/>
  <c r="B33" i="63"/>
  <c r="B35" i="63"/>
  <c r="B36" i="63"/>
  <c r="B37" i="63"/>
  <c r="B63" i="63"/>
  <c r="B64" i="63"/>
  <c r="B68" i="63"/>
  <c r="D51" i="10"/>
  <c r="B60" i="63"/>
  <c r="B59" i="63"/>
  <c r="B51" i="10"/>
  <c r="A15" i="51"/>
  <c r="B12" i="63" s="1"/>
  <c r="A14" i="51"/>
  <c r="B11" i="63" s="1"/>
  <c r="A4" i="55"/>
  <c r="B57" i="63" s="1"/>
  <c r="B41" i="63"/>
  <c r="G5" i="54"/>
  <c r="B34" i="63"/>
  <c r="E5" i="54"/>
  <c r="B32" i="63" s="1"/>
  <c r="R2" i="54"/>
  <c r="B24" i="63" s="1"/>
  <c r="B49" i="50"/>
  <c r="B5" i="63"/>
  <c r="B40" i="50"/>
  <c r="B3" i="63" s="1"/>
  <c r="I19" i="46"/>
  <c r="Q13" i="59"/>
  <c r="P13" i="59"/>
  <c r="E13" i="59" s="1"/>
  <c r="U13" i="59" s="1"/>
  <c r="O13" i="59"/>
  <c r="C13" i="59" s="1"/>
  <c r="D13" i="59" s="1"/>
  <c r="N13" i="59"/>
  <c r="B13" i="59" s="1"/>
  <c r="D74" i="59"/>
  <c r="F73" i="59"/>
  <c r="E73" i="59"/>
  <c r="E72" i="59"/>
  <c r="E71" i="59" s="1"/>
  <c r="C73" i="59"/>
  <c r="D73" i="59" s="1"/>
  <c r="B73" i="59"/>
  <c r="B72" i="59" s="1"/>
  <c r="B71" i="59" s="1"/>
  <c r="F72" i="59"/>
  <c r="F71" i="59"/>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C20" i="59" s="1"/>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8" i="59"/>
  <c r="F29" i="59"/>
  <c r="V29" i="59" s="1"/>
  <c r="F32" i="59"/>
  <c r="F33" i="59" s="1"/>
  <c r="V33" i="59" s="1"/>
  <c r="F40" i="59"/>
  <c r="F41" i="59"/>
  <c r="V41" i="59" s="1"/>
  <c r="F44" i="59"/>
  <c r="F45" i="59" s="1"/>
  <c r="V45" i="59" s="1"/>
  <c r="F48" i="59"/>
  <c r="F49" i="59"/>
  <c r="V49" i="59" s="1"/>
  <c r="C28" i="59"/>
  <c r="D28" i="59" s="1"/>
  <c r="D27" i="59"/>
  <c r="C32" i="59"/>
  <c r="D32" i="59" s="1"/>
  <c r="D31" i="59"/>
  <c r="C36" i="59"/>
  <c r="D35" i="59"/>
  <c r="C40" i="59"/>
  <c r="D39" i="59"/>
  <c r="C44" i="59"/>
  <c r="D43" i="59"/>
  <c r="C48" i="59"/>
  <c r="D47" i="59"/>
  <c r="D19" i="59"/>
  <c r="E51" i="59"/>
  <c r="N52" i="59"/>
  <c r="B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P50" i="59"/>
  <c r="P51" i="59"/>
  <c r="D72" i="59"/>
  <c r="C71" i="59"/>
  <c r="D71" i="59"/>
  <c r="C63" i="59"/>
  <c r="D63" i="59" s="1"/>
  <c r="D56" i="59"/>
  <c r="O52" i="59"/>
  <c r="D68" i="59"/>
  <c r="C59" i="59"/>
  <c r="D59" i="59" s="1"/>
  <c r="N50" i="59"/>
  <c r="N51" i="59"/>
  <c r="C49" i="59"/>
  <c r="D49" i="59" s="1"/>
  <c r="D48" i="59"/>
  <c r="D44" i="59"/>
  <c r="C45" i="59"/>
  <c r="C41" i="59"/>
  <c r="D41" i="59" s="1"/>
  <c r="D40" i="59"/>
  <c r="C37" i="59"/>
  <c r="D37" i="59" s="1"/>
  <c r="D36" i="59"/>
  <c r="C29" i="59"/>
  <c r="D29" i="59" s="1"/>
  <c r="T45" i="59"/>
  <c r="D45" i="59"/>
  <c r="T29"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7" i="34" s="1"/>
  <c r="C59" i="34" s="1"/>
  <c r="A12" i="1"/>
  <c r="R12" i="1"/>
  <c r="A13" i="1"/>
  <c r="B13" i="1"/>
  <c r="E13" i="1" s="1"/>
  <c r="A7" i="1"/>
  <c r="B7" i="1" s="1"/>
  <c r="E7" i="1" s="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W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AC40"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S46" i="21"/>
  <c r="AC30" i="21"/>
  <c r="W30" i="21"/>
  <c r="AB30" i="21"/>
  <c r="S28" i="21"/>
  <c r="AA28" i="21"/>
  <c r="AB14" i="21"/>
  <c r="W14" i="21"/>
  <c r="AC14" i="21"/>
  <c r="W31" i="34"/>
  <c r="S46" i="33"/>
  <c r="U36" i="37"/>
  <c r="AC13" i="36"/>
  <c r="AB45" i="33"/>
  <c r="AB31" i="33"/>
  <c r="AA27" i="33"/>
  <c r="AB27"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W23" i="35"/>
  <c r="S27" i="37"/>
  <c r="U39" i="37"/>
  <c r="AC8" i="37"/>
  <c r="S25" i="37"/>
  <c r="AC36" i="34"/>
  <c r="AB8" i="34"/>
  <c r="AC37" i="33"/>
  <c r="AA13" i="33"/>
  <c r="AC45" i="33"/>
  <c r="U19"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7" i="3"/>
  <c r="J57" i="39"/>
  <c r="H13" i="40"/>
  <c r="U13" i="40" s="1"/>
  <c r="H12" i="48"/>
  <c r="I4" i="4"/>
  <c r="K141" i="21"/>
  <c r="K143" i="21"/>
  <c r="K144" i="21"/>
  <c r="I59" i="40"/>
  <c r="C59" i="40"/>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H46" i="39"/>
  <c r="U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s="1"/>
  <c r="BL19" i="3"/>
  <c r="AZ19" i="3" s="1"/>
  <c r="BA18" i="3"/>
  <c r="F114" i="34"/>
  <c r="G114" i="34"/>
  <c r="H114" i="34" s="1"/>
  <c r="I114" i="34" s="1"/>
  <c r="J114" i="34" s="1"/>
  <c r="K114" i="34" s="1"/>
  <c r="L114" i="34" s="1"/>
  <c r="M114" i="34" s="1"/>
  <c r="H38" i="34"/>
  <c r="U38" i="34"/>
  <c r="H30" i="40"/>
  <c r="AB30" i="40" s="1"/>
  <c r="G100" i="40"/>
  <c r="J30" i="40"/>
  <c r="AC30" i="40" s="1"/>
  <c r="F38" i="40"/>
  <c r="AA38" i="40" s="1"/>
  <c r="AA36" i="34"/>
  <c r="AC12" i="21"/>
  <c r="W12" i="21"/>
  <c r="AB8" i="21"/>
  <c r="AB8" i="33"/>
  <c r="U8" i="33"/>
  <c r="E106" i="33"/>
  <c r="H34" i="33"/>
  <c r="U34" i="33"/>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s="1"/>
  <c r="F23" i="40"/>
  <c r="S23" i="40"/>
  <c r="AC15" i="40"/>
  <c r="W15" i="40"/>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4"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B9" i="1"/>
  <c r="E9" i="1" s="1"/>
  <c r="K9" i="1"/>
  <c r="C20" i="43"/>
  <c r="F6" i="1"/>
  <c r="AP6" i="1" s="1"/>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43" i="21"/>
  <c r="AA37" i="21"/>
  <c r="AB37" i="21"/>
  <c r="W28" i="21"/>
  <c r="AC46" i="21"/>
  <c r="AC26" i="21"/>
  <c r="J23" i="21"/>
  <c r="W23" i="21" s="1"/>
  <c r="H23" i="21"/>
  <c r="U23" i="21" s="1"/>
  <c r="F15" i="21"/>
  <c r="S15" i="21" s="1"/>
  <c r="F77" i="21"/>
  <c r="G77" i="21" s="1"/>
  <c r="J15" i="21"/>
  <c r="AC15" i="21" s="1"/>
  <c r="H15" i="21"/>
  <c r="W13" i="2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S14" i="39"/>
  <c r="AB15" i="39"/>
  <c r="U11" i="39"/>
  <c r="U41" i="39"/>
  <c r="AB38" i="39"/>
  <c r="U31" i="39"/>
  <c r="AB31" i="39"/>
  <c r="S22" i="31"/>
  <c r="A18" i="64"/>
  <c r="B74" i="63"/>
  <c r="C53" i="10"/>
  <c r="A25" i="64" s="1"/>
  <c r="A18" i="51"/>
  <c r="B14" i="63" s="1"/>
  <c r="BA16" i="3"/>
  <c r="BA17" i="3"/>
  <c r="AZ17" i="3"/>
  <c r="G1" i="44"/>
  <c r="BL18" i="3"/>
  <c r="AZ18" i="3" s="1"/>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6" i="46" s="1"/>
  <c r="C5" i="46" s="1"/>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s="1"/>
  <c r="C46" i="36"/>
  <c r="C48" i="35"/>
  <c r="D48" i="35" s="1"/>
  <c r="C52" i="37"/>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c r="S10" i="1"/>
  <c r="B8" i="1"/>
  <c r="E8" i="1" s="1"/>
  <c r="B12" i="1"/>
  <c r="E12" i="1"/>
  <c r="S12" i="1"/>
  <c r="K6" i="1"/>
  <c r="M6" i="1" s="1"/>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U27" i="21"/>
  <c r="S27" i="21"/>
  <c r="W29" i="21"/>
  <c r="G96" i="40"/>
  <c r="J27" i="40"/>
  <c r="W37" i="40"/>
  <c r="S17" i="40"/>
  <c r="W30" i="40"/>
  <c r="S34" i="40"/>
  <c r="U17" i="40"/>
  <c r="U38" i="40"/>
  <c r="S40" i="40"/>
  <c r="S42" i="40"/>
  <c r="G105" i="39"/>
  <c r="J31" i="39"/>
  <c r="W31" i="39" s="1"/>
  <c r="AB33" i="39"/>
  <c r="S34" i="39"/>
  <c r="W42" i="39"/>
  <c r="W36" i="39"/>
  <c r="AC37" i="39"/>
  <c r="U14" i="39"/>
  <c r="W16" i="39"/>
  <c r="S15" i="39"/>
  <c r="AA44" i="39"/>
  <c r="W34" i="39"/>
  <c r="W10" i="39"/>
  <c r="W11" i="39"/>
  <c r="U42"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AZ16" i="3"/>
  <c r="H70" i="46"/>
  <c r="H72" i="46"/>
  <c r="A9" i="64"/>
  <c r="A3" i="55"/>
  <c r="B56" i="63" s="1"/>
  <c r="G66" i="36"/>
  <c r="J18" i="36"/>
  <c r="AE7" i="1"/>
  <c r="AE6" i="1"/>
  <c r="W18" i="36"/>
  <c r="AC18" i="36"/>
  <c r="AG6" i="1"/>
  <c r="L20" i="6"/>
  <c r="L19" i="6"/>
  <c r="C45" i="9"/>
  <c r="K31" i="9"/>
  <c r="K32" i="9" s="1"/>
  <c r="F28" i="44"/>
  <c r="M24" i="44"/>
  <c r="E10" i="67"/>
  <c r="M10" i="44"/>
  <c r="F39" i="44"/>
  <c r="B9" i="67"/>
  <c r="M30" i="44"/>
  <c r="J17" i="44"/>
  <c r="L48" i="44"/>
  <c r="F15" i="44"/>
  <c r="M31" i="44"/>
  <c r="F8" i="44"/>
  <c r="F14" i="67"/>
  <c r="M26" i="44"/>
  <c r="F40" i="44"/>
  <c r="F38" i="44"/>
  <c r="B8" i="67"/>
  <c r="L49" i="44"/>
  <c r="M11" i="44"/>
  <c r="M23" i="44"/>
  <c r="E8" i="67"/>
  <c r="F11" i="44"/>
  <c r="E11" i="67"/>
  <c r="F12" i="67"/>
  <c r="B13" i="67"/>
  <c r="F13" i="67"/>
  <c r="F10" i="67"/>
  <c r="F43" i="69"/>
  <c r="B10" i="67"/>
  <c r="F9" i="44"/>
  <c r="E9" i="67"/>
  <c r="M28" i="44"/>
  <c r="F9" i="67"/>
  <c r="F18" i="44"/>
  <c r="F43" i="44"/>
  <c r="F37" i="44"/>
  <c r="F11" i="67"/>
  <c r="M29" i="44"/>
  <c r="B12" i="67"/>
  <c r="F46" i="44"/>
  <c r="M29" i="69"/>
  <c r="M25" i="44"/>
  <c r="E12" i="67"/>
  <c r="F8" i="67"/>
  <c r="F10" i="44"/>
  <c r="B14" i="67"/>
  <c r="E14" i="67"/>
  <c r="F45" i="44"/>
  <c r="E13" i="67"/>
  <c r="F7" i="69"/>
  <c r="B11" i="67"/>
  <c r="M8" i="44"/>
  <c r="C19" i="44"/>
  <c r="F23" i="21" l="1"/>
  <c r="S23" i="21" s="1"/>
  <c r="M7" i="69"/>
  <c r="J6" i="69" s="1"/>
  <c r="F49" i="69"/>
  <c r="C48" i="69" s="1"/>
  <c r="C6" i="69"/>
  <c r="F70" i="69"/>
  <c r="M9" i="1"/>
  <c r="Q61" i="69"/>
  <c r="Q74" i="69"/>
  <c r="Q53" i="69"/>
  <c r="F1" i="69"/>
  <c r="Q67" i="69"/>
  <c r="Q58" i="69"/>
  <c r="AC38" i="21"/>
  <c r="S39" i="21"/>
  <c r="AC36" i="21"/>
  <c r="AC35" i="21"/>
  <c r="AA36" i="21"/>
  <c r="W42" i="21"/>
  <c r="W39" i="21"/>
  <c r="U39" i="21"/>
  <c r="AA38" i="21"/>
  <c r="U35" i="21"/>
  <c r="S35" i="21"/>
  <c r="AC34" i="21"/>
  <c r="S34" i="21"/>
  <c r="W32" i="21"/>
  <c r="AB32" i="21"/>
  <c r="S42" i="21"/>
  <c r="U42" i="21"/>
  <c r="U38" i="21"/>
  <c r="AB36" i="21"/>
  <c r="AB34" i="21"/>
  <c r="AC27" i="21"/>
  <c r="W31" i="21"/>
  <c r="AA29" i="21"/>
  <c r="AA31" i="21"/>
  <c r="AB29" i="21"/>
  <c r="AB31" i="21"/>
  <c r="AC23" i="21"/>
  <c r="AB23" i="21"/>
  <c r="S21" i="21"/>
  <c r="S19" i="21"/>
  <c r="AC19" i="21"/>
  <c r="U17" i="21"/>
  <c r="AA17" i="21"/>
  <c r="W17" i="21"/>
  <c r="AA15" i="21"/>
  <c r="W15" i="21"/>
  <c r="W10" i="21"/>
  <c r="AB10" i="21"/>
  <c r="S10" i="21"/>
  <c r="W9" i="21"/>
  <c r="AA9" i="21"/>
  <c r="U9" i="21"/>
  <c r="AB44" i="21"/>
  <c r="S45" i="21"/>
  <c r="U46" i="21"/>
  <c r="AC44" i="39"/>
  <c r="AC43" i="39"/>
  <c r="AB43" i="39"/>
  <c r="AA43" i="39"/>
  <c r="S41" i="39"/>
  <c r="W41" i="39"/>
  <c r="AA38" i="39"/>
  <c r="S38" i="39"/>
  <c r="AC31" i="39"/>
  <c r="AB29" i="39"/>
  <c r="S29" i="39"/>
  <c r="W29" i="39"/>
  <c r="J17" i="39"/>
  <c r="W17" i="39" s="1"/>
  <c r="F17" i="39"/>
  <c r="AA17" i="39" s="1"/>
  <c r="F99" i="39"/>
  <c r="G99" i="39" s="1"/>
  <c r="H25" i="39"/>
  <c r="U25" i="39" s="1"/>
  <c r="F25" i="39"/>
  <c r="AA25" i="39" s="1"/>
  <c r="J25" i="39"/>
  <c r="AC25" i="39" s="1"/>
  <c r="AB25" i="39"/>
  <c r="S25" i="39"/>
  <c r="S23" i="39"/>
  <c r="W23" i="39"/>
  <c r="U23" i="39"/>
  <c r="AB16" i="39"/>
  <c r="F93" i="39"/>
  <c r="G93" i="39" s="1"/>
  <c r="H19" i="39"/>
  <c r="AB19" i="39" s="1"/>
  <c r="F19" i="39"/>
  <c r="S19" i="39" s="1"/>
  <c r="J19" i="39"/>
  <c r="W19" i="39" s="1"/>
  <c r="AC19" i="39"/>
  <c r="U19" i="39"/>
  <c r="D5" i="46"/>
  <c r="AZ484" i="3"/>
  <c r="J9" i="36"/>
  <c r="H9" i="36"/>
  <c r="F9" i="36"/>
  <c r="J24" i="36"/>
  <c r="H24" i="36"/>
  <c r="AZ400" i="3"/>
  <c r="AZ404" i="3"/>
  <c r="AZ416" i="3"/>
  <c r="AZ421" i="3"/>
  <c r="AZ440" i="3"/>
  <c r="U12" i="37"/>
  <c r="AC23" i="37"/>
  <c r="AC28" i="33"/>
  <c r="U30" i="33"/>
  <c r="AC5" i="3"/>
  <c r="AZ393" i="3"/>
  <c r="AZ396" i="3"/>
  <c r="AZ412" i="3"/>
  <c r="AZ419" i="3"/>
  <c r="AZ429" i="3"/>
  <c r="BL13" i="3"/>
  <c r="G15" i="3"/>
  <c r="C92" i="9"/>
  <c r="BI5" i="3"/>
  <c r="BE5" i="3"/>
  <c r="BT5" i="3"/>
  <c r="BQ5" i="3"/>
  <c r="BP5" i="3"/>
  <c r="A2" i="55"/>
  <c r="B55" i="63" s="1"/>
  <c r="AZ448" i="3"/>
  <c r="AZ468" i="3"/>
  <c r="AZ472" i="3"/>
  <c r="AZ206" i="3"/>
  <c r="AZ210" i="3"/>
  <c r="AZ222" i="3"/>
  <c r="AZ226" i="3"/>
  <c r="AZ238" i="3"/>
  <c r="AZ242" i="3"/>
  <c r="AZ254" i="3"/>
  <c r="AZ258" i="3"/>
  <c r="AZ269" i="3"/>
  <c r="AZ272" i="3"/>
  <c r="AZ285" i="3"/>
  <c r="AZ288" i="3"/>
  <c r="AZ296" i="3"/>
  <c r="AZ125" i="3"/>
  <c r="AZ128" i="3"/>
  <c r="AZ141" i="3"/>
  <c r="AZ144" i="3"/>
  <c r="BJ5" i="3"/>
  <c r="BR5" i="3"/>
  <c r="A30" i="64"/>
  <c r="A30" i="51"/>
  <c r="B22" i="63" s="1"/>
  <c r="AZ155" i="3"/>
  <c r="AZ168" i="3"/>
  <c r="AZ171" i="3"/>
  <c r="AZ186" i="3"/>
  <c r="AZ194" i="3"/>
  <c r="AZ22" i="3"/>
  <c r="AZ33" i="3"/>
  <c r="AZ38" i="3"/>
  <c r="AZ49" i="3"/>
  <c r="AZ54" i="3"/>
  <c r="AZ64" i="3"/>
  <c r="AZ76" i="3"/>
  <c r="AZ80" i="3"/>
  <c r="AZ83" i="3"/>
  <c r="AZ89" i="3"/>
  <c r="AZ100" i="3"/>
  <c r="AZ105" i="3"/>
  <c r="D1" i="57"/>
  <c r="E10" i="57" s="1"/>
  <c r="I21" i="57"/>
  <c r="O51" i="59"/>
  <c r="O50" i="59"/>
  <c r="D51" i="59"/>
  <c r="C21" i="59"/>
  <c r="D20" i="59"/>
  <c r="B54" i="46"/>
  <c r="C27" i="40"/>
  <c r="S27" i="40"/>
  <c r="S21" i="34"/>
  <c r="S18" i="35"/>
  <c r="D52"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B22" i="59"/>
  <c r="F23" i="59"/>
  <c r="F24" i="59" s="1"/>
  <c r="F25" i="59" s="1"/>
  <c r="V25" i="59" s="1"/>
  <c r="AB23" i="59"/>
  <c r="AA22" i="59"/>
  <c r="E23" i="59"/>
  <c r="E24" i="59" s="1"/>
  <c r="E25" i="59" s="1"/>
  <c r="U25" i="59" s="1"/>
  <c r="B12" i="59"/>
  <c r="B11" i="59" s="1"/>
  <c r="S13" i="59"/>
  <c r="Y9" i="59"/>
  <c r="Z9" i="59" s="1"/>
  <c r="AB9" i="59"/>
  <c r="X23" i="59"/>
  <c r="AA23" i="59"/>
  <c r="Q50" i="59"/>
  <c r="AG12" i="46"/>
  <c r="U9" i="59"/>
  <c r="F12" i="59"/>
  <c r="F11" i="59" s="1"/>
  <c r="E12" i="59"/>
  <c r="E11" i="59" s="1"/>
  <c r="Y8" i="59"/>
  <c r="Z8" i="59" s="1"/>
  <c r="Y7" i="59"/>
  <c r="Z7" i="59" s="1"/>
  <c r="AB8" i="59"/>
  <c r="AB7" i="59"/>
  <c r="X7" i="59"/>
  <c r="X6" i="59"/>
  <c r="AA6" i="59"/>
  <c r="T13" i="59"/>
  <c r="C12" i="59"/>
  <c r="AI10" i="46"/>
  <c r="AI12" i="46"/>
  <c r="AE10" i="46"/>
  <c r="AE12" i="46"/>
  <c r="AA10" i="46"/>
  <c r="AA12" i="46"/>
  <c r="N1" i="65"/>
  <c r="H1" i="65"/>
  <c r="T9" i="59"/>
  <c r="C8" i="59"/>
  <c r="V9" i="59"/>
  <c r="F8" i="59"/>
  <c r="F7" i="59" s="1"/>
  <c r="F6" i="59" s="1"/>
  <c r="F5" i="59" s="1"/>
  <c r="X9" i="59"/>
  <c r="X8" i="59"/>
  <c r="AA8" i="59"/>
  <c r="AA9" i="59"/>
  <c r="AA7" i="59"/>
  <c r="Y6" i="59"/>
  <c r="Z6" i="59" s="1"/>
  <c r="AB6" i="59"/>
  <c r="X5" i="59"/>
  <c r="AA5" i="59"/>
  <c r="Y5" i="59"/>
  <c r="Z5" i="59" s="1"/>
  <c r="AB5" i="59"/>
  <c r="M43" i="9"/>
  <c r="E101" i="39"/>
  <c r="F27" i="39" s="1"/>
  <c r="H17" i="39"/>
  <c r="U17" i="39" s="1"/>
  <c r="F91" i="39"/>
  <c r="G91" i="39" s="1"/>
  <c r="AB17" i="39"/>
  <c r="S17" i="39"/>
  <c r="AC17" i="39"/>
  <c r="AA46" i="39"/>
  <c r="S46" i="39"/>
  <c r="AA45" i="39"/>
  <c r="S45" i="39"/>
  <c r="AB46" i="39"/>
  <c r="AC47" i="39"/>
  <c r="J45" i="39"/>
  <c r="J46" i="39"/>
  <c r="U40" i="39"/>
  <c r="S40" i="39"/>
  <c r="AC40" i="39"/>
  <c r="E83" i="39"/>
  <c r="F83" i="39" s="1"/>
  <c r="G83" i="39" s="1"/>
  <c r="H83" i="39" s="1"/>
  <c r="I83" i="39" s="1"/>
  <c r="J83" i="39" s="1"/>
  <c r="K83" i="39" s="1"/>
  <c r="L83" i="39" s="1"/>
  <c r="M83" i="39" s="1"/>
  <c r="S10" i="39"/>
  <c r="M22" i="44"/>
  <c r="J22" i="44" s="1"/>
  <c r="F34" i="15"/>
  <c r="F61" i="15" s="1"/>
  <c r="M20" i="15"/>
  <c r="B41" i="1"/>
  <c r="D96" i="9"/>
  <c r="D22" i="15"/>
  <c r="D24" i="15"/>
  <c r="G9" i="1"/>
  <c r="G12" i="1"/>
  <c r="N16" i="4"/>
  <c r="K17" i="4"/>
  <c r="A22" i="51" s="1"/>
  <c r="B16" i="63" s="1"/>
  <c r="G6" i="1"/>
  <c r="G11" i="1"/>
  <c r="G7" i="1"/>
  <c r="G8" i="1"/>
  <c r="AP8" i="1"/>
  <c r="AP9" i="1"/>
  <c r="G13" i="1"/>
  <c r="F3" i="35"/>
  <c r="K7" i="1"/>
  <c r="Q16" i="1" s="1"/>
  <c r="F33" i="12" s="1"/>
  <c r="G1" i="15"/>
  <c r="K1" i="43"/>
  <c r="K1" i="12"/>
  <c r="BA15" i="3"/>
  <c r="BL14" i="3"/>
  <c r="G28" i="6"/>
  <c r="BL15" i="3"/>
  <c r="AZ15" i="3" s="1"/>
  <c r="BH5" i="3"/>
  <c r="BF5" i="3"/>
  <c r="I4" i="6"/>
  <c r="G3" i="46" s="1"/>
  <c r="AI11" i="46" s="1"/>
  <c r="AI13" i="46" s="1"/>
  <c r="G13" i="3"/>
  <c r="BG5" i="3"/>
  <c r="BD5" i="3"/>
  <c r="BO5" i="3"/>
  <c r="BN5" i="3"/>
  <c r="G29" i="6" s="1"/>
  <c r="G30" i="6" s="1"/>
  <c r="G31" i="6" s="1"/>
  <c r="L27" i="6"/>
  <c r="BK5" i="3"/>
  <c r="BS5" i="3"/>
  <c r="F28" i="6" s="1"/>
  <c r="BL5" i="3"/>
  <c r="BM5" i="3"/>
  <c r="F29" i="6" s="1"/>
  <c r="BC5" i="3"/>
  <c r="BA14" i="3"/>
  <c r="P8" i="1"/>
  <c r="O9" i="1"/>
  <c r="P9" i="1" s="1"/>
  <c r="G14" i="3"/>
  <c r="H5" i="3"/>
  <c r="O6" i="1"/>
  <c r="P6" i="1" s="1"/>
  <c r="O13" i="1"/>
  <c r="P13" i="1" s="1"/>
  <c r="P12" i="1"/>
  <c r="P10" i="1"/>
  <c r="BB5" i="3"/>
  <c r="BA13" i="3"/>
  <c r="P11" i="1"/>
  <c r="N4" i="63"/>
  <c r="C46" i="9"/>
  <c r="I14" i="66" s="1"/>
  <c r="B8" i="66" s="1"/>
  <c r="H14" i="66"/>
  <c r="B7" i="66" s="1"/>
  <c r="K33" i="9"/>
  <c r="K34" i="9" s="1"/>
  <c r="O40" i="9"/>
  <c r="R7" i="54" s="1"/>
  <c r="B52" i="63" s="1"/>
  <c r="O76" i="9"/>
  <c r="N76" i="9"/>
  <c r="K76" i="9"/>
  <c r="K77" i="9" s="1"/>
  <c r="K79" i="9" s="1"/>
  <c r="K81" i="9" s="1"/>
  <c r="E14" i="52"/>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J7" i="35"/>
  <c r="H7" i="35"/>
  <c r="D52" i="37"/>
  <c r="D46" i="36"/>
  <c r="C7" i="33"/>
  <c r="C58" i="33" s="1"/>
  <c r="C9" i="39"/>
  <c r="C70" i="39" s="1"/>
  <c r="C9" i="40"/>
  <c r="C65" i="40" s="1"/>
  <c r="G10" i="1"/>
  <c r="N67" i="9"/>
  <c r="A25" i="51"/>
  <c r="B18" i="63" s="1"/>
  <c r="C42" i="1"/>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Q73" i="44"/>
  <c r="L60" i="44"/>
  <c r="L59" i="44"/>
  <c r="C29" i="44"/>
  <c r="M9" i="44"/>
  <c r="J8" i="44" s="1"/>
  <c r="E17" i="52"/>
  <c r="E11" i="52"/>
  <c r="E15" i="52"/>
  <c r="E13" i="52"/>
  <c r="E4" i="4" s="1"/>
  <c r="B21" i="55" s="1"/>
  <c r="B72" i="63" s="1"/>
  <c r="B14" i="52"/>
  <c r="E8" i="52"/>
  <c r="E16" i="52"/>
  <c r="B5" i="52"/>
  <c r="B9" i="52"/>
  <c r="B16" i="52"/>
  <c r="B8" i="52"/>
  <c r="B13" i="52"/>
  <c r="E10" i="52"/>
  <c r="E21" i="52"/>
  <c r="F58" i="15"/>
  <c r="M19" i="44"/>
  <c r="F33" i="44"/>
  <c r="F31" i="15"/>
  <c r="M17" i="15"/>
  <c r="AE9" i="1"/>
  <c r="C16" i="69"/>
  <c r="M29" i="15"/>
  <c r="F36" i="15"/>
  <c r="F43" i="15"/>
  <c r="C18" i="44"/>
  <c r="F38" i="15"/>
  <c r="F8" i="15"/>
  <c r="M24" i="15"/>
  <c r="J36" i="15"/>
  <c r="M23" i="15"/>
  <c r="F42" i="15"/>
  <c r="J15" i="15"/>
  <c r="M26" i="15"/>
  <c r="F7" i="15"/>
  <c r="L48" i="15"/>
  <c r="F9" i="15"/>
  <c r="M27" i="15"/>
  <c r="M9" i="15"/>
  <c r="F6" i="15"/>
  <c r="M8" i="15"/>
  <c r="M6" i="15"/>
  <c r="F13" i="15"/>
  <c r="M22" i="15"/>
  <c r="L47" i="15"/>
  <c r="M28" i="15"/>
  <c r="F37" i="15"/>
  <c r="F40" i="15"/>
  <c r="F16" i="15"/>
  <c r="F26" i="15"/>
  <c r="AA23" i="21" l="1"/>
  <c r="W25" i="39"/>
  <c r="AA19" i="39"/>
  <c r="H7" i="34"/>
  <c r="J7" i="34"/>
  <c r="H7" i="21"/>
  <c r="J7" i="21"/>
  <c r="AC7" i="21" s="1"/>
  <c r="C24" i="59"/>
  <c r="D23" i="59"/>
  <c r="C16" i="59"/>
  <c r="D15" i="59"/>
  <c r="T21" i="59"/>
  <c r="D21" i="59"/>
  <c r="AB24" i="36"/>
  <c r="U24" i="36"/>
  <c r="AA9" i="36"/>
  <c r="S9" i="36"/>
  <c r="AC9" i="36"/>
  <c r="W9" i="36"/>
  <c r="F7" i="34"/>
  <c r="F7" i="21"/>
  <c r="S7" i="21" s="1"/>
  <c r="C7" i="59"/>
  <c r="D8" i="59"/>
  <c r="C11" i="59"/>
  <c r="D11" i="59" s="1"/>
  <c r="D12" i="59"/>
  <c r="W24" i="36"/>
  <c r="AC24" i="36"/>
  <c r="AB9" i="36"/>
  <c r="U9" i="36"/>
  <c r="AA27" i="39"/>
  <c r="S27" i="39"/>
  <c r="F101" i="39"/>
  <c r="G101" i="39" s="1"/>
  <c r="H27" i="39"/>
  <c r="J27" i="39"/>
  <c r="AC45" i="39"/>
  <c r="W45" i="39"/>
  <c r="W46" i="39"/>
  <c r="AC46" i="39"/>
  <c r="F66" i="9"/>
  <c r="P72" i="9" s="1"/>
  <c r="F70" i="9"/>
  <c r="F30" i="44"/>
  <c r="C30" i="44" s="1"/>
  <c r="M18" i="15"/>
  <c r="F34" i="44"/>
  <c r="F71" i="9"/>
  <c r="M20" i="44"/>
  <c r="F32" i="15"/>
  <c r="F59" i="15" s="1"/>
  <c r="D86" i="9"/>
  <c r="F27" i="43"/>
  <c r="C27" i="43" s="1"/>
  <c r="F72" i="9"/>
  <c r="F29" i="12"/>
  <c r="F31" i="43"/>
  <c r="C31" i="43" s="1"/>
  <c r="F28" i="15"/>
  <c r="C28" i="15" s="1"/>
  <c r="G16" i="1"/>
  <c r="J12" i="40" s="1"/>
  <c r="AP16" i="1"/>
  <c r="F22" i="11" s="1"/>
  <c r="M7" i="1"/>
  <c r="O7" i="1" s="1"/>
  <c r="P7" i="1" s="1"/>
  <c r="C15" i="12" s="1"/>
  <c r="H16" i="1"/>
  <c r="J53" i="15"/>
  <c r="F1" i="15" s="1"/>
  <c r="J57" i="15"/>
  <c r="J55" i="15" s="1"/>
  <c r="J58" i="15" s="1"/>
  <c r="Q51" i="15" s="1"/>
  <c r="I54" i="15"/>
  <c r="L56" i="15"/>
  <c r="M7" i="15"/>
  <c r="J6" i="15" s="1"/>
  <c r="F49" i="15"/>
  <c r="F63" i="15"/>
  <c r="C27" i="15"/>
  <c r="F67" i="15"/>
  <c r="C6" i="15"/>
  <c r="Q72" i="15"/>
  <c r="F65" i="15"/>
  <c r="F70" i="15"/>
  <c r="F50" i="15"/>
  <c r="F64" i="15"/>
  <c r="L59" i="15"/>
  <c r="Q75" i="15" s="1"/>
  <c r="L58" i="15"/>
  <c r="Q61" i="15" s="1"/>
  <c r="AZ14" i="3"/>
  <c r="AJ11" i="46"/>
  <c r="AJ13" i="46" s="1"/>
  <c r="Z7" i="46"/>
  <c r="H101" i="46"/>
  <c r="H106" i="46" s="1"/>
  <c r="AA11" i="46"/>
  <c r="AA13" i="46" s="1"/>
  <c r="Y11" i="46"/>
  <c r="Y13" i="46" s="1"/>
  <c r="E101" i="46"/>
  <c r="E105" i="46" s="1"/>
  <c r="C101" i="46"/>
  <c r="C104" i="46" s="1"/>
  <c r="C23" i="46"/>
  <c r="C21" i="46" s="1"/>
  <c r="AC11" i="46"/>
  <c r="AC13" i="46" s="1"/>
  <c r="D101" i="46"/>
  <c r="D109" i="46" s="1"/>
  <c r="AF11" i="46"/>
  <c r="AF13" i="46" s="1"/>
  <c r="J22" i="46"/>
  <c r="L101" i="46"/>
  <c r="L105" i="46" s="1"/>
  <c r="AD11" i="46"/>
  <c r="AD13" i="46" s="1"/>
  <c r="F22" i="46"/>
  <c r="AH11" i="46"/>
  <c r="AH13" i="46" s="1"/>
  <c r="M101" i="46"/>
  <c r="M102" i="46" s="1"/>
  <c r="G22" i="46"/>
  <c r="AG11" i="46"/>
  <c r="AG13" i="46" s="1"/>
  <c r="AB11" i="46"/>
  <c r="AB13" i="46" s="1"/>
  <c r="B113" i="46"/>
  <c r="I116" i="46" s="1"/>
  <c r="J116" i="46" s="1"/>
  <c r="K116" i="46" s="1"/>
  <c r="L116" i="46" s="1"/>
  <c r="M116" i="46" s="1"/>
  <c r="F101" i="46"/>
  <c r="F104" i="46" s="1"/>
  <c r="N104" i="45"/>
  <c r="Z11" i="46"/>
  <c r="Z13" i="46" s="1"/>
  <c r="I101" i="46"/>
  <c r="I105" i="46" s="1"/>
  <c r="H22" i="46"/>
  <c r="E22" i="46"/>
  <c r="AE11" i="46"/>
  <c r="AE13" i="46" s="1"/>
  <c r="J101" i="46"/>
  <c r="J107" i="46" s="1"/>
  <c r="K101" i="46"/>
  <c r="K103" i="46" s="1"/>
  <c r="G101" i="46"/>
  <c r="G109" i="46" s="1"/>
  <c r="N101" i="46"/>
  <c r="N105" i="46" s="1"/>
  <c r="E29" i="6"/>
  <c r="K15" i="1" s="1"/>
  <c r="F30" i="6"/>
  <c r="E28" i="6"/>
  <c r="K14" i="1" s="1"/>
  <c r="E8" i="6"/>
  <c r="F27" i="6" s="1"/>
  <c r="E5" i="6"/>
  <c r="D21" i="12" s="1"/>
  <c r="C21" i="12" s="1"/>
  <c r="F18" i="11"/>
  <c r="C18" i="11" s="1"/>
  <c r="F24" i="43"/>
  <c r="C26" i="43" s="1"/>
  <c r="D24" i="43" s="1"/>
  <c r="BA5" i="3"/>
  <c r="AZ13" i="3"/>
  <c r="AZ5" i="3" s="1"/>
  <c r="G5" i="3"/>
  <c r="B3" i="3" s="1"/>
  <c r="E14" i="3" s="1"/>
  <c r="E10" i="6"/>
  <c r="E12" i="6"/>
  <c r="E14" i="6"/>
  <c r="E11" i="6"/>
  <c r="E15" i="6"/>
  <c r="E13" i="6"/>
  <c r="F109" i="46"/>
  <c r="O41" i="9"/>
  <c r="R8" i="54" s="1"/>
  <c r="B54" i="63" s="1"/>
  <c r="D58" i="33"/>
  <c r="E58" i="33" s="1"/>
  <c r="F58" i="33" s="1"/>
  <c r="G58" i="33" s="1"/>
  <c r="H58" i="33" s="1"/>
  <c r="I58" i="33" s="1"/>
  <c r="J58" i="33" s="1"/>
  <c r="K58" i="33" s="1"/>
  <c r="L58" i="33" s="1"/>
  <c r="M58" i="33" s="1"/>
  <c r="N58" i="33" s="1"/>
  <c r="O58" i="33" s="1"/>
  <c r="W7" i="34"/>
  <c r="AC7" i="34"/>
  <c r="V49" i="34" s="1"/>
  <c r="I49" i="34" s="1"/>
  <c r="D65" i="40"/>
  <c r="C67" i="40"/>
  <c r="F7" i="35"/>
  <c r="AC7" i="35"/>
  <c r="V38" i="35" s="1"/>
  <c r="I38" i="35" s="1"/>
  <c r="W7" i="35"/>
  <c r="AA7" i="34"/>
  <c r="R49" i="34" s="1"/>
  <c r="S7" i="34"/>
  <c r="C72" i="39"/>
  <c r="D70" i="39"/>
  <c r="AB7" i="35"/>
  <c r="T38" i="35" s="1"/>
  <c r="G38" i="35" s="1"/>
  <c r="U7" i="35"/>
  <c r="C25" i="12"/>
  <c r="C34" i="12" s="1"/>
  <c r="D33" i="12" s="1"/>
  <c r="E46" i="36"/>
  <c r="E52" i="37"/>
  <c r="AB7" i="34"/>
  <c r="T49" i="34" s="1"/>
  <c r="G49" i="34" s="1"/>
  <c r="U7" i="34"/>
  <c r="AB7" i="21"/>
  <c r="U7" i="21"/>
  <c r="L47" i="44"/>
  <c r="Q76" i="44"/>
  <c r="Q63" i="44"/>
  <c r="Q54" i="44"/>
  <c r="F1" i="44"/>
  <c r="Q75" i="44"/>
  <c r="Q62" i="44"/>
  <c r="J4" i="65"/>
  <c r="N3" i="65"/>
  <c r="C16" i="15"/>
  <c r="J7" i="65"/>
  <c r="N6" i="65"/>
  <c r="J5" i="65"/>
  <c r="I7" i="65"/>
  <c r="N5" i="65"/>
  <c r="I5" i="65"/>
  <c r="AE8" i="1"/>
  <c r="I3" i="65"/>
  <c r="J3" i="65"/>
  <c r="I4" i="65"/>
  <c r="J6" i="65"/>
  <c r="N7" i="65"/>
  <c r="N4" i="65"/>
  <c r="F41" i="69"/>
  <c r="I6" i="65"/>
  <c r="F41" i="15"/>
  <c r="F68" i="69" l="1"/>
  <c r="W7" i="21"/>
  <c r="AA7" i="21"/>
  <c r="F68" i="15"/>
  <c r="J1" i="65"/>
  <c r="C4" i="65"/>
  <c r="B39" i="1" s="1"/>
  <c r="I1" i="65"/>
  <c r="E20" i="46"/>
  <c r="D7" i="59"/>
  <c r="C6" i="59"/>
  <c r="C17" i="59"/>
  <c r="D16" i="59"/>
  <c r="C25" i="59"/>
  <c r="D24" i="59"/>
  <c r="W27" i="39"/>
  <c r="AC27" i="39"/>
  <c r="U27" i="39"/>
  <c r="AB27" i="39"/>
  <c r="C15" i="43"/>
  <c r="F12" i="40"/>
  <c r="AA12" i="40" s="1"/>
  <c r="G105" i="46"/>
  <c r="H102" i="46"/>
  <c r="J12" i="39"/>
  <c r="W12" i="39" s="1"/>
  <c r="C107" i="46"/>
  <c r="H12" i="39"/>
  <c r="AB12" i="39" s="1"/>
  <c r="F12" i="39"/>
  <c r="S12" i="39" s="1"/>
  <c r="H12" i="40"/>
  <c r="U12" i="40" s="1"/>
  <c r="Q62" i="15"/>
  <c r="C48" i="15"/>
  <c r="Q53" i="15"/>
  <c r="Q74" i="15"/>
  <c r="E104" i="46"/>
  <c r="I118" i="46"/>
  <c r="J118" i="46" s="1"/>
  <c r="K118" i="46" s="1"/>
  <c r="L118" i="46" s="1"/>
  <c r="M118" i="46" s="1"/>
  <c r="N106" i="46"/>
  <c r="D22" i="46"/>
  <c r="E30" i="6"/>
  <c r="E27" i="6"/>
  <c r="E58" i="39"/>
  <c r="I102" i="46"/>
  <c r="L104" i="46"/>
  <c r="G118" i="46"/>
  <c r="H118" i="46" s="1"/>
  <c r="G107" i="46"/>
  <c r="G103" i="46"/>
  <c r="D103" i="46"/>
  <c r="C106" i="46"/>
  <c r="H105" i="46"/>
  <c r="N102" i="46"/>
  <c r="C105" i="46"/>
  <c r="H103" i="46"/>
  <c r="K102" i="46"/>
  <c r="E102" i="46"/>
  <c r="K104" i="46"/>
  <c r="F103" i="46"/>
  <c r="G104" i="46"/>
  <c r="D106" i="46"/>
  <c r="E109" i="46"/>
  <c r="E106" i="46"/>
  <c r="C109" i="46"/>
  <c r="C102" i="46"/>
  <c r="H107" i="46"/>
  <c r="H104" i="46"/>
  <c r="K109" i="46"/>
  <c r="F105" i="46"/>
  <c r="G106" i="46"/>
  <c r="D104" i="46"/>
  <c r="E103" i="46"/>
  <c r="C103" i="46"/>
  <c r="H109" i="46"/>
  <c r="F107" i="46"/>
  <c r="D105" i="46"/>
  <c r="E107" i="46"/>
  <c r="J106" i="46"/>
  <c r="B115" i="46"/>
  <c r="C115" i="46" s="1"/>
  <c r="N104" i="46"/>
  <c r="N107" i="46"/>
  <c r="L106" i="46"/>
  <c r="N109" i="46"/>
  <c r="J105" i="46"/>
  <c r="I103" i="46"/>
  <c r="N103" i="46"/>
  <c r="M106" i="46"/>
  <c r="E53" i="40"/>
  <c r="J102" i="46"/>
  <c r="J109" i="46"/>
  <c r="D116" i="46"/>
  <c r="E116" i="46" s="1"/>
  <c r="F116" i="46" s="1"/>
  <c r="G116" i="46" s="1"/>
  <c r="H116" i="46" s="1"/>
  <c r="D118" i="46"/>
  <c r="E118" i="46" s="1"/>
  <c r="F118" i="46" s="1"/>
  <c r="B116" i="46"/>
  <c r="C116" i="46" s="1"/>
  <c r="I109" i="46"/>
  <c r="I107" i="46"/>
  <c r="L109" i="46"/>
  <c r="L107" i="46"/>
  <c r="M104" i="46"/>
  <c r="M103" i="46"/>
  <c r="K105" i="46"/>
  <c r="K107" i="46"/>
  <c r="J104" i="46"/>
  <c r="F102" i="46"/>
  <c r="F106" i="46"/>
  <c r="B117" i="46"/>
  <c r="C117" i="46" s="1"/>
  <c r="I115" i="46"/>
  <c r="J115" i="46" s="1"/>
  <c r="K115" i="46" s="1"/>
  <c r="L115" i="46" s="1"/>
  <c r="M115" i="46" s="1"/>
  <c r="D117" i="46"/>
  <c r="E117" i="46" s="1"/>
  <c r="F117" i="46" s="1"/>
  <c r="G117" i="46" s="1"/>
  <c r="H117" i="46" s="1"/>
  <c r="I106" i="46"/>
  <c r="I104" i="46"/>
  <c r="L103" i="46"/>
  <c r="D107" i="46"/>
  <c r="D102" i="46"/>
  <c r="M105" i="46"/>
  <c r="M109" i="46"/>
  <c r="K106" i="46"/>
  <c r="J103" i="46"/>
  <c r="B118" i="46"/>
  <c r="C118" i="46" s="1"/>
  <c r="D115" i="46"/>
  <c r="E115" i="46" s="1"/>
  <c r="F115" i="46" s="1"/>
  <c r="G115" i="46" s="1"/>
  <c r="H115" i="46" s="1"/>
  <c r="I117" i="46"/>
  <c r="J117" i="46" s="1"/>
  <c r="K117" i="46" s="1"/>
  <c r="L117" i="46" s="1"/>
  <c r="M117" i="46" s="1"/>
  <c r="G102" i="46"/>
  <c r="L102" i="46"/>
  <c r="M107" i="46"/>
  <c r="F31" i="6"/>
  <c r="K19" i="9" s="1"/>
  <c r="M14" i="1"/>
  <c r="K16" i="1"/>
  <c r="D12" i="11"/>
  <c r="C12" i="11" s="1"/>
  <c r="E60" i="40"/>
  <c r="E65" i="39"/>
  <c r="E59" i="40"/>
  <c r="E64" i="39"/>
  <c r="E66" i="39"/>
  <c r="E61" i="40"/>
  <c r="E62" i="40"/>
  <c r="E67" i="39"/>
  <c r="AY6" i="3"/>
  <c r="E3" i="6"/>
  <c r="C33" i="21" s="1"/>
  <c r="E16" i="6"/>
  <c r="E63" i="39"/>
  <c r="E58" i="40"/>
  <c r="E413" i="3"/>
  <c r="E561" i="3"/>
  <c r="E283" i="3"/>
  <c r="E23" i="3"/>
  <c r="E535" i="3"/>
  <c r="AN6" i="3"/>
  <c r="E41" i="3"/>
  <c r="E280" i="3"/>
  <c r="E471" i="3"/>
  <c r="E59" i="3"/>
  <c r="E418" i="3"/>
  <c r="E270" i="3"/>
  <c r="E408" i="3"/>
  <c r="E464" i="3"/>
  <c r="E92" i="3"/>
  <c r="E157" i="3"/>
  <c r="E238" i="3"/>
  <c r="E209" i="3"/>
  <c r="E414" i="3"/>
  <c r="E161" i="3"/>
  <c r="E44" i="3"/>
  <c r="E450" i="3"/>
  <c r="E202" i="3"/>
  <c r="E49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241" i="3"/>
  <c r="E421" i="3"/>
  <c r="E156" i="3"/>
  <c r="E348" i="3"/>
  <c r="E132" i="3"/>
  <c r="E49" i="3"/>
  <c r="E394" i="3"/>
  <c r="E91" i="3"/>
  <c r="E193" i="3"/>
  <c r="E282" i="3"/>
  <c r="E359" i="3"/>
  <c r="E104" i="3"/>
  <c r="E375" i="3"/>
  <c r="E391" i="3"/>
  <c r="E534" i="3"/>
  <c r="E186" i="3"/>
  <c r="E131" i="3"/>
  <c r="E266" i="3"/>
  <c r="E263" i="3"/>
  <c r="E304" i="3"/>
  <c r="I6" i="3"/>
  <c r="E82" i="3"/>
  <c r="E165" i="3"/>
  <c r="Z6" i="3"/>
  <c r="E99" i="3"/>
  <c r="E404" i="3"/>
  <c r="E520" i="3"/>
  <c r="E101" i="3"/>
  <c r="E30" i="3"/>
  <c r="E223" i="3"/>
  <c r="E32" i="3"/>
  <c r="E218" i="3"/>
  <c r="E399" i="3"/>
  <c r="E447" i="3"/>
  <c r="E110" i="3"/>
  <c r="E317" i="3"/>
  <c r="Q6" i="3"/>
  <c r="E174" i="3"/>
  <c r="E179" i="3"/>
  <c r="E500" i="3"/>
  <c r="E98" i="3"/>
  <c r="E444" i="3"/>
  <c r="AE6" i="3"/>
  <c r="E398" i="3"/>
  <c r="E247" i="3"/>
  <c r="E113" i="3"/>
  <c r="E37" i="3"/>
  <c r="E539" i="3"/>
  <c r="E257" i="3"/>
  <c r="AT6" i="3"/>
  <c r="E52" i="3"/>
  <c r="O6" i="3"/>
  <c r="E67" i="3"/>
  <c r="U6" i="3"/>
  <c r="E207" i="3"/>
  <c r="E486"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501" i="3"/>
  <c r="E497" i="3"/>
  <c r="E340" i="3"/>
  <c r="E310" i="3"/>
  <c r="E553" i="3"/>
  <c r="E130" i="3"/>
  <c r="AB6" i="3"/>
  <c r="E563" i="3"/>
  <c r="E328" i="3"/>
  <c r="E511" i="3"/>
  <c r="E268" i="3"/>
  <c r="E346" i="3"/>
  <c r="E358" i="3"/>
  <c r="E565" i="3"/>
  <c r="E557" i="3"/>
  <c r="E86" i="3"/>
  <c r="AO6" i="3"/>
  <c r="E68" i="3"/>
  <c r="E250" i="3"/>
  <c r="E69" i="3"/>
  <c r="E265" i="3"/>
  <c r="E22" i="3"/>
  <c r="E152" i="3"/>
  <c r="AM6" i="3"/>
  <c r="E459" i="3"/>
  <c r="E46" i="3"/>
  <c r="E337" i="3"/>
  <c r="E231" i="3"/>
  <c r="E457" i="3"/>
  <c r="E158" i="3"/>
  <c r="E470" i="3"/>
  <c r="X6" i="3"/>
  <c r="E472" i="3"/>
  <c r="AA6" i="3"/>
  <c r="E124" i="3"/>
  <c r="E295" i="3"/>
  <c r="E299" i="3"/>
  <c r="E388" i="3"/>
  <c r="E89" i="3"/>
  <c r="E103" i="3"/>
  <c r="E146" i="3"/>
  <c r="E201" i="3"/>
  <c r="E62" i="3"/>
  <c r="E434" i="3"/>
  <c r="E170" i="3"/>
  <c r="E230" i="3"/>
  <c r="E57" i="3"/>
  <c r="E213" i="3"/>
  <c r="E441" i="3"/>
  <c r="E292" i="3"/>
  <c r="E397" i="3"/>
  <c r="E415" i="3"/>
  <c r="E60" i="3"/>
  <c r="E47" i="3"/>
  <c r="E28" i="3"/>
  <c r="E178" i="3"/>
  <c r="E184"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440" i="3"/>
  <c r="E234" i="3"/>
  <c r="E76" i="3"/>
  <c r="E362" i="3"/>
  <c r="E176" i="3"/>
  <c r="E271" i="3"/>
  <c r="E314" i="3"/>
  <c r="E525" i="3"/>
  <c r="E493" i="3"/>
  <c r="E489" i="3"/>
  <c r="E353" i="3"/>
  <c r="E81" i="3"/>
  <c r="E183" i="3"/>
  <c r="E236" i="3"/>
  <c r="E524" i="3"/>
  <c r="E45" i="3"/>
  <c r="E171" i="3"/>
  <c r="E212" i="3"/>
  <c r="E42" i="3"/>
  <c r="E531" i="3"/>
  <c r="E182" i="3"/>
  <c r="E269" i="3"/>
  <c r="E344" i="3"/>
  <c r="E312" i="3"/>
  <c r="E562" i="3"/>
  <c r="E366" i="3"/>
  <c r="E512" i="3"/>
  <c r="E167" i="3"/>
  <c r="E350" i="3"/>
  <c r="E567" i="3"/>
  <c r="E494" i="3"/>
  <c r="E352" i="3"/>
  <c r="E26" i="3"/>
  <c r="E254" i="3"/>
  <c r="E519" i="3"/>
  <c r="E17" i="3"/>
  <c r="E316" i="3"/>
  <c r="E544" i="3"/>
  <c r="E509" i="3"/>
  <c r="E380" i="3"/>
  <c r="E411" i="3"/>
  <c r="E135" i="3"/>
  <c r="E114" i="3"/>
  <c r="E381" i="3"/>
  <c r="E333" i="3"/>
  <c r="E55" i="3"/>
  <c r="E278" i="3"/>
  <c r="E195" i="3"/>
  <c r="E409" i="3"/>
  <c r="E36" i="3"/>
  <c r="E311" i="3"/>
  <c r="E215" i="3"/>
  <c r="E428" i="3"/>
  <c r="E164" i="3"/>
  <c r="E454" i="3"/>
  <c r="E374"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16" i="3"/>
  <c r="E546" i="3"/>
  <c r="E373" i="3"/>
  <c r="E298" i="3"/>
  <c r="E122" i="3"/>
  <c r="E219" i="3"/>
  <c r="E159" i="3"/>
  <c r="E532" i="3"/>
  <c r="E566" i="3"/>
  <c r="E487" i="3"/>
  <c r="E461" i="3"/>
  <c r="E112" i="3"/>
  <c r="E377" i="3"/>
  <c r="E541" i="3"/>
  <c r="E503" i="3"/>
  <c r="M6" i="3"/>
  <c r="E147" i="3"/>
  <c r="E194" i="3"/>
  <c r="E437" i="3"/>
  <c r="E117" i="3"/>
  <c r="E390" i="3"/>
  <c r="E31" i="3"/>
  <c r="E349" i="3"/>
  <c r="E149" i="3"/>
  <c r="E222" i="3"/>
  <c r="E327" i="3"/>
  <c r="E549" i="3"/>
  <c r="E77" i="3"/>
  <c r="E389" i="3"/>
  <c r="I3" i="6"/>
  <c r="E463" i="3"/>
  <c r="E367" i="3"/>
  <c r="E462" i="3"/>
  <c r="E75" i="3"/>
  <c r="E141" i="3"/>
  <c r="E482" i="3"/>
  <c r="E438" i="3"/>
  <c r="E550" i="3"/>
  <c r="E189" i="3"/>
  <c r="E401" i="3"/>
  <c r="E139" i="3"/>
  <c r="E429" i="3"/>
  <c r="E258" i="3"/>
  <c r="E527" i="3"/>
  <c r="E154" i="3"/>
  <c r="E370" i="3"/>
  <c r="AR6" i="3"/>
  <c r="E74" i="3"/>
  <c r="E134" i="3"/>
  <c r="E72" i="3"/>
  <c r="E66" i="3"/>
  <c r="E128" i="3"/>
  <c r="E150" i="3"/>
  <c r="E508" i="3"/>
  <c r="K6" i="3"/>
  <c r="E286" i="3"/>
  <c r="E277" i="3"/>
  <c r="E474" i="3"/>
  <c r="E284" i="3"/>
  <c r="E35" i="3"/>
  <c r="E495" i="3"/>
  <c r="E338" i="3"/>
  <c r="E514" i="3"/>
  <c r="E330" i="3"/>
  <c r="E515" i="3"/>
  <c r="E329" i="3"/>
  <c r="E138" i="3"/>
  <c r="E341" i="3"/>
  <c r="E18" i="3"/>
  <c r="E297" i="3"/>
  <c r="E192" i="3"/>
  <c r="E443" i="3"/>
  <c r="E446" i="3"/>
  <c r="E439" i="3"/>
  <c r="E78" i="3"/>
  <c r="E221" i="3"/>
  <c r="E528" i="3"/>
  <c r="E296" i="3"/>
  <c r="E83" i="3"/>
  <c r="AD6" i="3"/>
  <c r="E249" i="3"/>
  <c r="E430" i="3"/>
  <c r="E200" i="3"/>
  <c r="E460" i="3"/>
  <c r="E552" i="3"/>
  <c r="E143"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E542" i="3"/>
  <c r="E322" i="3"/>
  <c r="E252" i="3"/>
  <c r="E318" i="3"/>
  <c r="E564" i="3"/>
  <c r="E475" i="3"/>
  <c r="E206" i="3"/>
  <c r="E93" i="3"/>
  <c r="E427" i="3"/>
  <c r="E115" i="3"/>
  <c r="E570" i="3"/>
  <c r="E94" i="3"/>
  <c r="E321" i="3"/>
  <c r="E127" i="3"/>
  <c r="E237" i="3"/>
  <c r="E424" i="3"/>
  <c r="E548" i="3"/>
  <c r="E100" i="3"/>
  <c r="E262" i="3"/>
  <c r="AK6"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20" i="3"/>
  <c r="E523" i="3"/>
  <c r="E13" i="3"/>
  <c r="E70" i="39"/>
  <c r="D72" i="39"/>
  <c r="E65" i="40"/>
  <c r="D67" i="40"/>
  <c r="G42" i="35"/>
  <c r="H42" i="35" s="1"/>
  <c r="G43" i="35"/>
  <c r="H43" i="35" s="1"/>
  <c r="R50" i="34"/>
  <c r="E49" i="34"/>
  <c r="S7" i="35"/>
  <c r="AA7" i="35"/>
  <c r="R38" i="35" s="1"/>
  <c r="F7" i="33"/>
  <c r="F52" i="37"/>
  <c r="G52" i="37" s="1"/>
  <c r="H52" i="37" s="1"/>
  <c r="I52" i="37" s="1"/>
  <c r="J52" i="37" s="1"/>
  <c r="K52" i="37" s="1"/>
  <c r="L52" i="37" s="1"/>
  <c r="M52" i="37" s="1"/>
  <c r="N52" i="37" s="1"/>
  <c r="O52" i="37" s="1"/>
  <c r="J7" i="37"/>
  <c r="H7" i="37"/>
  <c r="G53" i="34"/>
  <c r="H53" i="34" s="1"/>
  <c r="G54" i="34"/>
  <c r="H54" i="34" s="1"/>
  <c r="F46" i="36"/>
  <c r="W12" i="40"/>
  <c r="AC12" i="40"/>
  <c r="I42" i="35"/>
  <c r="J42" i="35" s="1"/>
  <c r="I53" i="34"/>
  <c r="J53" i="34" s="1"/>
  <c r="I54" i="34"/>
  <c r="J54" i="34" s="1"/>
  <c r="J7" i="33"/>
  <c r="H7" i="33"/>
  <c r="E2" i="65"/>
  <c r="E3" i="65"/>
  <c r="H33" i="21" l="1"/>
  <c r="J33" i="21"/>
  <c r="F33" i="21"/>
  <c r="M11" i="69"/>
  <c r="J10" i="69" s="1"/>
  <c r="J5" i="69" s="1"/>
  <c r="F11" i="69"/>
  <c r="B40" i="1"/>
  <c r="F24" i="69" s="1"/>
  <c r="F17" i="11"/>
  <c r="C17" i="11" s="1"/>
  <c r="C19" i="11" s="1"/>
  <c r="C20" i="11" s="1"/>
  <c r="C21" i="11" s="1"/>
  <c r="C22" i="11" s="1"/>
  <c r="C23" i="11" s="1"/>
  <c r="B2" i="11" s="1"/>
  <c r="B3" i="11" s="1"/>
  <c r="F7" i="37"/>
  <c r="E31" i="6"/>
  <c r="T25" i="59"/>
  <c r="D25" i="59"/>
  <c r="T17" i="59"/>
  <c r="D17" i="59"/>
  <c r="O17" i="46"/>
  <c r="P17" i="46"/>
  <c r="N17" i="46"/>
  <c r="M17" i="46"/>
  <c r="M11" i="15"/>
  <c r="J10" i="15" s="1"/>
  <c r="J5" i="15" s="1"/>
  <c r="J18" i="15" s="1"/>
  <c r="M13" i="44"/>
  <c r="J12" i="44" s="1"/>
  <c r="J7" i="44" s="1"/>
  <c r="F13" i="44"/>
  <c r="C12" i="44" s="1"/>
  <c r="C7" i="44" s="1"/>
  <c r="F11" i="15"/>
  <c r="C5" i="59"/>
  <c r="D6" i="59"/>
  <c r="AB12" i="40"/>
  <c r="AC12" i="39"/>
  <c r="U12" i="39"/>
  <c r="S12" i="40"/>
  <c r="AA12" i="39"/>
  <c r="K24" i="6"/>
  <c r="M24" i="6" s="1"/>
  <c r="I24" i="6" s="1"/>
  <c r="S24" i="6" s="1"/>
  <c r="K19" i="6"/>
  <c r="K23" i="6"/>
  <c r="M23" i="6" s="1"/>
  <c r="I23" i="6" s="1"/>
  <c r="S23" i="6" s="1"/>
  <c r="K25" i="6"/>
  <c r="M25" i="6" s="1"/>
  <c r="I25" i="6" s="1"/>
  <c r="S25" i="6" s="1"/>
  <c r="K26" i="6"/>
  <c r="M26" i="6" s="1"/>
  <c r="I26" i="6" s="1"/>
  <c r="S26" i="6" s="1"/>
  <c r="K21" i="6"/>
  <c r="K22" i="6"/>
  <c r="K20" i="6"/>
  <c r="S5" i="46"/>
  <c r="S2" i="46"/>
  <c r="D113" i="46"/>
  <c r="S7" i="46"/>
  <c r="S4" i="46"/>
  <c r="S3" i="46"/>
  <c r="S6" i="46"/>
  <c r="O14" i="1"/>
  <c r="M16" i="1"/>
  <c r="N16" i="1" s="1"/>
  <c r="C29" i="43" s="1"/>
  <c r="M19" i="6"/>
  <c r="H6" i="3"/>
  <c r="AC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486" i="3"/>
  <c r="AY87" i="3"/>
  <c r="AY53" i="3"/>
  <c r="AY67" i="3"/>
  <c r="AY109" i="3"/>
  <c r="AY74" i="3"/>
  <c r="AY159" i="3"/>
  <c r="AY142" i="3"/>
  <c r="AY98" i="3"/>
  <c r="AY105" i="3"/>
  <c r="AY34" i="3"/>
  <c r="AY136" i="3"/>
  <c r="AY293" i="3"/>
  <c r="AY218" i="3"/>
  <c r="AY232" i="3"/>
  <c r="AY386" i="3"/>
  <c r="AY309" i="3"/>
  <c r="AY448" i="3"/>
  <c r="AY411" i="3"/>
  <c r="AY392" i="3"/>
  <c r="AY49" i="3"/>
  <c r="AY187" i="3"/>
  <c r="AY176" i="3"/>
  <c r="AY381" i="3"/>
  <c r="AY271" i="3"/>
  <c r="AY356" i="3"/>
  <c r="AY326" i="3"/>
  <c r="AY445" i="3"/>
  <c r="AY44" i="3"/>
  <c r="AY178" i="3"/>
  <c r="AY200" i="3"/>
  <c r="AY288" i="3"/>
  <c r="AY294" i="3"/>
  <c r="AY335" i="3"/>
  <c r="AY318" i="3"/>
  <c r="AY550" i="3"/>
  <c r="AY111" i="3"/>
  <c r="AY147" i="3"/>
  <c r="AY269" i="3"/>
  <c r="AY224" i="3"/>
  <c r="AY561" i="3"/>
  <c r="AY389" i="3"/>
  <c r="AY85" i="3"/>
  <c r="AY162" i="3"/>
  <c r="AY302" i="3"/>
  <c r="AY369" i="3"/>
  <c r="AY22" i="3"/>
  <c r="AY122" i="3"/>
  <c r="AY229" i="3"/>
  <c r="AY562" i="3"/>
  <c r="AY457" i="3"/>
  <c r="AY430" i="3"/>
  <c r="AY406" i="3"/>
  <c r="BC6" i="3"/>
  <c r="AY314" i="3"/>
  <c r="AY303" i="3"/>
  <c r="AY543" i="3"/>
  <c r="AY320" i="3"/>
  <c r="AY127" i="3"/>
  <c r="AY91"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30" i="3"/>
  <c r="AY82" i="3"/>
  <c r="AY37" i="3"/>
  <c r="AY73" i="3"/>
  <c r="AY26" i="3"/>
  <c r="AY129" i="3"/>
  <c r="AY179" i="3"/>
  <c r="AY45" i="3"/>
  <c r="AY106" i="3"/>
  <c r="AY158" i="3"/>
  <c r="AY246" i="3"/>
  <c r="AY216" i="3"/>
  <c r="AY349" i="3"/>
  <c r="AY472" i="3"/>
  <c r="AY409" i="3"/>
  <c r="AY414" i="3"/>
  <c r="AY170" i="3"/>
  <c r="AY146" i="3"/>
  <c r="AY219" i="3"/>
  <c r="AY374" i="3"/>
  <c r="AY311" i="3"/>
  <c r="AY463" i="3"/>
  <c r="AY131" i="3"/>
  <c r="AY138" i="3"/>
  <c r="AY227" i="3"/>
  <c r="AY366" i="3"/>
  <c r="AY315" i="3"/>
  <c r="BA6" i="3"/>
  <c r="AY25" i="3"/>
  <c r="AY254" i="3"/>
  <c r="AY376" i="3"/>
  <c r="AY453" i="3"/>
  <c r="AY166" i="3"/>
  <c r="AY266" i="3"/>
  <c r="AY342" i="3"/>
  <c r="AY194" i="3"/>
  <c r="AY211" i="3"/>
  <c r="AY321" i="3"/>
  <c r="AY437" i="3"/>
  <c r="AY412" i="3"/>
  <c r="AY151" i="3"/>
  <c r="AY323" i="3"/>
  <c r="AY193" i="3"/>
  <c r="AY352" i="3"/>
  <c r="AY35" i="3"/>
  <c r="AY32" i="3"/>
  <c r="AY449" i="3"/>
  <c r="AY516" i="3"/>
  <c r="AY456" i="3"/>
  <c r="AY494" i="3"/>
  <c r="AY567" i="3"/>
  <c r="AY112" i="3"/>
  <c r="AY212" i="3"/>
  <c r="AY538" i="3"/>
  <c r="AY247" i="3"/>
  <c r="BB6" i="3"/>
  <c r="AY534" i="3"/>
  <c r="AY20" i="3"/>
  <c r="AY251" i="3"/>
  <c r="AY557" i="3"/>
  <c r="AY78" i="3"/>
  <c r="AY296" i="3"/>
  <c r="AY478" i="3"/>
  <c r="AY153" i="3"/>
  <c r="AY353" i="3"/>
  <c r="AY418" i="3"/>
  <c r="AY375" i="3"/>
  <c r="AY338" i="3"/>
  <c r="AY434" i="3"/>
  <c r="AY559" i="3"/>
  <c r="AY284" i="3"/>
  <c r="AY289" i="3"/>
  <c r="AY506" i="3"/>
  <c r="AY79" i="3"/>
  <c r="AY93" i="3"/>
  <c r="AY240" i="3"/>
  <c r="AY419" i="3"/>
  <c r="AY130" i="3"/>
  <c r="AY475" i="3"/>
  <c r="AY243" i="3"/>
  <c r="AY473" i="3"/>
  <c r="AY331" i="3"/>
  <c r="AY373" i="3"/>
  <c r="AY541" i="3"/>
  <c r="AY487" i="3"/>
  <c r="AY466" i="3"/>
  <c r="AY439" i="3"/>
  <c r="AY509" i="3"/>
  <c r="AY474" i="3"/>
  <c r="AY477" i="3"/>
  <c r="AY539" i="3"/>
  <c r="AY441" i="3"/>
  <c r="AY452" i="3"/>
  <c r="AY523" i="3"/>
  <c r="AY508" i="3"/>
  <c r="AY155" i="3"/>
  <c r="AY401" i="3"/>
  <c r="AY90" i="3"/>
  <c r="AY339" i="3"/>
  <c r="AY223" i="3"/>
  <c r="AY190" i="3"/>
  <c r="AY235" i="3"/>
  <c r="AY332" i="3"/>
  <c r="AY51" i="3"/>
  <c r="AY570" i="3"/>
  <c r="BM6" i="3"/>
  <c r="AY423" i="3"/>
  <c r="AY535" i="3"/>
  <c r="D3" i="6"/>
  <c r="AY537" i="3"/>
  <c r="AY69" i="3"/>
  <c r="AY88" i="3"/>
  <c r="AY58" i="3"/>
  <c r="AY182" i="3"/>
  <c r="AY126" i="3"/>
  <c r="AY77" i="3"/>
  <c r="AY36" i="3"/>
  <c r="AY150" i="3"/>
  <c r="AY262" i="3"/>
  <c r="AY248" i="3"/>
  <c r="AY368" i="3"/>
  <c r="AY556" i="3"/>
  <c r="AY427" i="3"/>
  <c r="AY422" i="3"/>
  <c r="AY46" i="3"/>
  <c r="AY117" i="3"/>
  <c r="AY280" i="3"/>
  <c r="AY379" i="3"/>
  <c r="AY329" i="3"/>
  <c r="AY471" i="3"/>
  <c r="AY38" i="3"/>
  <c r="AY116" i="3"/>
  <c r="AY258" i="3"/>
  <c r="AY371" i="3"/>
  <c r="AY337" i="3"/>
  <c r="BS6" i="3"/>
  <c r="AY62" i="3"/>
  <c r="AY249" i="3"/>
  <c r="AY367" i="3"/>
  <c r="AY424" i="3"/>
  <c r="AY81" i="3"/>
  <c r="AY295" i="3"/>
  <c r="AY380" i="3"/>
  <c r="AY76" i="3"/>
  <c r="AY282" i="3"/>
  <c r="AY307" i="3"/>
  <c r="BQ6" i="3"/>
  <c r="BT6" i="3"/>
  <c r="AY378" i="3"/>
  <c r="AY336" i="3"/>
  <c r="AY253" i="3"/>
  <c r="AY245" i="3"/>
  <c r="AY86" i="3"/>
  <c r="AY24" i="3"/>
  <c r="AY388" i="3"/>
  <c r="AY525" i="3"/>
  <c r="AY207" i="3"/>
  <c r="AY485" i="3"/>
  <c r="AY526" i="3"/>
  <c r="AY40" i="3"/>
  <c r="AY244" i="3"/>
  <c r="AY19" i="3"/>
  <c r="AY281" i="3"/>
  <c r="AY399" i="3"/>
  <c r="AY513" i="3"/>
  <c r="AY322" i="3"/>
  <c r="AY199" i="3"/>
  <c r="AY347" i="3"/>
  <c r="AY395" i="3"/>
  <c r="AY174" i="3"/>
  <c r="AY345" i="3"/>
  <c r="AY189" i="3"/>
  <c r="AY351" i="3"/>
  <c r="AY470" i="3"/>
  <c r="AY393" i="3"/>
  <c r="AY328" i="3"/>
  <c r="AY119" i="3"/>
  <c r="BO6" i="3"/>
  <c r="AY63" i="3"/>
  <c r="AY533" i="3"/>
  <c r="AY490" i="3"/>
  <c r="AY71" i="3"/>
  <c r="AY89" i="3"/>
  <c r="AY210" i="3"/>
  <c r="AY440" i="3"/>
  <c r="AY102" i="3"/>
  <c r="AY297" i="3"/>
  <c r="AY195" i="3"/>
  <c r="BG6" i="3"/>
  <c r="AY462" i="3"/>
  <c r="AY362" i="3"/>
  <c r="AY165" i="3"/>
  <c r="AY94" i="3"/>
  <c r="AY252" i="3"/>
  <c r="AY255" i="3"/>
  <c r="AY536" i="3"/>
  <c r="AY260" i="3"/>
  <c r="AY354" i="3"/>
  <c r="AY517" i="3"/>
  <c r="AY228" i="3"/>
  <c r="AY121" i="3"/>
  <c r="AY507" i="3"/>
  <c r="AY300" i="3"/>
  <c r="AY549" i="3"/>
  <c r="AY80" i="3"/>
  <c r="AY83" i="3"/>
  <c r="AY47" i="3"/>
  <c r="AY198" i="3"/>
  <c r="AY128" i="3"/>
  <c r="AY95" i="3"/>
  <c r="AY57" i="3"/>
  <c r="AY145" i="3"/>
  <c r="AY259" i="3"/>
  <c r="AY275" i="3"/>
  <c r="AY383" i="3"/>
  <c r="AY361" i="3"/>
  <c r="AY443" i="3"/>
  <c r="AY408" i="3"/>
  <c r="AY28" i="3"/>
  <c r="AY149" i="3"/>
  <c r="AY233" i="3"/>
  <c r="AY365" i="3"/>
  <c r="AY304" i="3"/>
  <c r="AY476" i="3"/>
  <c r="AY39" i="3"/>
  <c r="AY148" i="3"/>
  <c r="AY183" i="3"/>
  <c r="AY257" i="3"/>
  <c r="AY372" i="3"/>
  <c r="AY520" i="3"/>
  <c r="AY29" i="3"/>
  <c r="AY120" i="3"/>
  <c r="AY256" i="3"/>
  <c r="AY464" i="3"/>
  <c r="AY446" i="3"/>
  <c r="AY197" i="3"/>
  <c r="AY359" i="3"/>
  <c r="AY450" i="3"/>
  <c r="AY184" i="3"/>
  <c r="AY319" i="3"/>
  <c r="AY14" i="3"/>
  <c r="AY438" i="3"/>
  <c r="AY278" i="3"/>
  <c r="AY221" i="3"/>
  <c r="BH6" i="3"/>
  <c r="AY493" i="3"/>
  <c r="AY330" i="3"/>
  <c r="AY531" i="3"/>
  <c r="AY236" i="3"/>
  <c r="AY498" i="3"/>
  <c r="AY273" i="3"/>
  <c r="BD6" i="3"/>
  <c r="AY518" i="3"/>
  <c r="AY566" i="3"/>
  <c r="AY276" i="3"/>
  <c r="AY415" i="3"/>
  <c r="AY488" i="3"/>
  <c r="AY436" i="3"/>
  <c r="AY503" i="3"/>
  <c r="AY568" i="3"/>
  <c r="AY113" i="3"/>
  <c r="AY208" i="3"/>
  <c r="AY451" i="3"/>
  <c r="AY192" i="3"/>
  <c r="AY299" i="3"/>
  <c r="AY54" i="3"/>
  <c r="AY387" i="3"/>
  <c r="AY447" i="3"/>
  <c r="AY460" i="3"/>
  <c r="AY410" i="3"/>
  <c r="AY185" i="3"/>
  <c r="AY312" i="3"/>
  <c r="AY56" i="3"/>
  <c r="AY483" i="3"/>
  <c r="AY444" i="3"/>
  <c r="AY512" i="3"/>
  <c r="AY108" i="3"/>
  <c r="AY134" i="3"/>
  <c r="AY313" i="3"/>
  <c r="AY60" i="3"/>
  <c r="AY261" i="3"/>
  <c r="AY125" i="3"/>
  <c r="AY334" i="3"/>
  <c r="AY426" i="3"/>
  <c r="AY551" i="3"/>
  <c r="AY270" i="3"/>
  <c r="AY301" i="3"/>
  <c r="AY167" i="3"/>
  <c r="AY571" i="3"/>
  <c r="AY496" i="3"/>
  <c r="AY180" i="3"/>
  <c r="AY554" i="3"/>
  <c r="AY482" i="3"/>
  <c r="AY292" i="3"/>
  <c r="AY532" i="3"/>
  <c r="AY491" i="3"/>
  <c r="AY504" i="3"/>
  <c r="AY100" i="3"/>
  <c r="AY97" i="3"/>
  <c r="AY41" i="3"/>
  <c r="AY203" i="3"/>
  <c r="AY144" i="3"/>
  <c r="AY529" i="3"/>
  <c r="AY104" i="3"/>
  <c r="AY274" i="3"/>
  <c r="AY217" i="3"/>
  <c r="AY291" i="3"/>
  <c r="AY290" i="3"/>
  <c r="AY333" i="3"/>
  <c r="AY432" i="3"/>
  <c r="AY397" i="3"/>
  <c r="AY96" i="3"/>
  <c r="AY171" i="3"/>
  <c r="AY114" i="3"/>
  <c r="AY214" i="3"/>
  <c r="AY324" i="3"/>
  <c r="AY569" i="3"/>
  <c r="AY123" i="3"/>
  <c r="AY172" i="3"/>
  <c r="AY135" i="3"/>
  <c r="AY206" i="3"/>
  <c r="AY316" i="3"/>
  <c r="AY558" i="3"/>
  <c r="AY548" i="3"/>
  <c r="AY168" i="3"/>
  <c r="AY283" i="3"/>
  <c r="AY341" i="3"/>
  <c r="AY394" i="3"/>
  <c r="AY225" i="3"/>
  <c r="AY413" i="3"/>
  <c r="AY156" i="3"/>
  <c r="AY279" i="3"/>
  <c r="AY16" i="3"/>
  <c r="AY396" i="3"/>
  <c r="AY465" i="3"/>
  <c r="AY544" i="3"/>
  <c r="AY201" i="3"/>
  <c r="AY360" i="3"/>
  <c r="AY370" i="3"/>
  <c r="AY27" i="3"/>
  <c r="AY124" i="3"/>
  <c r="AY481" i="3"/>
  <c r="AY137" i="3"/>
  <c r="AY428" i="3"/>
  <c r="AY510" i="3"/>
  <c r="AY565" i="3"/>
  <c r="AY48" i="3"/>
  <c r="BP6" i="3"/>
  <c r="AY215" i="3"/>
  <c r="AY495" i="3"/>
  <c r="AY553" i="3"/>
  <c r="AY61" i="3"/>
  <c r="AY267" i="3"/>
  <c r="AY480" i="3"/>
  <c r="AY23" i="3"/>
  <c r="AY363" i="3"/>
  <c r="AY237" i="3"/>
  <c r="AY545" i="3"/>
  <c r="AY358" i="3"/>
  <c r="AY173" i="3"/>
  <c r="AY344" i="3"/>
  <c r="AY59" i="3"/>
  <c r="AY433" i="3"/>
  <c r="AY522" i="3"/>
  <c r="AY547" i="3"/>
  <c r="AY306" i="3"/>
  <c r="AY455" i="3"/>
  <c r="AY33" i="3"/>
  <c r="AY421" i="3"/>
  <c r="AY196" i="3"/>
  <c r="AY205" i="3"/>
  <c r="AY511" i="3"/>
  <c r="AY521" i="3"/>
  <c r="BJ6" i="3"/>
  <c r="BE6" i="3"/>
  <c r="AY18" i="3"/>
  <c r="AY564" i="3"/>
  <c r="C21" i="4"/>
  <c r="O5" i="54" s="1"/>
  <c r="B45" i="63" s="1"/>
  <c r="D10" i="11"/>
  <c r="D16" i="12"/>
  <c r="E6" i="6"/>
  <c r="D16" i="43"/>
  <c r="C16" i="43" s="1"/>
  <c r="L38" i="9"/>
  <c r="B14" i="66" s="1"/>
  <c r="B1" i="66" s="1"/>
  <c r="D45" i="9"/>
  <c r="D46" i="9"/>
  <c r="AB7" i="37"/>
  <c r="T42" i="37" s="1"/>
  <c r="G42" i="37" s="1"/>
  <c r="U7" i="37"/>
  <c r="S7" i="37"/>
  <c r="AA7" i="37"/>
  <c r="R42" i="37" s="1"/>
  <c r="E38" i="35"/>
  <c r="R39" i="35"/>
  <c r="C50" i="34"/>
  <c r="B3" i="34" s="1"/>
  <c r="B2" i="34" s="1"/>
  <c r="C49" i="34"/>
  <c r="F70" i="39"/>
  <c r="E72" i="39"/>
  <c r="AB7" i="33"/>
  <c r="T48" i="33" s="1"/>
  <c r="G48" i="33" s="1"/>
  <c r="U7" i="33"/>
  <c r="E54" i="34"/>
  <c r="F54" i="34" s="1"/>
  <c r="E53" i="34"/>
  <c r="F53" i="34" s="1"/>
  <c r="AC7" i="33"/>
  <c r="V48" i="33" s="1"/>
  <c r="I48" i="33" s="1"/>
  <c r="W7" i="33"/>
  <c r="G46" i="36"/>
  <c r="W7" i="37"/>
  <c r="AC7" i="37"/>
  <c r="V42" i="37" s="1"/>
  <c r="I42" i="37" s="1"/>
  <c r="AA7" i="33"/>
  <c r="R48" i="33" s="1"/>
  <c r="S7" i="33"/>
  <c r="F65" i="40"/>
  <c r="E67" i="40"/>
  <c r="B5" i="11"/>
  <c r="W33" i="21" l="1"/>
  <c r="AC33" i="21"/>
  <c r="AA33" i="21"/>
  <c r="S33" i="21"/>
  <c r="U33" i="21"/>
  <c r="AB33" i="21"/>
  <c r="C52" i="69"/>
  <c r="C47" i="69" s="1"/>
  <c r="C10" i="69"/>
  <c r="C5" i="69" s="1"/>
  <c r="C24" i="69"/>
  <c r="J24" i="69"/>
  <c r="J18" i="69"/>
  <c r="J26" i="69"/>
  <c r="J29" i="69" s="1"/>
  <c r="J26" i="15"/>
  <c r="J29" i="15" s="1"/>
  <c r="J24" i="15"/>
  <c r="C10" i="15"/>
  <c r="C5" i="15" s="1"/>
  <c r="C52" i="15"/>
  <c r="C47" i="15" s="1"/>
  <c r="C59" i="15" s="1"/>
  <c r="J28" i="44"/>
  <c r="J31" i="44" s="1"/>
  <c r="J20" i="44"/>
  <c r="J26" i="44"/>
  <c r="D5" i="59"/>
  <c r="M20" i="46" s="1"/>
  <c r="C19" i="46" s="1"/>
  <c r="C40" i="44"/>
  <c r="C34" i="44"/>
  <c r="F24" i="15"/>
  <c r="C24" i="15" s="1"/>
  <c r="F26" i="12"/>
  <c r="C27" i="12" s="1"/>
  <c r="D26" i="12" s="1"/>
  <c r="C32" i="12" s="1"/>
  <c r="D30" i="12" s="1"/>
  <c r="F21" i="43"/>
  <c r="C23" i="43" s="1"/>
  <c r="D21" i="43" s="1"/>
  <c r="F26" i="44"/>
  <c r="C26" i="44" s="1"/>
  <c r="K27" i="6"/>
  <c r="S6" i="1"/>
  <c r="M22" i="6"/>
  <c r="I22" i="6" s="1"/>
  <c r="S22" i="6" s="1"/>
  <c r="S9" i="1"/>
  <c r="M21" i="6"/>
  <c r="I21" i="6" s="1"/>
  <c r="S21" i="6" s="1"/>
  <c r="S8" i="1"/>
  <c r="M20" i="6"/>
  <c r="I20" i="6" s="1"/>
  <c r="S20" i="6" s="1"/>
  <c r="S7" i="1"/>
  <c r="P14" i="1"/>
  <c r="P16" i="1" s="1"/>
  <c r="C13" i="12" s="1"/>
  <c r="O16" i="1"/>
  <c r="C13" i="43"/>
  <c r="L16" i="1"/>
  <c r="B4" i="11"/>
  <c r="E6" i="3"/>
  <c r="I19" i="6"/>
  <c r="C7" i="66"/>
  <c r="C8" i="66"/>
  <c r="D19" i="12"/>
  <c r="C19" i="12" s="1"/>
  <c r="C16" i="12"/>
  <c r="C22" i="4"/>
  <c r="D19" i="6"/>
  <c r="D13" i="6"/>
  <c r="D23" i="6"/>
  <c r="D20" i="6"/>
  <c r="H23" i="6"/>
  <c r="E68" i="39"/>
  <c r="H20" i="6"/>
  <c r="D29" i="6"/>
  <c r="H26" i="6"/>
  <c r="K38" i="9"/>
  <c r="C14" i="66" s="1"/>
  <c r="B2" i="66" s="1"/>
  <c r="D11" i="6"/>
  <c r="D9" i="6"/>
  <c r="E63" i="40"/>
  <c r="D25" i="6"/>
  <c r="H24" i="6"/>
  <c r="D28" i="6"/>
  <c r="D30" i="6" s="1"/>
  <c r="D26" i="6"/>
  <c r="R26" i="6" s="1"/>
  <c r="H25" i="6"/>
  <c r="H19" i="6"/>
  <c r="F45" i="9"/>
  <c r="D22" i="6"/>
  <c r="D14" i="6"/>
  <c r="D21" i="6"/>
  <c r="D15" i="6"/>
  <c r="D12" i="6"/>
  <c r="D8" i="6"/>
  <c r="D10" i="6"/>
  <c r="E45" i="9"/>
  <c r="D5" i="6"/>
  <c r="D24" i="6"/>
  <c r="D6" i="6"/>
  <c r="E46" i="9"/>
  <c r="F46" i="9"/>
  <c r="D22" i="12"/>
  <c r="C22" i="12" s="1"/>
  <c r="C20" i="12" s="1"/>
  <c r="D13" i="11"/>
  <c r="C13" i="11" s="1"/>
  <c r="I46" i="37"/>
  <c r="J46" i="37" s="1"/>
  <c r="G46" i="37"/>
  <c r="H46" i="37" s="1"/>
  <c r="G47" i="37"/>
  <c r="H47" i="37" s="1"/>
  <c r="R49" i="33"/>
  <c r="E48" i="33"/>
  <c r="H46" i="36"/>
  <c r="C38" i="35"/>
  <c r="C39" i="35"/>
  <c r="B3" i="35" s="1"/>
  <c r="B2" i="35" s="1"/>
  <c r="F67" i="40"/>
  <c r="G65" i="40"/>
  <c r="I52" i="33"/>
  <c r="J52" i="33" s="1"/>
  <c r="E42" i="37"/>
  <c r="I47" i="37" s="1"/>
  <c r="J47" i="37" s="1"/>
  <c r="R43" i="37"/>
  <c r="G52" i="33"/>
  <c r="H52" i="33" s="1"/>
  <c r="G53" i="33"/>
  <c r="H53" i="33" s="1"/>
  <c r="E42" i="35"/>
  <c r="F42" i="35" s="1"/>
  <c r="E43" i="35"/>
  <c r="F43" i="35" s="1"/>
  <c r="I43" i="35"/>
  <c r="J43" i="35" s="1"/>
  <c r="G70" i="39"/>
  <c r="F72" i="39"/>
  <c r="C17" i="15"/>
  <c r="C17" i="69"/>
  <c r="L52" i="44"/>
  <c r="C60" i="69" l="1"/>
  <c r="C59" i="69"/>
  <c r="C65" i="69"/>
  <c r="C33" i="69"/>
  <c r="C32" i="69"/>
  <c r="C38" i="69"/>
  <c r="C65" i="15"/>
  <c r="Q69" i="44"/>
  <c r="L58" i="44"/>
  <c r="L61" i="44" s="1"/>
  <c r="C35" i="46"/>
  <c r="T14" i="46"/>
  <c r="V14" i="46" s="1"/>
  <c r="C39" i="46"/>
  <c r="T12" i="46"/>
  <c r="V12" i="46" s="1"/>
  <c r="C37" i="46"/>
  <c r="T8" i="46"/>
  <c r="V8" i="46" s="1"/>
  <c r="T13" i="46"/>
  <c r="V13" i="46" s="1"/>
  <c r="C34" i="46"/>
  <c r="T11" i="46"/>
  <c r="V11" i="46" s="1"/>
  <c r="T10" i="46"/>
  <c r="V10" i="46" s="1"/>
  <c r="T9" i="46"/>
  <c r="V9" i="46" s="1"/>
  <c r="C33" i="46"/>
  <c r="T16" i="46"/>
  <c r="V16" i="46" s="1"/>
  <c r="C36" i="46"/>
  <c r="T15" i="46"/>
  <c r="V15" i="46" s="1"/>
  <c r="C38" i="46"/>
  <c r="C29" i="46"/>
  <c r="T3" i="46"/>
  <c r="V3" i="46" s="1"/>
  <c r="T2" i="46"/>
  <c r="V2" i="46" s="1"/>
  <c r="T4" i="46"/>
  <c r="V4" i="46" s="1"/>
  <c r="T7" i="46"/>
  <c r="V7" i="46" s="1"/>
  <c r="T6" i="46"/>
  <c r="V6" i="46" s="1"/>
  <c r="T5" i="46"/>
  <c r="V5" i="46" s="1"/>
  <c r="Q67" i="44"/>
  <c r="Q49" i="44"/>
  <c r="Q55" i="44" s="1"/>
  <c r="Q58" i="44"/>
  <c r="C38" i="15"/>
  <c r="C32" i="15"/>
  <c r="M27" i="6"/>
  <c r="H22" i="6"/>
  <c r="R22" i="6" s="1"/>
  <c r="R9" i="1" s="1"/>
  <c r="H21" i="6"/>
  <c r="R21" i="6" s="1"/>
  <c r="R8" i="1" s="1"/>
  <c r="S16" i="1"/>
  <c r="T9" i="1" s="1"/>
  <c r="R25" i="6"/>
  <c r="D16" i="6"/>
  <c r="C17" i="43"/>
  <c r="C14" i="43"/>
  <c r="C17" i="12"/>
  <c r="C14" i="12"/>
  <c r="R20" i="6"/>
  <c r="R7" i="1" s="1"/>
  <c r="R23" i="6"/>
  <c r="A20" i="51"/>
  <c r="B15" i="63" s="1"/>
  <c r="N5" i="54"/>
  <c r="B43" i="63" s="1"/>
  <c r="A6" i="64"/>
  <c r="A6" i="51"/>
  <c r="B7" i="63" s="1"/>
  <c r="A20" i="64"/>
  <c r="R24" i="6"/>
  <c r="D27" i="6"/>
  <c r="D31" i="6" s="1"/>
  <c r="R19" i="6"/>
  <c r="D7" i="66"/>
  <c r="D8" i="66"/>
  <c r="I27" i="6"/>
  <c r="S19" i="6"/>
  <c r="S27" i="6" s="1"/>
  <c r="H65" i="40"/>
  <c r="G67" i="40"/>
  <c r="E52" i="33"/>
  <c r="F52" i="33" s="1"/>
  <c r="E53" i="33"/>
  <c r="F53" i="33" s="1"/>
  <c r="E46" i="37"/>
  <c r="F46" i="37" s="1"/>
  <c r="E47" i="37"/>
  <c r="F47" i="37" s="1"/>
  <c r="I46" i="36"/>
  <c r="I53" i="33"/>
  <c r="J53" i="33" s="1"/>
  <c r="C49" i="33"/>
  <c r="B3" i="33" s="1"/>
  <c r="B2" i="33" s="1"/>
  <c r="C48" i="33"/>
  <c r="H70" i="39"/>
  <c r="G72" i="39"/>
  <c r="C43" i="37"/>
  <c r="B3" i="37" s="1"/>
  <c r="B2" i="37" s="1"/>
  <c r="C42" i="37"/>
  <c r="M21" i="69"/>
  <c r="C14" i="69"/>
  <c r="M21" i="15"/>
  <c r="F35" i="15"/>
  <c r="F35" i="69"/>
  <c r="J20" i="15" l="1"/>
  <c r="F62" i="15"/>
  <c r="C61" i="15" s="1"/>
  <c r="C34" i="15"/>
  <c r="C34" i="69"/>
  <c r="F62" i="69"/>
  <c r="C61" i="69" s="1"/>
  <c r="J20" i="69"/>
  <c r="C15" i="69"/>
  <c r="C18" i="69"/>
  <c r="C58" i="69"/>
  <c r="C31" i="69"/>
  <c r="H27" i="6"/>
  <c r="E38" i="46"/>
  <c r="G38" i="46"/>
  <c r="I38" i="46" s="1"/>
  <c r="E36" i="46"/>
  <c r="G36" i="46"/>
  <c r="I36" i="46" s="1"/>
  <c r="E33" i="46"/>
  <c r="G33" i="46"/>
  <c r="I33" i="46" s="1"/>
  <c r="E34" i="46"/>
  <c r="G34" i="46"/>
  <c r="I34" i="46" s="1"/>
  <c r="Q68" i="44"/>
  <c r="Q77" i="44" s="1"/>
  <c r="Q59" i="44"/>
  <c r="Q64" i="44" s="1"/>
  <c r="C30" i="46"/>
  <c r="E30" i="46" s="1"/>
  <c r="E29" i="46"/>
  <c r="G37" i="46"/>
  <c r="I37" i="46" s="1"/>
  <c r="E37" i="46"/>
  <c r="G39" i="46"/>
  <c r="I39" i="46" s="1"/>
  <c r="E39" i="46"/>
  <c r="G35" i="46"/>
  <c r="I35" i="46" s="1"/>
  <c r="E35" i="46"/>
  <c r="T8" i="1"/>
  <c r="T6" i="1"/>
  <c r="T12" i="1"/>
  <c r="T13" i="1"/>
  <c r="T11" i="1"/>
  <c r="T10" i="1"/>
  <c r="T7" i="1"/>
  <c r="R27" i="6"/>
  <c r="R6" i="1"/>
  <c r="R16" i="1" s="1"/>
  <c r="C18" i="43"/>
  <c r="C19" i="43" s="1"/>
  <c r="C25" i="43" s="1"/>
  <c r="C24" i="43" s="1"/>
  <c r="C18" i="12"/>
  <c r="C23" i="12" s="1"/>
  <c r="I6" i="6"/>
  <c r="I5" i="6"/>
  <c r="H72" i="39"/>
  <c r="I70" i="39"/>
  <c r="I65" i="40"/>
  <c r="H67" i="40"/>
  <c r="J46" i="36"/>
  <c r="C16" i="44"/>
  <c r="C14" i="15"/>
  <c r="F7" i="67"/>
  <c r="C27" i="46" l="1"/>
  <c r="C13" i="39"/>
  <c r="F13" i="39" s="1"/>
  <c r="C11" i="21"/>
  <c r="C19" i="69"/>
  <c r="C20" i="69" s="1"/>
  <c r="C26" i="69" s="1"/>
  <c r="E4" i="67"/>
  <c r="J13" i="39"/>
  <c r="C26" i="46"/>
  <c r="T16" i="1"/>
  <c r="C20" i="44"/>
  <c r="C17" i="44"/>
  <c r="C15" i="15"/>
  <c r="C18" i="15"/>
  <c r="C22" i="43"/>
  <c r="C21" i="43" s="1"/>
  <c r="C28" i="43" s="1"/>
  <c r="C30" i="43" s="1"/>
  <c r="C32" i="43" s="1"/>
  <c r="B2" i="43" s="1"/>
  <c r="B4" i="43" s="1"/>
  <c r="J70" i="39"/>
  <c r="I72" i="39"/>
  <c r="I67" i="40"/>
  <c r="J65" i="40"/>
  <c r="K46" i="36"/>
  <c r="E7" i="67"/>
  <c r="H13" i="39" l="1"/>
  <c r="AB13" i="39" s="1"/>
  <c r="H11" i="21"/>
  <c r="F11" i="21"/>
  <c r="J11" i="21"/>
  <c r="C23" i="69"/>
  <c r="C29" i="69" s="1"/>
  <c r="E3" i="67"/>
  <c r="AA13" i="39"/>
  <c r="S13" i="39"/>
  <c r="U13" i="39"/>
  <c r="W13" i="39"/>
  <c r="AC13" i="39"/>
  <c r="B2" i="46"/>
  <c r="C21" i="44"/>
  <c r="C22" i="44" s="1"/>
  <c r="C25" i="44" s="1"/>
  <c r="C19" i="15"/>
  <c r="C20" i="15" s="1"/>
  <c r="C26" i="15" s="1"/>
  <c r="B3" i="43"/>
  <c r="B5" i="43"/>
  <c r="K65" i="40"/>
  <c r="J67" i="40"/>
  <c r="J72" i="39"/>
  <c r="K70" i="39"/>
  <c r="L46" i="36"/>
  <c r="B7" i="67"/>
  <c r="W11" i="21" l="1"/>
  <c r="AC11" i="21"/>
  <c r="V48" i="21" s="1"/>
  <c r="I48" i="21" s="1"/>
  <c r="I52" i="21" s="1"/>
  <c r="J52" i="21" s="1"/>
  <c r="U11" i="21"/>
  <c r="AB11" i="21"/>
  <c r="T48" i="21" s="1"/>
  <c r="G48" i="21" s="1"/>
  <c r="S11" i="21"/>
  <c r="AA11" i="21"/>
  <c r="R48" i="21" s="1"/>
  <c r="C56" i="69"/>
  <c r="C63" i="69" s="1"/>
  <c r="C36" i="69"/>
  <c r="J14" i="69"/>
  <c r="Q50" i="69"/>
  <c r="J19" i="69"/>
  <c r="J17" i="69" s="1"/>
  <c r="C13" i="69"/>
  <c r="B2" i="67"/>
  <c r="B4" i="46"/>
  <c r="D4" i="46"/>
  <c r="B3" i="46"/>
  <c r="C28" i="44"/>
  <c r="C31" i="44" s="1"/>
  <c r="C23" i="15"/>
  <c r="C29" i="15" s="1"/>
  <c r="J59" i="15" s="1"/>
  <c r="J60" i="15" s="1"/>
  <c r="K72" i="39"/>
  <c r="L70" i="39"/>
  <c r="L65" i="40"/>
  <c r="K67" i="40"/>
  <c r="M46" i="36"/>
  <c r="N46" i="36" s="1"/>
  <c r="O46" i="36" s="1"/>
  <c r="H7" i="36"/>
  <c r="E48" i="21" l="1"/>
  <c r="R49" i="21"/>
  <c r="G52" i="21"/>
  <c r="H52" i="21" s="1"/>
  <c r="G53" i="21"/>
  <c r="H53" i="21" s="1"/>
  <c r="J22" i="69"/>
  <c r="J13" i="69"/>
  <c r="J23" i="69" s="1"/>
  <c r="Q71" i="69"/>
  <c r="C37" i="69"/>
  <c r="C30" i="69" s="1"/>
  <c r="C39" i="69" s="1"/>
  <c r="C55" i="69"/>
  <c r="C64" i="69" s="1"/>
  <c r="C57" i="69" s="1"/>
  <c r="C66" i="69" s="1"/>
  <c r="C67" i="69" s="1"/>
  <c r="J35" i="69"/>
  <c r="J39" i="69" s="1"/>
  <c r="J40" i="69" s="1"/>
  <c r="B3" i="67"/>
  <c r="B4" i="67"/>
  <c r="J14" i="15"/>
  <c r="J13" i="15" s="1"/>
  <c r="J23" i="15" s="1"/>
  <c r="C33" i="15"/>
  <c r="C31" i="15" s="1"/>
  <c r="C56" i="15"/>
  <c r="C60" i="15" s="1"/>
  <c r="C58" i="15" s="1"/>
  <c r="Q50" i="15"/>
  <c r="J19" i="15"/>
  <c r="J17" i="15" s="1"/>
  <c r="C13" i="15"/>
  <c r="C37" i="15" s="1"/>
  <c r="C15" i="44"/>
  <c r="Q72" i="44" s="1"/>
  <c r="J21" i="44"/>
  <c r="J19" i="44" s="1"/>
  <c r="C36" i="15"/>
  <c r="C35" i="44"/>
  <c r="C33" i="44" s="1"/>
  <c r="J16" i="44"/>
  <c r="Q51" i="44"/>
  <c r="C38" i="44"/>
  <c r="Q49" i="15"/>
  <c r="F7" i="36"/>
  <c r="J7" i="36"/>
  <c r="U7" i="36"/>
  <c r="AB7" i="36"/>
  <c r="T36" i="36" s="1"/>
  <c r="G36" i="36" s="1"/>
  <c r="M70" i="39"/>
  <c r="L72" i="39"/>
  <c r="L67" i="40"/>
  <c r="M65" i="40"/>
  <c r="L51" i="69"/>
  <c r="I53" i="21" l="1"/>
  <c r="J53" i="21" s="1"/>
  <c r="E53" i="21"/>
  <c r="F53" i="21" s="1"/>
  <c r="E52" i="21"/>
  <c r="F52" i="21" s="1"/>
  <c r="C48" i="21"/>
  <c r="C49" i="21"/>
  <c r="B3" i="21" s="1"/>
  <c r="J16" i="69"/>
  <c r="J25" i="69" s="1"/>
  <c r="Q68" i="69"/>
  <c r="Q70" i="69"/>
  <c r="Q69" i="69" s="1"/>
  <c r="C40" i="69"/>
  <c r="C70" i="69"/>
  <c r="C46" i="69"/>
  <c r="C39" i="44"/>
  <c r="C32" i="44" s="1"/>
  <c r="C42" i="44" s="1"/>
  <c r="Q71" i="44" s="1"/>
  <c r="Q70" i="44" s="1"/>
  <c r="C63" i="15"/>
  <c r="J35" i="15"/>
  <c r="Q71" i="15"/>
  <c r="C30" i="15"/>
  <c r="C39" i="15" s="1"/>
  <c r="Q70" i="15" s="1"/>
  <c r="J22" i="15"/>
  <c r="J16" i="15" s="1"/>
  <c r="J25" i="15" s="1"/>
  <c r="C55" i="15"/>
  <c r="C64" i="15" s="1"/>
  <c r="C43" i="44"/>
  <c r="J24" i="44"/>
  <c r="J15" i="44"/>
  <c r="J25" i="44" s="1"/>
  <c r="M72" i="39"/>
  <c r="N70" i="39"/>
  <c r="N72" i="39" s="1"/>
  <c r="AA7" i="36"/>
  <c r="R36" i="36" s="1"/>
  <c r="S7" i="36"/>
  <c r="W7" i="36"/>
  <c r="AC7" i="36"/>
  <c r="V36" i="36" s="1"/>
  <c r="I36" i="36" s="1"/>
  <c r="M67" i="40"/>
  <c r="N65" i="40"/>
  <c r="N67" i="40" s="1"/>
  <c r="G41" i="36"/>
  <c r="H41" i="36" s="1"/>
  <c r="G40" i="36"/>
  <c r="H40" i="36" s="1"/>
  <c r="L51" i="15"/>
  <c r="B2" i="21" l="1"/>
  <c r="C10" i="12" s="1"/>
  <c r="C8" i="12"/>
  <c r="D10" i="12" s="1"/>
  <c r="Q66" i="69"/>
  <c r="Q76" i="69" s="1"/>
  <c r="Q48" i="69"/>
  <c r="Q54" i="69" s="1"/>
  <c r="B2" i="69"/>
  <c r="Q57" i="69"/>
  <c r="Q63" i="69" s="1"/>
  <c r="C43" i="69"/>
  <c r="J42" i="69"/>
  <c r="J43" i="69" s="1"/>
  <c r="C44" i="44"/>
  <c r="C45" i="44" s="1"/>
  <c r="B2" i="44" s="1"/>
  <c r="B3" i="44" s="1"/>
  <c r="C57" i="15"/>
  <c r="C66" i="15" s="1"/>
  <c r="C67" i="15" s="1"/>
  <c r="C70" i="15" s="1"/>
  <c r="Q69" i="15"/>
  <c r="J39" i="15"/>
  <c r="J40" i="15" s="1"/>
  <c r="L57" i="15"/>
  <c r="L60" i="15" s="1"/>
  <c r="Q68" i="15"/>
  <c r="C40" i="15"/>
  <c r="Q48" i="15" s="1"/>
  <c r="Q54" i="15" s="1"/>
  <c r="J18" i="44"/>
  <c r="J27" i="44" s="1"/>
  <c r="F9" i="39"/>
  <c r="J9" i="39"/>
  <c r="H9" i="39"/>
  <c r="E36" i="36"/>
  <c r="R37" i="36"/>
  <c r="I40" i="36"/>
  <c r="J40" i="36" s="1"/>
  <c r="I41" i="36"/>
  <c r="J41" i="36" s="1"/>
  <c r="J9" i="40"/>
  <c r="F9" i="40"/>
  <c r="H9" i="40"/>
  <c r="B3" i="69" l="1"/>
  <c r="F8" i="12" s="1"/>
  <c r="F10" i="12"/>
  <c r="Q58" i="15"/>
  <c r="L46" i="15"/>
  <c r="B4" i="44"/>
  <c r="B5" i="44"/>
  <c r="Q66" i="15"/>
  <c r="B2" i="15"/>
  <c r="C46" i="15"/>
  <c r="C43" i="15"/>
  <c r="Q57" i="15"/>
  <c r="Q63" i="15" s="1"/>
  <c r="J42" i="15"/>
  <c r="J43" i="15" s="1"/>
  <c r="Q67" i="15"/>
  <c r="AC9" i="39"/>
  <c r="V49" i="39" s="1"/>
  <c r="I49" i="39" s="1"/>
  <c r="W9" i="39"/>
  <c r="S9" i="40"/>
  <c r="AA9" i="40"/>
  <c r="R44" i="40" s="1"/>
  <c r="C37" i="36"/>
  <c r="B3" i="36" s="1"/>
  <c r="B2" i="36" s="1"/>
  <c r="C36" i="36"/>
  <c r="S9" i="39"/>
  <c r="AA9" i="39"/>
  <c r="R49" i="39" s="1"/>
  <c r="U9" i="40"/>
  <c r="AB9" i="40"/>
  <c r="T44" i="40" s="1"/>
  <c r="G44" i="40" s="1"/>
  <c r="AB9" i="39"/>
  <c r="T49" i="39" s="1"/>
  <c r="G49" i="39" s="1"/>
  <c r="U9" i="39"/>
  <c r="W9" i="40"/>
  <c r="AC9" i="40"/>
  <c r="V44" i="40" s="1"/>
  <c r="I44" i="40" s="1"/>
  <c r="E40" i="36"/>
  <c r="F40" i="36" s="1"/>
  <c r="E41" i="36"/>
  <c r="F41" i="36" s="1"/>
  <c r="B3" i="15" l="1"/>
  <c r="E8" i="12" s="1"/>
  <c r="E10" i="12"/>
  <c r="Q76" i="15"/>
  <c r="G49" i="40"/>
  <c r="H49" i="40" s="1"/>
  <c r="G48" i="40"/>
  <c r="H48" i="40" s="1"/>
  <c r="R50" i="39"/>
  <c r="E49" i="39"/>
  <c r="I54" i="39" s="1"/>
  <c r="J54" i="39" s="1"/>
  <c r="I53" i="39"/>
  <c r="J53" i="39" s="1"/>
  <c r="I48" i="40"/>
  <c r="J48" i="40" s="1"/>
  <c r="G54" i="39"/>
  <c r="H54" i="39" s="1"/>
  <c r="G53" i="39"/>
  <c r="H53" i="39" s="1"/>
  <c r="R45" i="40"/>
  <c r="E44" i="40"/>
  <c r="C6" i="12" l="1"/>
  <c r="C29" i="12" s="1"/>
  <c r="C44" i="40"/>
  <c r="C45" i="40"/>
  <c r="C50" i="39"/>
  <c r="C49" i="39"/>
  <c r="E48" i="40"/>
  <c r="F48" i="40" s="1"/>
  <c r="E49" i="40"/>
  <c r="F49" i="40" s="1"/>
  <c r="E53" i="39"/>
  <c r="F53" i="39" s="1"/>
  <c r="E54" i="39"/>
  <c r="F54" i="39" s="1"/>
  <c r="I49" i="40"/>
  <c r="J49" i="40" s="1"/>
  <c r="C24" i="12" l="1"/>
  <c r="C35" i="12" s="1"/>
  <c r="C33" i="12" s="1"/>
  <c r="B62" i="39"/>
  <c r="F62" i="39" s="1"/>
  <c r="B64" i="39"/>
  <c r="F64" i="39" s="1"/>
  <c r="B65" i="39"/>
  <c r="F65" i="39" s="1"/>
  <c r="B60" i="39"/>
  <c r="F60" i="39" s="1"/>
  <c r="B63" i="39"/>
  <c r="F63" i="39" s="1"/>
  <c r="B61" i="39"/>
  <c r="F61" i="39" s="1"/>
  <c r="B59" i="39"/>
  <c r="F59" i="39" s="1"/>
  <c r="B67" i="39"/>
  <c r="F67" i="39" s="1"/>
  <c r="B66" i="39"/>
  <c r="F66" i="39" s="1"/>
  <c r="B58" i="39"/>
  <c r="F58" i="39" s="1"/>
  <c r="B61" i="40"/>
  <c r="F61" i="40" s="1"/>
  <c r="B58" i="40"/>
  <c r="F58" i="40" s="1"/>
  <c r="B59" i="40"/>
  <c r="F59" i="40" s="1"/>
  <c r="B56" i="40"/>
  <c r="F56" i="40" s="1"/>
  <c r="B60" i="40"/>
  <c r="F60" i="40" s="1"/>
  <c r="B53" i="40"/>
  <c r="F53" i="40" s="1"/>
  <c r="B57" i="40"/>
  <c r="F57" i="40" s="1"/>
  <c r="F63" i="40"/>
  <c r="B2" i="40" s="1"/>
  <c r="B54" i="40"/>
  <c r="F54" i="40" s="1"/>
  <c r="B55" i="40"/>
  <c r="F55" i="40" s="1"/>
  <c r="B62" i="40"/>
  <c r="F62" i="40" s="1"/>
  <c r="C28" i="12" l="1"/>
  <c r="C26" i="12" s="1"/>
  <c r="C31" i="12" s="1"/>
  <c r="C30" i="12" s="1"/>
  <c r="C36" i="12" s="1"/>
  <c r="B2" i="12" s="1"/>
  <c r="B3" i="12" s="1"/>
  <c r="F68" i="39"/>
  <c r="B2" i="39" s="1"/>
  <c r="B3" i="40"/>
  <c r="B5" i="40"/>
  <c r="B4" i="40"/>
  <c r="D19" i="9"/>
  <c r="C19" i="9"/>
  <c r="D20" i="9"/>
  <c r="L44" i="9" l="1"/>
  <c r="B4" i="12"/>
  <c r="B5" i="12"/>
  <c r="L43" i="9"/>
  <c r="D22" i="9"/>
  <c r="G19" i="9"/>
  <c r="B4" i="39"/>
  <c r="B3" i="39"/>
  <c r="B5" i="39"/>
  <c r="C21" i="9"/>
  <c r="D21" i="9"/>
  <c r="C20" i="9"/>
  <c r="G20" i="9" l="1"/>
  <c r="G21" i="9"/>
  <c r="K20" i="9"/>
  <c r="C32" i="9"/>
  <c r="N43" i="9"/>
  <c r="G22" i="9"/>
  <c r="O43" i="9" l="1"/>
  <c r="O38" i="9"/>
  <c r="C34" i="9"/>
  <c r="C42" i="9"/>
  <c r="C33" i="9"/>
  <c r="C35" i="9"/>
  <c r="F42" i="9" s="1"/>
  <c r="N38" i="9" l="1"/>
  <c r="K28" i="9" s="1"/>
  <c r="D42" i="9"/>
  <c r="Q5" i="54" s="1"/>
  <c r="B47" i="63" s="1"/>
  <c r="E42" i="9"/>
  <c r="P5" i="54" s="1"/>
  <c r="B46" i="63" s="1"/>
  <c r="M38" i="9"/>
  <c r="K27" i="9" s="1"/>
  <c r="N68" i="9"/>
  <c r="R5" i="54"/>
  <c r="B48" i="63" s="1"/>
  <c r="D63" i="9"/>
  <c r="C44" i="9"/>
  <c r="D14" i="66"/>
  <c r="K25" i="9"/>
  <c r="K26" i="9"/>
  <c r="B5" i="66" l="1"/>
  <c r="E14" i="66"/>
  <c r="F14" i="66"/>
  <c r="O39" i="9"/>
  <c r="N69" i="9"/>
  <c r="F44" i="9"/>
  <c r="G14" i="66"/>
  <c r="B6" i="66" s="1"/>
  <c r="D44" i="9"/>
  <c r="E44" i="9"/>
  <c r="D70" i="9"/>
  <c r="C82" i="9"/>
  <c r="C81" i="9" s="1"/>
  <c r="C85" i="9" s="1"/>
  <c r="C86" i="9" s="1"/>
  <c r="D72" i="9" s="1"/>
  <c r="D71" i="9"/>
  <c r="D66" i="9" s="1"/>
  <c r="N72" i="9" s="1"/>
  <c r="C111" i="9"/>
  <c r="C104" i="9" s="1"/>
  <c r="C90" i="9"/>
  <c r="C96" i="9"/>
  <c r="C91" i="9" s="1"/>
  <c r="D77" i="9"/>
  <c r="N75" i="9" s="1"/>
  <c r="C103" i="9"/>
  <c r="C113" i="9" l="1"/>
  <c r="C97" i="9"/>
  <c r="K29" i="9"/>
  <c r="K30" i="9" s="1"/>
  <c r="R6" i="54"/>
  <c r="B50" i="63" s="1"/>
  <c r="C114" i="9"/>
  <c r="E114" i="9" s="1"/>
  <c r="E115" i="9" s="1"/>
  <c r="D6" i="66"/>
  <c r="C6" i="66"/>
  <c r="M85" i="9"/>
  <c r="N85" i="9" s="1"/>
  <c r="M83" i="9"/>
  <c r="N83" i="9" s="1"/>
  <c r="M87" i="9"/>
  <c r="N87" i="9" s="1"/>
  <c r="M84" i="9"/>
  <c r="N84" i="9" s="1"/>
  <c r="M86" i="9"/>
  <c r="N86" i="9" s="1"/>
  <c r="M88" i="9"/>
  <c r="N88" i="9" s="1"/>
  <c r="D5" i="66"/>
  <c r="C5" i="66"/>
  <c r="N89" i="9" l="1"/>
  <c r="O89" i="9" s="1"/>
  <c r="C115" i="9"/>
  <c r="D76" i="9" s="1"/>
  <c r="D74" i="9" s="1"/>
  <c r="N74" i="9" s="1"/>
  <c r="O77" i="9" s="1"/>
  <c r="C98" i="9"/>
  <c r="E98" i="9" s="1"/>
  <c r="E99" i="9" s="1"/>
  <c r="C99" i="9" l="1"/>
  <c r="O79" i="9"/>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<sst xmlns="http://schemas.openxmlformats.org/spreadsheetml/2006/main" count="7698" uniqueCount="3196">
  <si>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</si>
  <si>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</si>
  <si>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</si>
  <si>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</si>
  <si>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</si>
  <si>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</si>
  <si>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</si>
  <si>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</si>
  <si>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</si>
  <si>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</si>
  <si>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</si>
  <si>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</si>
  <si>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</si>
  <si>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</si>
  <si>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</si>
  <si>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</si>
  <si>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</si>
  <si>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</si>
  <si>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</si>
  <si>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</si>
  <si>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</si>
  <si>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</si>
  <si>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</si>
  <si>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</si>
  <si>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</si>
  <si>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</si>
  <si>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</si>
  <si>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</si>
  <si>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</si>
  <si>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</si>
  <si>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</si>
  <si>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</si>
  <si>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</si>
  <si>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</si>
  <si>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</si>
  <si>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</si>
  <si>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</si>
  <si>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</si>
  <si>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</si>
  <si>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</si>
  <si>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</si>
  <si>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</si>
  <si>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</si>
  <si>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</si>
  <si>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</si>
  <si>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</si>
  <si>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</si>
  <si>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</si>
  <si>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</si>
  <si>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</si>
  <si>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</si>
  <si>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</si>
  <si>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</si>
  <si>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</si>
  <si>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</si>
  <si>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</si>
  <si>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</si>
  <si>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</si>
  <si>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</si>
  <si>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</si>
  <si>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</si>
  <si>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</si>
  <si>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</si>
  <si>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</si>
  <si>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</si>
  <si>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</si>
  <si>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</si>
  <si>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</si>
  <si>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</si>
  <si>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</si>
  <si>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</si>
  <si>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</si>
  <si>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</si>
  <si>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</si>
  <si>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</si>
  <si>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</si>
  <si>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</si>
  <si>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</si>
  <si>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</si>
  <si>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</si>
  <si>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</si>
  <si>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</si>
  <si>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</si>
  <si>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</si>
  <si>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</si>
  <si>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</si>
  <si>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</si>
  <si>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</si>
  <si>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</si>
  <si>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</si>
  <si>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</si>
  <si>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</si>
  <si>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</si>
  <si>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</si>
  <si>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</si>
  <si>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</si>
  <si>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</si>
  <si>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</si>
  <si>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</si>
  <si>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</si>
  <si>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</si>
  <si>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</si>
  <si>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</si>
  <si>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</si>
  <si>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</si>
  <si>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</si>
  <si>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</si>
  <si>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</si>
  <si>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</si>
  <si>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</si>
  <si>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</si>
  <si>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</si>
  <si>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</si>
  <si>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</si>
  <si>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</si>
  <si>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</si>
  <si>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</si>
  <si>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</si>
  <si>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</si>
  <si>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</si>
  <si>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</si>
  <si>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</si>
  <si>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</si>
  <si>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</si>
  <si>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</si>
  <si>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</si>
  <si>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</si>
  <si>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</si>
  <si>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</si>
  <si>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</si>
  <si>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</si>
  <si>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</si>
  <si>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</si>
  <si>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</si>
  <si>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</si>
  <si>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</si>
  <si>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</si>
  <si>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</si>
  <si>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</si>
  <si>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</si>
  <si>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</si>
  <si>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</si>
  <si>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</si>
  <si>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</si>
  <si>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</si>
  <si>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</si>
  <si>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</si>
  <si>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</si>
  <si>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</si>
  <si>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</si>
  <si>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</si>
  <si>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</si>
  <si>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</si>
  <si>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</si>
  <si>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</si>
  <si>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</si>
  <si>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</si>
  <si>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</si>
  <si>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</si>
  <si>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</si>
  <si>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</si>
  <si>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</si>
  <si>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</si>
  <si>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</si>
  <si>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</si>
  <si>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</si>
  <si>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</si>
  <si>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</si>
  <si>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</si>
  <si>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</si>
  <si>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</si>
  <si>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</si>
  <si>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</si>
  <si>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</si>
  <si>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</si>
  <si>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</si>
  <si>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</si>
  <si>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</si>
  <si>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</si>
  <si>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</si>
  <si>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</si>
  <si>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</si>
  <si>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</si>
  <si>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</si>
  <si>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</si>
  <si>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</si>
  <si>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</si>
  <si>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</si>
  <si>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</si>
  <si>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</si>
  <si>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</si>
  <si>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</si>
  <si>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</si>
  <si>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</si>
  <si>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</si>
  <si>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</si>
  <si>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</si>
  <si>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</si>
  <si>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</si>
  <si>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</si>
  <si>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</si>
  <si>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</si>
  <si>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</si>
  <si>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</si>
  <si>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</si>
  <si>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</si>
  <si>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</si>
  <si>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</si>
  <si>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</si>
  <si>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</si>
  <si>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</si>
  <si>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</si>
  <si>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</si>
  <si>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</si>
  <si>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</si>
  <si>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</si>
  <si>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</si>
  <si>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</si>
  <si>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</si>
  <si>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</si>
  <si>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</si>
  <si>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</si>
  <si>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</si>
  <si>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</si>
  <si>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</si>
  <si>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</si>
  <si>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</si>
  <si>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</si>
  <si>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</si>
  <si>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</si>
  <si>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</si>
  <si>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</si>
  <si>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</si>
  <si>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</si>
  <si>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</si>
  <si>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</si>
  <si>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</si>
  <si>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</si>
  <si>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</si>
  <si>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</si>
  <si>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</si>
  <si>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</si>
  <si>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</si>
  <si>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</si>
  <si>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</si>
  <si>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</si>
  <si>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</si>
  <si>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</si>
  <si>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</si>
  <si>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</si>
  <si>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</si>
  <si>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</si>
  <si>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</si>
  <si>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</si>
  <si>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</si>
  <si>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</si>
  <si>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</si>
  <si>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</si>
  <si>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</si>
  <si>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</si>
  <si>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</si>
  <si>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</si>
  <si>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</si>
  <si>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</si>
  <si>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</si>
  <si>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</si>
  <si>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</si>
  <si>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</si>
  <si>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</si>
  <si>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</si>
  <si>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</si>
  <si>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</si>
  <si>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</si>
  <si>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</si>
  <si>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</si>
  <si>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</si>
  <si>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</si>
  <si>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</si>
  <si>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</si>
  <si>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</si>
  <si>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</si>
  <si>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</si>
  <si>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</si>
  <si>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</si>
  <si>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</si>
  <si>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</si>
  <si>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</si>
  <si>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</si>
  <si>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</si>
  <si>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</si>
  <si>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</si>
  <si>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</si>
  <si>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</si>
  <si>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</si>
  <si>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</si>
  <si>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</si>
  <si>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</si>
  <si>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</si>
  <si>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</si>
  <si>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</si>
  <si>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</si>
  <si>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</si>
  <si>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</si>
  <si>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</si>
  <si>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</si>
  <si>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</si>
  <si>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</si>
  <si>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</si>
  <si>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</si>
  <si>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</si>
  <si>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</si>
  <si>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</si>
  <si>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</si>
  <si>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</si>
  <si>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</si>
  <si>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</si>
  <si>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</si>
  <si>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</si>
  <si>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</si>
  <si>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</si>
  <si>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</si>
  <si>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</si>
  <si>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</si>
  <si>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</si>
  <si>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</si>
  <si>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</si>
  <si>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</si>
  <si>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</si>
  <si>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</si>
  <si>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</si>
  <si>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</si>
  <si>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</si>
  <si>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</si>
  <si>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</si>
  <si>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</si>
  <si>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</si>
  <si>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</si>
  <si>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</si>
  <si>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</si>
  <si>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</si>
  <si>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</si>
  <si>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</si>
  <si>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</si>
  <si>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</si>
  <si>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</si>
  <si>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</si>
  <si>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</si>
  <si>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</si>
  <si>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</si>
  <si>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</si>
  <si>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</si>
  <si>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</si>
  <si>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</si>
  <si>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</si>
  <si>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</si>
  <si>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</si>
  <si>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</si>
  <si>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</si>
  <si>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</si>
  <si>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</si>
  <si>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</si>
  <si>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</si>
  <si>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</si>
  <si>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</si>
  <si>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</si>
  <si>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</si>
  <si>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</si>
  <si>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</si>
  <si>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</si>
  <si>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</si>
  <si>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</si>
  <si>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</si>
  <si>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</si>
  <si>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</si>
  <si>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</si>
  <si>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</si>
  <si>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</si>
  <si>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</si>
  <si>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</si>
  <si>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</si>
  <si>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</si>
  <si>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</si>
  <si>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</si>
  <si>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</si>
  <si>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</si>
  <si>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</si>
  <si>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</si>
  <si>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</si>
  <si>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</si>
  <si>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</si>
  <si>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</si>
  <si>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</si>
  <si>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</si>
  <si>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</si>
  <si>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</si>
  <si>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</si>
  <si>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</si>
  <si>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</si>
  <si>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</si>
  <si>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</si>
  <si>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</si>
  <si>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</si>
  <si>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</si>
  <si>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</si>
  <si>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</si>
  <si>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</si>
  <si>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</si>
  <si>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</si>
  <si>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</si>
  <si>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</si>
  <si>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</si>
  <si>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</si>
  <si>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</si>
  <si>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</si>
  <si>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</si>
  <si>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</si>
  <si>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</si>
  <si>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</si>
  <si>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</si>
  <si>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</si>
  <si>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</si>
  <si>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</si>
  <si>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</si>
  <si>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</si>
  <si>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</si>
  <si>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</si>
  <si>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</si>
  <si>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</si>
  <si>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</si>
  <si>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</si>
  <si>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</si>
  <si>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</si>
  <si>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</si>
  <si>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</si>
  <si>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</si>
  <si>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</si>
  <si>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</si>
  <si>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</si>
  <si>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</si>
  <si>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</si>
  <si>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</si>
  <si>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</si>
  <si>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</si>
  <si>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</si>
  <si>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</si>
  <si>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</si>
  <si>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</si>
  <si>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</si>
  <si>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</si>
  <si>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</si>
  <si>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</si>
  <si>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</si>
  <si>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</si>
  <si>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</si>
  <si>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</si>
  <si>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</si>
  <si>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</si>
  <si>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</si>
  <si>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</si>
  <si>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</si>
  <si>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</si>
  <si>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</si>
  <si>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</si>
  <si>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</si>
  <si>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</si>
  <si>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</si>
  <si>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</si>
  <si>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</si>
  <si>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</si>
  <si>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</si>
  <si>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</si>
  <si>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</si>
  <si>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</si>
  <si>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</si>
  <si>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</si>
  <si>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</si>
  <si>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</si>
  <si>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</si>
  <si>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</si>
  <si>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</si>
  <si>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</si>
  <si>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</si>
  <si>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</si>
  <si>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</si>
  <si>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</si>
  <si>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</si>
  <si>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</si>
  <si>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</si>
  <si>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</si>
  <si>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</si>
  <si>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</si>
  <si>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</si>
  <si>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</si>
  <si>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</si>
  <si>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</si>
  <si>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</si>
  <si>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</si>
  <si>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</si>
  <si>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</si>
  <si>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</si>
  <si>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</si>
  <si>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</si>
  <si>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</si>
  <si>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</si>
  <si>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</si>
  <si>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</si>
  <si>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</si>
  <si>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</si>
  <si>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</si>
  <si>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</si>
  <si>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</si>
  <si>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</si>
  <si>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</si>
  <si>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</si>
  <si>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</si>
  <si>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</si>
  <si>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</si>
  <si>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</si>
  <si>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</si>
  <si>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</si>
  <si>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</si>
  <si>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</si>
  <si>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</si>
  <si>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</si>
  <si>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</si>
  <si>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</si>
  <si>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</si>
  <si>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</si>
  <si>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</si>
  <si>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</si>
  <si>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</si>
  <si>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</si>
  <si>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</si>
  <si>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</si>
  <si>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</si>
  <si>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</si>
  <si>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</si>
  <si>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</si>
  <si>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</si>
  <si>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</si>
  <si>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</si>
  <si>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</si>
  <si>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</si>
  <si>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</si>
  <si>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</si>
  <si>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</si>
  <si>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</si>
  <si>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</si>
  <si>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</si>
  <si>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</si>
  <si>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</si>
  <si>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</si>
  <si>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</si>
  <si>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</si>
  <si>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</si>
  <si>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</si>
  <si>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</si>
  <si>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</si>
  <si>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</si>
  <si>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</si>
  <si>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</si>
  <si>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</si>
  <si>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</si>
  <si>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</si>
  <si>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</si>
  <si>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</si>
  <si>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</si>
  <si>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</si>
  <si>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</si>
  <si>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</si>
  <si>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</si>
  <si>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</si>
  <si>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</si>
  <si>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</si>
  <si>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</si>
  <si>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</si>
  <si>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</si>
  <si>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</si>
  <si>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</si>
  <si>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</si>
  <si>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</si>
  <si>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</si>
  <si>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</si>
  <si>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</si>
  <si>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</si>
  <si>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</si>
  <si>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</si>
  <si>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</si>
  <si>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</si>
  <si>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</si>
  <si>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</si>
  <si>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</si>
  <si>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</si>
  <si>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</si>
  <si>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</si>
  <si>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</si>
  <si>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</si>
  <si>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</si>
  <si>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</si>
  <si>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</si>
  <si>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</si>
  <si>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</si>
  <si>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</si>
  <si>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</si>
  <si>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</si>
  <si>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</si>
  <si>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</si>
  <si>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</si>
  <si>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</si>
  <si>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</si>
  <si>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</si>
  <si>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</si>
  <si>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</si>
  <si>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</si>
  <si>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</si>
  <si>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</si>
  <si>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</si>
  <si>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</si>
  <si>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</si>
  <si>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</si>
  <si>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</si>
  <si>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</si>
  <si>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</si>
  <si>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</si>
  <si>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</si>
  <si>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</si>
  <si>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</si>
  <si>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</si>
  <si>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</si>
  <si>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</si>
  <si>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</si>
  <si>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</si>
  <si>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</si>
  <si>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</si>
  <si>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</si>
  <si>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</si>
  <si>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</si>
  <si>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</si>
  <si>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</si>
  <si>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</si>
  <si>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</si>
  <si>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</si>
  <si>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</si>
  <si>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</si>
  <si>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</si>
  <si>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</si>
  <si>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</si>
  <si>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</si>
  <si>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</si>
  <si>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</si>
  <si>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</si>
  <si>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</si>
  <si>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</si>
  <si>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</si>
  <si>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</si>
  <si>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</si>
  <si>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</si>
  <si>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</si>
  <si>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</si>
  <si>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</si>
  <si>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</si>
  <si>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</si>
  <si>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</si>
  <si>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</si>
  <si>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</si>
  <si>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</si>
  <si>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</si>
  <si>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</si>
  <si>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</si>
  <si>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</si>
  <si>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</si>
  <si>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</si>
  <si>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</si>
  <si>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</si>
  <si>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</si>
  <si>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</si>
  <si>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</si>
  <si>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</si>
  <si>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</si>
  <si>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</si>
  <si>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</si>
  <si>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</si>
  <si>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</si>
  <si>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</si>
  <si>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</si>
  <si>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</si>
  <si>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</si>
  <si>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</si>
  <si>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</si>
  <si>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</si>
  <si>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</si>
  <si>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</si>
  <si>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</si>
  <si>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</si>
  <si>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</si>
  <si>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</si>
  <si>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</si>
  <si>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</si>
  <si>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</si>
  <si>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</si>
  <si>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</si>
  <si>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</si>
  <si>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</si>
  <si>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</si>
  <si>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</si>
  <si>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</si>
  <si>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</si>
  <si>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</si>
  <si>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</si>
  <si>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</si>
  <si>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</si>
  <si>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</si>
  <si>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</si>
  <si>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</si>
  <si>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</si>
  <si>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</si>
  <si>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</si>
  <si>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</si>
  <si>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</si>
  <si>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</si>
  <si>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</si>
  <si>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</si>
  <si>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</si>
  <si>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</si>
  <si>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</si>
  <si>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</si>
  <si>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</si>
  <si>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</si>
  <si>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</si>
  <si>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</si>
  <si>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</si>
  <si>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</si>
  <si>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</si>
  <si>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</si>
  <si>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</si>
  <si>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</si>
  <si>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</si>
  <si>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</si>
  <si>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</si>
  <si>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</si>
  <si>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</si>
  <si>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</si>
  <si>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</si>
  <si>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</si>
  <si>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</si>
  <si>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</si>
  <si>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</si>
  <si>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</si>
  <si>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</si>
  <si>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</si>
  <si>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</si>
  <si>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</si>
  <si>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</si>
  <si>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</si>
  <si>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</si>
  <si>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</si>
  <si>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</si>
  <si>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</si>
  <si>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</si>
  <si>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</si>
  <si>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</si>
  <si>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</si>
  <si>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</si>
  <si>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</si>
  <si>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</si>
  <si>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</si>
  <si>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</si>
  <si>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</si>
  <si>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</si>
  <si>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</si>
  <si>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</si>
  <si>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</si>
  <si>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</si>
  <si>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</si>
  <si>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</si>
  <si>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</si>
  <si>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</si>
  <si>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</si>
  <si>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</si>
  <si>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</si>
  <si>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</si>
  <si>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</si>
  <si>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</si>
  <si>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</si>
  <si>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</si>
  <si>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</si>
  <si>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</si>
  <si>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</si>
  <si>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</si>
  <si>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</si>
  <si>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</si>
  <si>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</si>
  <si>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</si>
  <si>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</si>
  <si>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</si>
  <si>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</si>
  <si>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</si>
  <si>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</si>
  <si>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</si>
  <si>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</si>
  <si>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</si>
  <si>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</si>
  <si>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</si>
  <si>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</si>
  <si>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</si>
  <si>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</si>
  <si>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</si>
  <si>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</si>
  <si>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</si>
  <si>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</si>
  <si>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</si>
  <si>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</si>
  <si>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</si>
  <si>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</si>
  <si>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</si>
  <si>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</si>
  <si>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</si>
  <si>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</si>
  <si>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</si>
  <si>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</si>
  <si>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</si>
  <si>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</si>
  <si>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</si>
  <si>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</si>
  <si>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</si>
  <si>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</si>
  <si>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</si>
  <si>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</si>
  <si>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</si>
  <si>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</si>
  <si>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</si>
  <si>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</si>
  <si>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</si>
  <si>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</si>
  <si>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</si>
  <si>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</si>
  <si>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</si>
  <si>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</si>
  <si>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</si>
  <si>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</si>
  <si>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</si>
  <si>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</si>
  <si>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</si>
  <si>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</si>
  <si>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</si>
  <si>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</si>
  <si>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</si>
  <si>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</si>
  <si>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</si>
  <si>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</si>
  <si>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</si>
  <si>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</si>
  <si>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</si>
  <si>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</si>
  <si>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</si>
  <si>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</si>
  <si>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</si>
  <si>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</si>
  <si>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</si>
  <si>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</si>
  <si>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</si>
  <si>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</si>
  <si>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</si>
  <si>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</si>
  <si>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</si>
  <si>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</si>
  <si>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</si>
  <si>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</si>
  <si>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</si>
  <si>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</si>
  <si>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</si>
  <si>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</si>
  <si>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</si>
  <si>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</si>
  <si>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</si>
  <si>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</si>
  <si>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</si>
  <si>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</si>
  <si>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</si>
  <si>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</si>
  <si>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</si>
  <si>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</si>
  <si>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</si>
  <si>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</si>
  <si>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</si>
  <si>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</si>
  <si>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</si>
  <si>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</si>
  <si>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</si>
  <si>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</si>
  <si>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</si>
  <si>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</si>
  <si>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</si>
  <si>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</si>
  <si>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</si>
  <si>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</si>
  <si>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</si>
  <si>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</si>
  <si>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</si>
  <si>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</si>
  <si>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</si>
  <si>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</si>
  <si>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</si>
  <si>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</si>
  <si>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</si>
  <si>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</si>
  <si>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</si>
  <si>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</si>
  <si>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</si>
  <si>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</si>
  <si>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</si>
  <si>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</si>
  <si>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</si>
  <si>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</si>
  <si>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</si>
  <si>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</si>
  <si>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</si>
  <si>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</si>
  <si>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</si>
  <si>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</si>
  <si>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</si>
  <si>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</si>
  <si>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</si>
  <si>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</si>
  <si>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</si>
  <si>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</si>
  <si>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</si>
  <si>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</si>
  <si>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</si>
  <si>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</si>
  <si>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</si>
  <si>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</si>
  <si>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</si>
  <si>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</si>
  <si>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</si>
  <si>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</si>
  <si>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</si>
  <si>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</si>
  <si>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</si>
  <si>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</si>
  <si>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</si>
  <si>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</si>
  <si>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</si>
  <si>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</si>
  <si>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</si>
  <si>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</si>
  <si>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</si>
  <si>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</si>
  <si>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</si>
  <si>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</si>
  <si>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</si>
  <si>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</si>
  <si>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</si>
  <si>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</si>
  <si>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</si>
  <si>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</si>
  <si>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</si>
  <si>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</si>
  <si>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</si>
  <si>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</si>
  <si>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</si>
  <si>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</si>
  <si>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</si>
  <si>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</si>
  <si>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</si>
  <si>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</si>
  <si>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</si>
  <si>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</si>
  <si>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</si>
  <si>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</si>
  <si>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</si>
  <si>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</si>
  <si>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</si>
  <si>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</si>
  <si>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</si>
  <si>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</si>
  <si>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</si>
  <si>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</si>
  <si>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</si>
  <si>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</si>
  <si>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</si>
  <si>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</si>
  <si>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</si>
  <si>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</si>
  <si>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</si>
  <si>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</si>
  <si>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</si>
  <si>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</si>
  <si>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</si>
  <si>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</si>
  <si>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</si>
  <si>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</si>
  <si>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</si>
  <si>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</si>
  <si>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</si>
  <si>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</si>
  <si>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</si>
  <si>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</si>
  <si>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</si>
  <si>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</si>
  <si>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</si>
  <si>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</si>
  <si>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</si>
  <si>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</si>
  <si>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</si>
  <si>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</si>
  <si>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</si>
  <si>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</si>
  <si>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</si>
  <si>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</si>
  <si>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</si>
  <si>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</si>
  <si>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</si>
  <si>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</si>
  <si>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</si>
  <si>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</si>
  <si>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</si>
  <si>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</si>
  <si>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</si>
  <si>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</si>
  <si>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</si>
  <si>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</si>
  <si>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</si>
  <si>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</si>
  <si>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</si>
  <si>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</si>
  <si>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</si>
  <si>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</si>
  <si>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</si>
  <si>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</si>
  <si>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</si>
  <si>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</si>
  <si>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</si>
  <si>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</si>
  <si>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</si>
  <si>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</si>
  <si>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</si>
  <si>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</si>
  <si>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</si>
  <si>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</si>
  <si>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</si>
  <si>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</si>
  <si>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</si>
  <si>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</si>
  <si>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</si>
  <si>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</si>
  <si>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</si>
  <si>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</si>
  <si>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</si>
  <si>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</si>
  <si>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</si>
  <si>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</si>
  <si>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</si>
  <si>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</si>
  <si>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</si>
  <si>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</si>
  <si>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</si>
  <si>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</si>
  <si>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</si>
  <si>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</si>
  <si>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</si>
  <si>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</si>
  <si>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</si>
  <si>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</si>
  <si>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</si>
  <si>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</si>
  <si>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</si>
  <si>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</si>
  <si>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</si>
  <si>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</si>
  <si>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</si>
  <si>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</si>
  <si>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</si>
  <si>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</si>
  <si>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</si>
  <si>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</si>
  <si>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</si>
  <si>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</si>
  <si>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</si>
  <si>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</si>
  <si>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</si>
  <si>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</si>
  <si>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</si>
  <si>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</si>
  <si>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</si>
  <si>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</si>
  <si>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</si>
  <si>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</si>
  <si>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</si>
  <si>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</si>
  <si>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</si>
  <si>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</si>
  <si>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</si>
  <si>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</si>
  <si>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</si>
  <si>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</si>
  <si>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</si>
  <si>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</si>
  <si>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</si>
  <si>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</si>
  <si>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</si>
  <si>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</si>
  <si>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</si>
  <si>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</si>
  <si>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</si>
  <si>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</si>
  <si>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</si>
  <si>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</si>
  <si>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</si>
  <si>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</si>
  <si>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</si>
  <si>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</si>
  <si>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</si>
  <si>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</si>
  <si>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</si>
  <si>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</si>
  <si>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</si>
  <si>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</si>
  <si>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</si>
  <si>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</si>
  <si>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</si>
  <si>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</si>
  <si>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</si>
  <si>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</si>
  <si>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</si>
  <si>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</si>
  <si>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</si>
  <si>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</si>
  <si>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</si>
  <si>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</si>
  <si>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</si>
  <si>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</si>
  <si>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</si>
  <si>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</si>
  <si>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</si>
  <si>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</si>
  <si>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</si>
  <si>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</si>
  <si>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</si>
  <si>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</si>
  <si>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</si>
  <si>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</si>
  <si>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</si>
  <si>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</si>
  <si>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</si>
  <si>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</si>
  <si>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</si>
  <si>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</si>
  <si>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</si>
  <si>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</si>
  <si>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</si>
  <si>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</si>
  <si>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</si>
  <si>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</si>
  <si>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</si>
  <si>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</si>
  <si>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</si>
  <si>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</si>
  <si>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</si>
  <si>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</si>
  <si>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</si>
  <si>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</si>
  <si>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</si>
  <si>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</si>
  <si>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</si>
  <si>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</si>
  <si>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</si>
  <si>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</si>
  <si>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</si>
  <si>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</si>
  <si>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</si>
  <si>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</si>
  <si>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</si>
  <si>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</si>
  <si>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</si>
  <si>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</si>
  <si>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</si>
  <si>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</si>
  <si>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</si>
  <si>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</si>
  <si>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</si>
  <si>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</si>
  <si>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</si>
  <si>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</si>
  <si>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</si>
  <si>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</si>
  <si>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</si>
  <si>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</si>
  <si>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</si>
  <si>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</si>
  <si>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</si>
  <si>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</si>
  <si>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</si>
  <si>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</si>
  <si>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</si>
  <si>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</si>
  <si>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</si>
  <si>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</si>
  <si>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</si>
  <si>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</si>
  <si>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</si>
  <si>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</si>
  <si>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</si>
  <si>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</si>
  <si>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</si>
  <si>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</si>
  <si>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</si>
  <si>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</si>
  <si>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</si>
  <si>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</si>
  <si>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</si>
  <si>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</si>
  <si>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</si>
  <si>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</si>
  <si>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</si>
  <si>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</si>
  <si>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</si>
  <si>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</si>
  <si>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</si>
  <si>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</si>
  <si>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</si>
  <si>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</si>
  <si>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</si>
  <si>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</si>
  <si>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</si>
  <si>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</si>
  <si>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</si>
  <si>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</si>
  <si>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</si>
  <si>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</si>
  <si>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</si>
  <si>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</si>
  <si>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</si>
  <si>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</si>
  <si>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</si>
  <si>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</si>
  <si>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</si>
  <si>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</si>
  <si>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</si>
  <si>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</si>
  <si>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</si>
  <si>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</si>
  <si>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</si>
  <si>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</si>
  <si>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</si>
  <si>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</si>
  <si>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</si>
  <si>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</si>
  <si>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</si>
  <si>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</si>
  <si>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</si>
  <si>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</si>
  <si>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</si>
  <si>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</si>
  <si>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</si>
  <si>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</si>
  <si>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</si>
  <si>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</si>
  <si>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</si>
  <si>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</si>
  <si>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</si>
  <si>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</si>
  <si>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</si>
  <si>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</si>
  <si>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</si>
  <si>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</si>
  <si>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</si>
  <si>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</si>
  <si>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</si>
  <si>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</si>
  <si>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</si>
  <si>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</si>
  <si>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</si>
  <si>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</si>
  <si>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</si>
  <si>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</si>
  <si>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</si>
  <si>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</si>
  <si>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</si>
  <si>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</si>
  <si>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</si>
  <si>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</si>
  <si>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</si>
  <si>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</si>
  <si>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</si>
  <si>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</si>
  <si>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</si>
  <si>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</si>
  <si>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</si>
  <si>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</si>
  <si>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</si>
  <si>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</si>
  <si>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</si>
  <si>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</si>
  <si>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</si>
  <si>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</si>
  <si>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</si>
  <si>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</si>
  <si>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</si>
  <si>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</si>
  <si>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</si>
  <si>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</si>
  <si>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</si>
  <si>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</si>
  <si>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</si>
  <si>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</si>
  <si>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</si>
  <si>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</si>
  <si>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</si>
  <si>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</si>
  <si>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</si>
  <si>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</si>
  <si>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</si>
  <si>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</si>
  <si>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</si>
  <si>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</si>
  <si>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</si>
  <si>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</si>
  <si>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</si>
  <si>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</si>
  <si>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</si>
  <si>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</si>
  <si>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</si>
  <si>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</si>
  <si>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</si>
  <si>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</si>
  <si>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</si>
  <si>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</si>
  <si>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</si>
  <si>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</si>
  <si>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</si>
  <si>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</si>
  <si>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</si>
  <si>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</si>
  <si>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</si>
  <si>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</si>
  <si>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</si>
  <si>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</si>
  <si>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</si>
  <si>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</si>
  <si>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</si>
  <si>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</si>
  <si>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</si>
  <si>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</si>
  <si>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</si>
  <si>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</si>
  <si>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</si>
  <si>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</si>
  <si>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</si>
  <si>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</si>
  <si>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</si>
  <si>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</si>
  <si>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</si>
  <si>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</si>
  <si>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</si>
  <si>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</si>
  <si>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</si>
  <si>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</si>
  <si>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</si>
  <si>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</si>
  <si>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</si>
  <si>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</si>
  <si>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</si>
  <si>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</si>
  <si>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</si>
  <si>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</si>
  <si>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</si>
  <si>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</si>
  <si>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</si>
  <si>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</si>
  <si>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</si>
  <si>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</si>
  <si>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</si>
  <si>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</si>
  <si>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</si>
  <si>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</si>
  <si>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</si>
  <si>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</si>
  <si>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</si>
  <si>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</si>
  <si>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</si>
  <si>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</si>
  <si>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</si>
  <si>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</si>
  <si>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</si>
  <si>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</si>
  <si>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</si>
  <si>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</si>
  <si>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</si>
  <si>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</si>
  <si>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</si>
  <si>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</si>
  <si>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</si>
  <si>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</si>
  <si>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</si>
  <si>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</si>
  <si>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</si>
  <si>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</si>
  <si>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</si>
  <si>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</si>
  <si>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</si>
  <si>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</si>
  <si>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</si>
  <si>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</si>
  <si>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</si>
  <si>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</si>
  <si>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</si>
  <si>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</si>
  <si>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</si>
  <si>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</si>
  <si>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</si>
  <si>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</si>
  <si>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</si>
  <si>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</si>
  <si>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</si>
  <si>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</si>
  <si>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</si>
  <si>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</si>
  <si>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</si>
  <si>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</si>
  <si>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</si>
  <si>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</si>
  <si>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</si>
  <si>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</si>
  <si>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</si>
  <si>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</si>
  <si>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</si>
  <si>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</si>
  <si>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</si>
  <si>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</si>
  <si>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</si>
  <si>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</si>
  <si>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</si>
  <si>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</si>
  <si>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</si>
  <si>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</si>
  <si>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</si>
  <si>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</si>
  <si>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</si>
  <si>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</si>
  <si>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</si>
  <si>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</si>
  <si>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</si>
  <si>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</si>
  <si>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</si>
  <si>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</si>
  <si>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</si>
  <si>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</si>
  <si>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</si>
  <si>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</si>
  <si>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</si>
  <si>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</si>
  <si>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</si>
  <si>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</si>
  <si>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</si>
  <si>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</si>
  <si>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</si>
  <si>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</si>
  <si>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</si>
  <si>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</si>
  <si>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</si>
  <si>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</si>
  <si>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</si>
  <si>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</si>
  <si>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</si>
  <si>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</si>
  <si>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</si>
  <si>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</si>
  <si>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</si>
  <si>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</si>
  <si>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</si>
  <si>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</si>
  <si>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</si>
  <si>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</si>
  <si>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</si>
  <si>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</si>
  <si>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</si>
  <si>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</si>
  <si>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</si>
  <si>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</si>
  <si>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</si>
  <si>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</si>
  <si>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</si>
  <si>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</si>
  <si>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</si>
  <si>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</si>
  <si>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</si>
  <si>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</si>
  <si>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</si>
  <si>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</si>
  <si>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</si>
  <si>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</si>
  <si>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</si>
  <si>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</si>
  <si>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</si>
  <si>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</si>
  <si>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</si>
  <si>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</si>
  <si>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</si>
  <si>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</si>
  <si>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</si>
  <si>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</si>
  <si>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</si>
  <si>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</si>
  <si>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</si>
  <si>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</si>
  <si>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</si>
  <si>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</si>
  <si>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</si>
  <si>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</si>
  <si>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</si>
  <si>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</si>
  <si>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</si>
  <si>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</si>
  <si>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</si>
  <si>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</si>
  <si>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</si>
  <si>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</si>
  <si>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</si>
  <si>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</si>
  <si>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</si>
  <si>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</si>
  <si>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</si>
  <si>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</si>
  <si>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</si>
  <si>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</si>
  <si>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</si>
  <si>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</si>
  <si>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</si>
  <si>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</si>
  <si>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</si>
  <si>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</si>
  <si>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</si>
  <si>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</si>
  <si>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</si>
  <si>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</si>
  <si>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</si>
  <si>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</si>
  <si>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</si>
  <si>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</si>
  <si>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</si>
  <si>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</si>
  <si>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</si>
  <si>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</si>
  <si>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</si>
  <si>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</si>
  <si>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</si>
  <si>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</si>
  <si>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</si>
  <si>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</si>
  <si>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</si>
  <si>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</si>
  <si>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</si>
  <si>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</si>
  <si>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</si>
  <si>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</si>
  <si>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</si>
  <si>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</si>
  <si>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</si>
  <si>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</si>
  <si>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</si>
  <si>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</si>
  <si>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</si>
  <si>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</si>
  <si>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</si>
  <si>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</si>
  <si>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</si>
  <si>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</si>
  <si>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</si>
  <si>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</si>
  <si>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</si>
  <si>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</si>
  <si>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</si>
  <si>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</si>
  <si>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</si>
  <si>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</si>
  <si>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</si>
  <si>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</si>
  <si>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</si>
  <si>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</si>
  <si>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</si>
  <si>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</si>
  <si>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</si>
  <si>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</si>
  <si>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</si>
  <si>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</si>
  <si>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</si>
  <si>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</si>
  <si>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</si>
  <si>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</si>
  <si>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</si>
  <si>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</si>
  <si>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</si>
  <si>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</si>
  <si>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</si>
  <si>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</si>
  <si>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</si>
  <si>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</si>
  <si>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</si>
  <si>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</si>
  <si>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</si>
  <si>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</si>
  <si>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</si>
  <si>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</si>
  <si>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</si>
  <si>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</si>
  <si>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</si>
  <si>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</si>
  <si>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</si>
  <si>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</si>
  <si>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</si>
  <si>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</si>
  <si>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</si>
  <si>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</si>
  <si>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</si>
  <si>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</si>
  <si>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</si>
  <si>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</si>
  <si>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</si>
  <si>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</si>
  <si>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</si>
  <si>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</si>
  <si>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</si>
  <si>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</si>
  <si>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</si>
  <si>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</si>
  <si>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</si>
  <si>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</si>
  <si>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</si>
  <si>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</si>
  <si>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</si>
  <si>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</si>
  <si>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</si>
  <si>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</si>
  <si>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</si>
  <si>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</si>
  <si>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</si>
  <si>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</si>
  <si>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</si>
  <si>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</si>
  <si>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</si>
  <si>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</si>
  <si>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</si>
  <si>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</si>
  <si>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</si>
  <si>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</si>
  <si>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</si>
  <si>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</si>
  <si>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</si>
  <si>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</si>
  <si>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</si>
  <si>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</si>
  <si>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</si>
  <si>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</si>
  <si>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</si>
  <si>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</si>
  <si>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</si>
  <si>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</si>
  <si>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</si>
  <si>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</si>
  <si>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</si>
  <si>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</si>
  <si>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</si>
  <si>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</si>
  <si>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</si>
  <si>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</si>
  <si>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</si>
  <si>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</si>
  <si>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</si>
  <si>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</si>
  <si>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</si>
  <si>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</si>
  <si>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</si>
  <si>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</si>
  <si>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</si>
  <si>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</si>
  <si>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</si>
  <si>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</si>
  <si>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</si>
  <si>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</si>
  <si>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</si>
  <si>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</si>
  <si>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</si>
  <si>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</si>
  <si>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</si>
  <si>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</si>
  <si>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</si>
  <si>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</si>
  <si>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</si>
  <si>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</si>
  <si>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</si>
  <si>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</si>
  <si>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</si>
  <si>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</si>
  <si>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</si>
  <si>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</si>
  <si>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</si>
  <si>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</si>
  <si>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</si>
  <si>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</si>
  <si>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</si>
  <si>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</si>
  <si>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</si>
  <si>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</si>
  <si>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</si>
  <si>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</si>
  <si>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</si>
  <si>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</si>
  <si>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</si>
  <si>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</si>
  <si>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</si>
  <si>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</si>
  <si>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</si>
  <si>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</si>
  <si>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</si>
  <si>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</si>
  <si>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</si>
  <si>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</si>
  <si>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</si>
  <si>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</si>
  <si>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</si>
  <si>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</si>
  <si>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</si>
  <si>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</si>
  <si>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</si>
  <si>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</si>
  <si>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</si>
  <si>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</si>
  <si>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</si>
  <si>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</si>
  <si>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</si>
  <si>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</si>
  <si>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</si>
  <si>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</si>
  <si>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</si>
  <si>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</si>
  <si>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</si>
  <si>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</si>
  <si>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</si>
  <si>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</si>
  <si>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</si>
  <si>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</si>
  <si>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</si>
  <si>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</si>
  <si>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</si>
  <si>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</si>
  <si>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</si>
  <si>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</si>
  <si>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</si>
  <si>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</si>
  <si>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</si>
  <si>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</si>
  <si>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</si>
  <si>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</si>
  <si>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</si>
  <si>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</si>
  <si>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</si>
  <si>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</si>
  <si>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</si>
  <si>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</si>
  <si>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</si>
  <si>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</si>
  <si>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</si>
  <si>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</si>
  <si>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</si>
  <si>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</si>
  <si>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</si>
  <si>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</si>
  <si>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</si>
  <si>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</si>
  <si>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</si>
  <si>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</si>
  <si>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</si>
  <si>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</si>
  <si>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</si>
  <si>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</si>
  <si>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</si>
  <si>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</si>
  <si>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</si>
  <si>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</si>
  <si>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</si>
  <si>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</si>
  <si>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</si>
  <si>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</si>
  <si>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</si>
  <si>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</si>
  <si>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</si>
  <si>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</si>
  <si>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</si>
  <si>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</si>
  <si>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</si>
  <si>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</si>
  <si>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</si>
  <si>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</si>
  <si>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</si>
  <si>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</si>
  <si>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</si>
  <si>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</si>
  <si>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</si>
  <si>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</si>
  <si>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</si>
  <si>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</si>
  <si>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</si>
  <si>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</si>
  <si>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</si>
  <si>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</si>
  <si>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</si>
  <si>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</si>
  <si>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</si>
  <si>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</si>
  <si>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</si>
  <si>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</si>
  <si>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</si>
  <si>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</si>
  <si>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</si>
  <si>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</si>
  <si>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</si>
  <si>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</si>
  <si>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</si>
  <si>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</si>
  <si>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</si>
  <si>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</si>
  <si>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</si>
  <si>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</si>
  <si>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</si>
  <si>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</si>
  <si>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</si>
  <si>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</si>
  <si>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</si>
  <si>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</si>
  <si>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</si>
  <si>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</si>
  <si>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</si>
  <si>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</si>
  <si>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</si>
  <si>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</si>
  <si>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</si>
  <si>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</si>
  <si>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</si>
  <si>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</si>
  <si>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</si>
  <si>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</si>
  <si>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</si>
  <si>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</si>
  <si>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</si>
  <si>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</si>
  <si>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</si>
  <si>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</si>
  <si>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</si>
  <si>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</si>
  <si>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</si>
  <si>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</si>
  <si>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</si>
  <si>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</si>
  <si>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</si>
  <si>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</si>
  <si>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</si>
  <si>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</si>
  <si>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</si>
  <si>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</si>
  <si>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</si>
  <si>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</si>
  <si>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</si>
  <si>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</si>
  <si>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</si>
  <si>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</si>
  <si>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</si>
  <si>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</si>
  <si>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</si>
  <si>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</si>
  <si>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</si>
  <si>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</si>
  <si>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</si>
  <si>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</si>
  <si>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</si>
  <si>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</si>
  <si>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</si>
  <si>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</si>
  <si>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</si>
  <si>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</si>
  <si>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</si>
  <si>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</si>
  <si>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</si>
  <si>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</si>
  <si>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</si>
  <si>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</si>
  <si>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</si>
  <si>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</si>
  <si>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</si>
  <si>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</si>
  <si>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</si>
  <si>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</si>
  <si>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</si>
  <si>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</si>
  <si>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</si>
  <si>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</si>
  <si>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</si>
  <si>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</si>
  <si>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</si>
  <si>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</si>
  <si>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</si>
  <si>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</si>
  <si>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</si>
  <si>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</si>
  <si>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</si>
  <si>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</si>
  <si>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</si>
  <si>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</si>
  <si>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</si>
  <si>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</si>
  <si>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</si>
  <si>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</si>
  <si>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</si>
  <si>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</si>
  <si>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</si>
  <si>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</si>
  <si>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</si>
  <si>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</si>
  <si>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</si>
  <si>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</si>
  <si>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</si>
  <si>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</si>
  <si>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</si>
  <si>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</si>
  <si>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</si>
  <si>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</si>
  <si>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</si>
  <si>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</si>
  <si>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</si>
  <si>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</si>
  <si>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</si>
  <si>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</si>
  <si>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</si>
  <si>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</si>
  <si>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</si>
  <si>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</si>
  <si>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</si>
  <si>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</si>
  <si>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</si>
  <si>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</si>
  <si>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</si>
  <si>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</si>
  <si>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</si>
  <si>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</si>
  <si>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</si>
  <si>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</si>
  <si>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</si>
  <si>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</si>
  <si>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</si>
  <si>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</si>
  <si>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</si>
  <si>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</si>
  <si>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</si>
  <si>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</si>
  <si>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</si>
  <si>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</si>
  <si>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</si>
  <si>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</si>
  <si>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</si>
  <si>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</si>
  <si>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</si>
  <si>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</si>
  <si>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</si>
  <si>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</si>
  <si>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</si>
  <si>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</si>
  <si>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</si>
  <si>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</si>
  <si>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</si>
  <si>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</si>
  <si>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</si>
  <si>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</si>
  <si>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</si>
  <si>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</si>
  <si>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</si>
  <si>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</si>
  <si>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</si>
  <si>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</si>
  <si>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</si>
  <si>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</si>
  <si>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</si>
  <si>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</si>
  <si>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</si>
  <si>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</si>
  <si>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</si>
  <si>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</si>
  <si>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</si>
  <si>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</si>
  <si>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</si>
  <si>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</si>
  <si>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</si>
  <si>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</si>
  <si>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</si>
  <si>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</si>
  <si>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</si>
  <si>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</si>
  <si>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</si>
  <si>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</si>
  <si>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</si>
  <si>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</si>
  <si>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</si>
  <si>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</si>
  <si>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</si>
  <si>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</si>
  <si>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</si>
  <si>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</si>
  <si>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</si>
  <si>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</si>
  <si>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</si>
  <si>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</si>
  <si>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</si>
  <si>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</si>
  <si>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</si>
  <si>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</si>
  <si>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</si>
  <si>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</si>
  <si>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</si>
  <si>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</si>
  <si>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</si>
  <si>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</si>
  <si>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</si>
  <si>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</si>
  <si>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</si>
  <si>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</si>
  <si>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</si>
  <si>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</si>
  <si>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</si>
  <si>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</si>
  <si>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</si>
  <si>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</si>
  <si>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</si>
  <si>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</si>
  <si>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</si>
  <si>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</si>
  <si>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</si>
  <si>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</si>
  <si>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</si>
  <si>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</si>
  <si>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</si>
  <si>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</si>
  <si>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</si>
  <si>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</si>
  <si>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</si>
  <si>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</si>
  <si>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</si>
  <si>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</si>
  <si>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</si>
  <si>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</si>
  <si>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</si>
  <si>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</si>
  <si>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</si>
  <si>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</si>
  <si>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</si>
  <si>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</si>
  <si>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</si>
  <si>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</si>
  <si>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</si>
  <si>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</si>
  <si>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</si>
  <si>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</si>
  <si>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</si>
  <si>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</si>
  <si>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</si>
  <si>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</si>
  <si>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</si>
  <si>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</si>
  <si>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</si>
  <si>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</si>
  <si>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</si>
  <si>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</si>
  <si>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</si>
  <si>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</si>
  <si>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</si>
  <si>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</si>
  <si>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</si>
  <si>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</si>
  <si>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</si>
  <si>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</si>
  <si>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</si>
  <si>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</si>
  <si>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</si>
  <si>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</si>
  <si>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</si>
  <si>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</si>
  <si>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</si>
  <si>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</si>
  <si>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</si>
  <si>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</si>
  <si>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</si>
  <si>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</si>
  <si>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</si>
  <si>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</si>
  <si>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</si>
  <si>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</si>
  <si>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</si>
  <si>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</si>
  <si>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</si>
  <si>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</si>
  <si>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</si>
  <si>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</si>
  <si>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</si>
  <si>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</si>
  <si>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</si>
  <si>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</si>
  <si>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</si>
  <si>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</si>
  <si>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</si>
  <si>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</si>
  <si>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</si>
  <si>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</si>
  <si>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</si>
  <si>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</si>
  <si>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</si>
  <si>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</si>
  <si>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</si>
  <si>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</si>
  <si>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</si>
  <si>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</si>
  <si>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</si>
  <si>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</si>
  <si>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</si>
  <si>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</si>
  <si>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</si>
  <si>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</si>
  <si>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</si>
  <si>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</si>
  <si>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</si>
  <si>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</si>
  <si>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</si>
  <si>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</si>
  <si>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</si>
  <si>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</si>
  <si>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</si>
  <si>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</si>
  <si>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</si>
  <si>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</si>
  <si>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</si>
  <si>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</si>
  <si>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</si>
  <si>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</si>
  <si>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</si>
  <si>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</si>
  <si>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</si>
  <si>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</si>
  <si>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</si>
  <si>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</si>
  <si>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</si>
  <si>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</si>
  <si>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</si>
  <si>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</si>
  <si>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</si>
  <si>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</si>
  <si>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</si>
  <si>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</si>
  <si>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</si>
  <si>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</si>
  <si>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</si>
  <si>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</si>
  <si>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</si>
  <si>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</si>
  <si>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</si>
  <si>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</si>
  <si>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</si>
  <si>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</si>
  <si>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</si>
  <si>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</si>
  <si>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</si>
  <si>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</si>
  <si>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</si>
  <si>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</si>
  <si>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</si>
  <si>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</si>
  <si>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</si>
  <si>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</si>
  <si>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</si>
  <si>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</si>
  <si>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</si>
  <si>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</si>
  <si>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</si>
  <si>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</si>
  <si>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</si>
  <si>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</si>
  <si>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</si>
  <si>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</si>
  <si>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</si>
  <si>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</si>
  <si>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</si>
  <si>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</si>
  <si>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</si>
  <si>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</si>
  <si>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</si>
  <si>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</si>
  <si>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</si>
  <si>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</si>
  <si>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</si>
  <si>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</si>
  <si>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</si>
  <si>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</si>
  <si>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</si>
  <si>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</si>
  <si>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</si>
  <si>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</si>
  <si>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</si>
  <si>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</si>
  <si>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</si>
  <si>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</si>
  <si>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</si>
  <si>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</si>
  <si>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</si>
  <si>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</si>
  <si>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</si>
  <si>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</si>
  <si>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</si>
  <si>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</si>
  <si>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</si>
  <si>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</si>
  <si>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</si>
  <si>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</si>
  <si>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</si>
  <si>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</si>
  <si>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</si>
  <si>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</si>
  <si>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</si>
  <si>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</si>
  <si>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</si>
  <si>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</si>
  <si>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</si>
  <si>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</si>
  <si>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</si>
  <si>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</si>
  <si>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</si>
  <si>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</si>
  <si>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</si>
  <si>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</si>
  <si>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</si>
  <si>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</si>
  <si>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</si>
  <si>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</si>
  <si>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</si>
  <si>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</si>
  <si>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</si>
  <si>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</si>
  <si>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</si>
  <si>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</si>
  <si>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</si>
  <si>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</si>
  <si>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</si>
  <si>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</si>
  <si>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</si>
  <si>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</si>
  <si>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</si>
  <si>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</si>
  <si>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</si>
  <si>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</si>
  <si>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</si>
  <si>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</si>
  <si>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</si>
  <si>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</si>
  <si>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</si>
  <si>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</si>
  <si>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</si>
  <si>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</si>
  <si>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</si>
  <si>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</si>
  <si>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</si>
  <si>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</si>
  <si>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</si>
  <si>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</si>
  <si>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</si>
  <si>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</si>
  <si>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</si>
  <si>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</si>
  <si>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</si>
  <si>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</si>
  <si>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</si>
  <si>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</si>
  <si>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</si>
  <si>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</si>
  <si>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</si>
  <si>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</si>
  <si>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</si>
  <si>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</si>
  <si>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</si>
  <si>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</si>
  <si>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</si>
  <si>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</si>
  <si>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</si>
  <si>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</si>
  <si>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</si>
  <si>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</si>
  <si>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</si>
  <si>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</si>
  <si>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</si>
  <si>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</si>
  <si>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</si>
  <si>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</si>
  <si>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</si>
  <si>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</si>
  <si>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</si>
  <si>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</si>
  <si>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</si>
  <si>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</si>
  <si>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</si>
  <si>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</si>
  <si>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</si>
  <si>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</si>
  <si>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</si>
  <si>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</si>
  <si>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</si>
  <si>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</si>
  <si>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</si>
  <si>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</si>
  <si>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</si>
  <si>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</si>
  <si>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</si>
  <si>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</si>
  <si>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</si>
  <si>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</si>
  <si>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</si>
  <si>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</si>
  <si>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</si>
  <si>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</si>
  <si>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</si>
  <si>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</si>
  <si>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</si>
  <si>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</si>
  <si>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</si>
  <si>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</si>
  <si>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</si>
  <si>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</si>
  <si>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</si>
  <si>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</si>
  <si>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</si>
  <si>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</si>
  <si>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</si>
  <si>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</si>
  <si>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</si>
  <si>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</si>
  <si>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</si>
  <si>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</si>
  <si>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</si>
  <si>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</si>
  <si>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</si>
  <si>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</si>
  <si>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</si>
  <si>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</si>
  <si>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</si>
  <si>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</si>
  <si>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</si>
  <si>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</si>
  <si>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</si>
  <si>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</si>
  <si>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</si>
  <si>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</si>
  <si>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</si>
  <si>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</si>
  <si>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</si>
  <si>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</si>
  <si>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</si>
  <si>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</si>
  <si>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</si>
  <si>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</si>
  <si>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</si>
  <si>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</si>
  <si>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</si>
  <si>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</si>
  <si>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</si>
  <si>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</si>
  <si>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</si>
  <si>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</si>
  <si>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</si>
  <si>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</si>
  <si>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</si>
  <si>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</si>
  <si>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</si>
  <si>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</si>
  <si>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</si>
  <si>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</si>
  <si>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</si>
  <si>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</si>
  <si>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</si>
  <si>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</si>
  <si>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</si>
  <si>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</si>
  <si>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</si>
  <si>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</si>
  <si>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</si>
  <si>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</si>
  <si>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</si>
  <si>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</si>
  <si>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</si>
  <si>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</si>
  <si>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</si>
  <si>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</si>
  <si>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</si>
  <si>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</si>
  <si>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</si>
  <si>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</si>
  <si>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</si>
  <si>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</si>
  <si>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</si>
  <si>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</si>
  <si>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</si>
  <si>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</si>
  <si>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</si>
  <si>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</si>
  <si>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</si>
  <si>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</si>
  <si>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</si>
  <si>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</si>
  <si>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</si>
  <si>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</si>
  <si>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</si>
  <si>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</si>
  <si>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</si>
  <si>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</si>
  <si>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</si>
  <si>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</si>
  <si>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</si>
  <si>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</si>
  <si>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</si>
  <si>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</si>
  <si>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</si>
  <si>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</si>
  <si>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</si>
  <si>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</si>
  <si>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</si>
  <si>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</si>
  <si>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</si>
  <si>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</si>
  <si>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</si>
  <si>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</si>
  <si>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</si>
  <si>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</si>
  <si>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</si>
  <si>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</si>
  <si>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</si>
  <si>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</si>
  <si>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</si>
  <si>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</si>
  <si>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</si>
  <si>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</si>
  <si>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</si>
  <si>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</si>
  <si>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</si>
  <si>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</si>
  <si>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</si>
  <si>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</si>
  <si>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</si>
  <si>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</si>
  <si>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</si>
  <si>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</si>
  <si>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</si>
  <si>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</si>
  <si>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</si>
  <si>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</si>
  <si>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</si>
  <si>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</si>
  <si>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</si>
  <si>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</si>
  <si>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</si>
  <si>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</si>
  <si>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</si>
  <si>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</si>
  <si>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</si>
  <si>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</si>
  <si>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</si>
  <si>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</si>
  <si>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</si>
  <si>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</si>
  <si>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</si>
  <si>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</si>
  <si>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</si>
  <si>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</si>
  <si>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</si>
  <si>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</si>
  <si>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</si>
  <si>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</si>
  <si>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</si>
  <si>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</si>
  <si>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</si>
  <si>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</si>
  <si>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</si>
  <si>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</si>
  <si>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</si>
  <si>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</si>
  <si>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</si>
  <si>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</si>
  <si>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</si>
  <si>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</si>
  <si>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</si>
  <si>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</si>
  <si>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</si>
  <si>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</si>
  <si>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</si>
  <si>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</si>
  <si>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</si>
  <si>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</si>
  <si>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</si>
  <si>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</si>
  <si>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</si>
  <si>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</si>
  <si>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</si>
  <si>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</si>
  <si>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</si>
  <si>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</si>
  <si>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</si>
  <si>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</si>
  <si>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</si>
  <si>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</si>
  <si>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</si>
  <si>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</si>
  <si>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</si>
  <si>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</si>
  <si>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</si>
  <si>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</si>
  <si>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</si>
  <si>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</si>
  <si>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</si>
  <si>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</si>
  <si>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</si>
  <si>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</si>
  <si>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</si>
  <si>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</si>
  <si>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</si>
  <si>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</si>
  <si>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</si>
  <si>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</si>
  <si>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</si>
  <si>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</si>
  <si>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</si>
  <si>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</si>
  <si>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</si>
  <si>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</si>
  <si>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</si>
  <si>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</si>
  <si>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</si>
  <si>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</si>
  <si>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</si>
  <si>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</si>
  <si>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</si>
  <si>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</si>
  <si>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</si>
  <si>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</si>
  <si>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</si>
  <si>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</si>
  <si>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</si>
  <si>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</si>
  <si>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</si>
  <si>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</si>
  <si>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</si>
  <si>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</si>
  <si>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</si>
  <si>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</si>
  <si>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</si>
  <si>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</si>
  <si>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</si>
  <si>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</si>
  <si>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</si>
  <si>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</si>
  <si>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</si>
  <si>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</si>
  <si>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</si>
  <si>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</si>
  <si>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</si>
  <si>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</si>
  <si>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</si>
  <si>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</si>
  <si>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</si>
  <si>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</si>
  <si>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</si>
  <si>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</si>
  <si>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</si>
  <si>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</si>
  <si>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</si>
  <si>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</si>
  <si>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</si>
  <si>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</si>
  <si>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</si>
  <si>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</si>
  <si>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</si>
  <si>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</si>
  <si>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</si>
  <si>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</si>
  <si>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</si>
  <si>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</si>
  <si>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</si>
  <si>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</si>
  <si>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</si>
  <si>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</si>
  <si>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</si>
  <si>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</si>
  <si>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</si>
  <si>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</si>
  <si>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</si>
  <si>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</si>
  <si>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</si>
  <si>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</si>
  <si>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</si>
  <si>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</si>
  <si>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</si>
  <si>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</si>
  <si>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</si>
  <si>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</si>
  <si>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</si>
  <si>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</si>
  <si>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</si>
  <si>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</si>
  <si>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</si>
  <si>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</si>
  <si>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</si>
  <si>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</si>
  <si>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</si>
  <si>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</si>
  <si>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</si>
  <si>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</si>
  <si>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</si>
  <si>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</si>
  <si>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</si>
  <si>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</si>
  <si>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</si>
  <si>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</si>
  <si>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</si>
  <si>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</si>
  <si>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</si>
  <si>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</si>
  <si>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</si>
  <si>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</si>
  <si>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</si>
  <si>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</si>
  <si>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</si>
  <si>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</si>
  <si>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</si>
  <si>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</si>
  <si>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</si>
  <si>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</si>
  <si>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</si>
  <si>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</si>
  <si>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</si>
  <si>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</si>
  <si>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</si>
  <si>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</si>
  <si>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</si>
  <si>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</si>
  <si>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</si>
  <si>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</si>
  <si>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</si>
  <si>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</si>
  <si>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</si>
  <si>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</si>
  <si>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</si>
  <si>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</si>
  <si>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</si>
  <si>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</si>
  <si>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</si>
  <si>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</si>
  <si>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</si>
  <si>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</si>
  <si>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</si>
  <si>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</si>
  <si>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</si>
  <si>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</si>
  <si>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</si>
  <si>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</si>
  <si>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</si>
  <si>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</si>
  <si>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</si>
  <si>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</si>
  <si>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</si>
  <si>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</si>
  <si>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</si>
  <si>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</si>
  <si>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</si>
  <si>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</si>
  <si>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</si>
  <si>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</si>
  <si>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</si>
  <si>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</si>
  <si>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</si>
  <si>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</si>
  <si>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</si>
  <si>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</si>
  <si>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</si>
  <si>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</si>
  <si>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</si>
  <si>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</si>
  <si>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</si>
  <si>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</si>
  <si>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</si>
  <si>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</si>
  <si>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</si>
  <si>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</si>
  <si>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</si>
  <si>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</si>
  <si>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</si>
  <si>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</si>
  <si>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</si>
  <si>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</si>
  <si>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</si>
  <si>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</si>
  <si>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</si>
  <si>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</si>
  <si>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</si>
  <si>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</si>
  <si>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</si>
  <si>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</si>
  <si>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</si>
  <si>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</si>
  <si>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</si>
  <si>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</si>
  <si>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</si>
  <si>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</si>
  <si>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</si>
  <si>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</si>
  <si>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</si>
  <si>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</si>
  <si>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</si>
  <si>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</si>
  <si>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</si>
  <si>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</si>
  <si>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</si>
  <si>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</si>
  <si>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</si>
  <si>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</si>
  <si>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</si>
  <si>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</si>
  <si>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</si>
  <si>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</si>
  <si>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</si>
  <si>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</si>
  <si>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</si>
  <si>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</si>
  <si>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</si>
  <si>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</si>
  <si>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</si>
  <si>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</si>
  <si>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</si>
  <si>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</si>
  <si>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</si>
  <si>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</si>
  <si>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</si>
  <si>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</si>
  <si>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</si>
  <si>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</si>
  <si>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</si>
  <si>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</si>
  <si>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</si>
  <si>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</si>
  <si>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</si>
  <si>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</si>
  <si>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</si>
  <si>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</si>
  <si>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</si>
  <si>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</si>
  <si>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</si>
  <si>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</si>
  <si>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</si>
  <si>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</si>
  <si>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</si>
  <si>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</si>
  <si>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</si>
  <si>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</si>
  <si>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</si>
  <si>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</si>
  <si>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</si>
  <si>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</si>
  <si>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</si>
  <si>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</si>
  <si>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</si>
  <si>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</si>
  <si>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</si>
  <si>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</si>
  <si>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</si>
  <si>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</si>
  <si>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</si>
  <si>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</si>
  <si>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</si>
  <si>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</si>
  <si>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</si>
  <si>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</si>
  <si>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</si>
  <si>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</si>
  <si>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</si>
  <si>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</si>
  <si>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</si>
  <si>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</si>
  <si>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</si>
  <si>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</si>
  <si>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</si>
  <si>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</si>
  <si>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</si>
  <si>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</si>
  <si>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</si>
  <si>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</si>
  <si>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</si>
  <si>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</si>
  <si>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</si>
  <si>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</si>
  <si>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</si>
  <si>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</si>
  <si>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</si>
  <si>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</si>
  <si>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</si>
  <si>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</si>
  <si>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</si>
  <si>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</si>
  <si>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</si>
  <si>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</si>
  <si>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</si>
  <si>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</si>
  <si>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</si>
  <si>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</si>
  <si>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</si>
  <si>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</si>
  <si>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</si>
  <si>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</si>
  <si>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</si>
  <si>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</si>
  <si>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</si>
  <si>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</si>
  <si>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</si>
  <si>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</si>
  <si>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</si>
  <si>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</si>
  <si>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</si>
  <si>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</si>
  <si>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</si>
  <si>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</si>
  <si>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</si>
  <si>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</si>
  <si>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</si>
  <si>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</si>
  <si>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</si>
  <si>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</si>
  <si>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</si>
  <si>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</si>
  <si>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</si>
  <si>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</si>
  <si>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</si>
  <si>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</si>
  <si>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</si>
  <si>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</si>
  <si>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</si>
  <si>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</si>
  <si>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</si>
  <si>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</si>
  <si>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</si>
  <si>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</si>
  <si>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</si>
  <si>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</si>
  <si>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</si>
  <si>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</si>
  <si>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</si>
  <si>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</si>
  <si>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</si>
  <si>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</si>
  <si>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</si>
  <si>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</si>
  <si>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</si>
  <si>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</si>
  <si>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</si>
  <si>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</si>
  <si>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</si>
  <si>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</si>
  <si>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</si>
  <si>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</si>
  <si>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</si>
  <si>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</si>
  <si>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</si>
  <si>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</si>
  <si>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</si>
  <si>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</si>
  <si>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</si>
  <si>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</si>
  <si>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</si>
  <si>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</si>
  <si>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</si>
  <si>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</si>
  <si>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</si>
  <si>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</si>
  <si>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</si>
  <si>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</si>
  <si>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</si>
  <si>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</si>
  <si>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</si>
  <si>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</si>
  <si>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</si>
  <si>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</si>
  <si>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</si>
  <si>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</si>
  <si>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</si>
  <si>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</si>
  <si>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</si>
  <si>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</si>
  <si>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</si>
  <si>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</si>
  <si>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</si>
  <si>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</si>
  <si>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</si>
  <si>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</si>
  <si>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</si>
  <si>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</si>
  <si>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</si>
  <si>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</si>
  <si>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</si>
  <si>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</si>
  <si>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</si>
  <si>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</si>
  <si>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</si>
  <si>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</si>
  <si>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</si>
  <si>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</si>
  <si>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</si>
  <si>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</si>
  <si>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</si>
  <si>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</si>
  <si>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</si>
  <si>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</si>
  <si>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</si>
  <si>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</si>
  <si>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</si>
  <si>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</si>
  <si>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</si>
  <si>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</si>
  <si>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</si>
  <si>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</si>
  <si>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</si>
  <si>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</si>
  <si>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</si>
  <si>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</si>
  <si>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</si>
  <si>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</si>
  <si>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</si>
  <si>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</si>
  <si>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</si>
  <si>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</si>
  <si>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</si>
  <si>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</si>
  <si>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</si>
  <si>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</si>
  <si>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</si>
  <si>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</si>
  <si>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</si>
  <si>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</si>
  <si>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</si>
  <si>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</si>
  <si>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</si>
  <si>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</si>
  <si>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</si>
  <si>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</si>
  <si>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</si>
  <si>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</si>
  <si>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</si>
  <si>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</si>
  <si>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</si>
  <si>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</si>
  <si>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</si>
  <si>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</si>
  <si>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</si>
  <si>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</si>
  <si>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</si>
  <si>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</si>
  <si>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</si>
  <si>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</si>
  <si>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</si>
  <si>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</si>
  <si>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</si>
  <si>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</si>
  <si>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</si>
  <si>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</si>
  <si>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</si>
  <si>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</si>
  <si>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</si>
  <si>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</si>
  <si>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</si>
  <si>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</si>
  <si>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</si>
  <si>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</si>
  <si>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</si>
  <si>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</si>
  <si>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</si>
  <si>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</si>
  <si>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</si>
  <si>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</si>
  <si>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</si>
  <si>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</si>
  <si>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</si>
  <si>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</si>
  <si>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</si>
  <si>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</si>
  <si>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</si>
  <si>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</si>
  <si>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</si>
  <si>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</si>
  <si>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</si>
  <si>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</si>
  <si>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</si>
  <si>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江门市新会区俊盈贸易有限公司、台山市俊盈置业投资有限公司</t>
    <phoneticPr fontId="6" type="noConversion"/>
  </si>
  <si>
    <t>抵押</t>
  </si>
  <si>
    <t>抵押价格</t>
  </si>
  <si>
    <t>其他：</t>
  </si>
  <si>
    <t>广东省江门市</t>
    <phoneticPr fontId="6" type="noConversion"/>
  </si>
  <si>
    <t>台山市台城板岗管理区北闸村门口洞</t>
    <phoneticPr fontId="6" type="noConversion"/>
  </si>
  <si>
    <t>企业</t>
  </si>
  <si>
    <t>商住、娱乐</t>
    <phoneticPr fontId="6" type="noConversion"/>
  </si>
  <si>
    <t>地上</t>
  </si>
  <si>
    <t>商业</t>
  </si>
  <si>
    <t>地下</t>
  </si>
  <si>
    <t>车库</t>
  </si>
  <si>
    <t>普通住宅</t>
  </si>
  <si>
    <t>否</t>
  </si>
  <si>
    <t>别墅</t>
  </si>
  <si>
    <t>高层</t>
  </si>
  <si>
    <t>高层</t>
    <phoneticPr fontId="7" type="noConversion"/>
  </si>
  <si>
    <t>别墅</t>
    <phoneticPr fontId="7" type="noConversion"/>
  </si>
  <si>
    <t>商业</t>
    <phoneticPr fontId="7" type="noConversion"/>
  </si>
  <si>
    <t>地下车库</t>
    <phoneticPr fontId="7" type="noConversion"/>
  </si>
  <si>
    <t>出让</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</si>
  <si>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</si>
  <si>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</si>
  <si>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</si>
  <si>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</si>
  <si>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</si>
  <si>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</si>
  <si>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</si>
  <si>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</si>
  <si>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</si>
  <si>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</si>
  <si>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</si>
  <si>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</si>
  <si>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</si>
  <si>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</si>
  <si>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</si>
  <si>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</si>
  <si>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</si>
  <si>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</si>
  <si>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</si>
  <si>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江门市</t>
  </si>
  <si>
    <t>综合用地(含住宅)</t>
  </si>
  <si>
    <t>台山市台城南新区陈宜禧路与凤凰大道交叉口东南侧地块一、地块二、地块三、地块四</t>
  </si>
  <si>
    <t>挂牌</t>
  </si>
  <si>
    <t>JCR2018-198(台山30)</t>
  </si>
  <si>
    <t>商业、住宅用地</t>
  </si>
  <si>
    <t>大于1并且小于或等于2.5</t>
  </si>
  <si>
    <t>2018-12-27</t>
  </si>
  <si>
    <t>JCR[2018]198(台山30)号</t>
  </si>
  <si>
    <t>万达地产集团有限公司</t>
  </si>
  <si>
    <t>住宅70年、商业40年</t>
  </si>
  <si>
    <t>0星</t>
  </si>
  <si>
    <t>住宅用地</t>
  </si>
  <si>
    <t>台山市汶村镇石岗大道9号</t>
  </si>
  <si>
    <t>JCR2018-125(台山25)</t>
  </si>
  <si>
    <t>其他普通商品住房用地</t>
  </si>
  <si>
    <t>2018-09-13</t>
  </si>
  <si>
    <t>JCR[2018]125号</t>
  </si>
  <si>
    <t>伍民驹、谭伟超</t>
  </si>
  <si>
    <t>70年</t>
  </si>
  <si>
    <t>台山市大江镇江新高铜线开发区17号之二</t>
  </si>
  <si>
    <t>JCR2018-52(台山16)</t>
  </si>
  <si>
    <t>大于1并且小于或等于2</t>
  </si>
  <si>
    <t>2018-06-19</t>
  </si>
  <si>
    <t>JCR[2018]52(台山16)号</t>
  </si>
  <si>
    <t>台山市鸿祥房地产开发有限公司</t>
  </si>
  <si>
    <t>台山市深井镇那扶圩兴和二巷16号</t>
  </si>
  <si>
    <t>JCR2018-37(台山10)</t>
  </si>
  <si>
    <t>2018-05-16</t>
  </si>
  <si>
    <t>JCR[2018]37(台山10)号</t>
  </si>
  <si>
    <t>台山市汇悦房地产开发有限公司</t>
  </si>
  <si>
    <t>台山市台城南新区新宁小学南侧地块一</t>
  </si>
  <si>
    <t>JCR2018-3(台山02)</t>
  </si>
  <si>
    <t>2018-02-07</t>
  </si>
  <si>
    <t>JCR[2018]3、4(台山02、03)号</t>
  </si>
  <si>
    <t>广东南岳房地产开发有限公司</t>
  </si>
  <si>
    <t>http://jiangmen.leju.com/news/2018-02-07/10326366830836087846281.shtml</t>
  </si>
  <si>
    <t>台山市台城南新区新宁小学南侧地块二</t>
  </si>
  <si>
    <t>JCR2018-4(台山03)</t>
  </si>
  <si>
    <t>https://www.sohu.com/a/214763252_279863</t>
  </si>
  <si>
    <t>台山市台城南新区长安路与公园路交叉口西南侧</t>
  </si>
  <si>
    <t>JCR2018-2(台山01)</t>
  </si>
  <si>
    <t>2018-02-06</t>
  </si>
  <si>
    <t>JCR[2018]2(台山01)号</t>
  </si>
  <si>
    <t>雅居乐</t>
  </si>
  <si>
    <t>台山市三合镇温泉开发区同兴路8号</t>
  </si>
  <si>
    <t>JCR2017-97(台山27)</t>
  </si>
  <si>
    <t>大于1并且小于或等于2.2</t>
  </si>
  <si>
    <t>2017-08-31</t>
  </si>
  <si>
    <t>JCR[2017]95-97(台山25-27)号</t>
  </si>
  <si>
    <t>台山市树头房地产开发有限公司</t>
  </si>
  <si>
    <t>台山市三合镇温泉开发区同兴路6号</t>
  </si>
  <si>
    <t>JCR2017-95(台山25)</t>
  </si>
  <si>
    <t>台山市台城金星大道与沙岗湖路交叉口东南侧地块二</t>
  </si>
  <si>
    <t>JCR2017-78(台山18)</t>
  </si>
  <si>
    <t>2017-07-24</t>
  </si>
  <si>
    <t>JCR[2017]76-78(台山16-18)号</t>
  </si>
  <si>
    <t>广州锦绣投资有限公司</t>
  </si>
  <si>
    <t>台山市台城南新区陈宜禧路与德政路交叉口东北侧地块一</t>
  </si>
  <si>
    <t>JCR2017-77(台山17)</t>
  </si>
  <si>
    <t>https://taishan.news.fang.com/2017-07-24/25823298.htm</t>
  </si>
  <si>
    <t>台山市台城陈宜禧路北152号</t>
  </si>
  <si>
    <t>JCR2017-75(台山15)</t>
  </si>
  <si>
    <t>2017-07-21</t>
  </si>
  <si>
    <t>JCR[2017]73-75(台山13-15)号</t>
  </si>
  <si>
    <t>台山市台城陈宜禧路北148号</t>
  </si>
  <si>
    <t>JCR2017-73(台山13)</t>
  </si>
  <si>
    <t>深圳市松园北房地产开发有限公司</t>
  </si>
  <si>
    <t>台山市台城陈宜禧路北150号</t>
  </si>
  <si>
    <t>JCR2017-74(台山14)</t>
  </si>
  <si>
    <t>台山市大江镇江东工业园区5号之一</t>
  </si>
  <si>
    <t>JCR2017-57(台山08)</t>
  </si>
  <si>
    <t>大于1并且小于或等于2.62</t>
  </si>
  <si>
    <t>2017-06-29</t>
  </si>
  <si>
    <t>JRC[2017]56-58(台山07-09)号</t>
  </si>
  <si>
    <t>台山市顺翔投资有限公司</t>
  </si>
  <si>
    <t>台山市大江镇江新西路18号</t>
  </si>
  <si>
    <t>JCR2017-56(台山07)</t>
  </si>
  <si>
    <t>开平恒威房地产开发有限公司</t>
  </si>
  <si>
    <t>台山市大江镇江新高铜线开发区16号</t>
  </si>
  <si>
    <t>JCR2017-58(台山09)</t>
  </si>
  <si>
    <t>台山市碧华置业有限公司</t>
  </si>
  <si>
    <t>JCR2016-119(台山14)</t>
  </si>
  <si>
    <t>住宅兼容商业用地</t>
  </si>
  <si>
    <t>大于1并且小于或等于2.8</t>
  </si>
  <si>
    <t>2016-12-21</t>
  </si>
  <si>
    <t>JRC[2016]119-121号</t>
  </si>
  <si>
    <t>碧桂园</t>
  </si>
  <si>
    <t>台山市台城南区陈宜禧路与德政路交叉口东南侧地块一</t>
  </si>
  <si>
    <t>JCR2016-120(台山15)</t>
  </si>
  <si>
    <t>保利地产</t>
  </si>
  <si>
    <t>台山市台城南区陈宜禧路与德政路交叉口东南侧地块二</t>
  </si>
  <si>
    <t>JCR2016-121(台山16)</t>
  </si>
  <si>
    <t>台山市台城南区陈宜禧路与公园路交叉口东南侧地块一</t>
  </si>
  <si>
    <t>JCR2016-77(台山08)号</t>
  </si>
  <si>
    <t>2016-08-26</t>
  </si>
  <si>
    <t>JCR[2016-77]台山08号</t>
  </si>
  <si>
    <t>广东骏景湾地产集团有限公司</t>
  </si>
  <si>
    <t>https://jm.newhouse.fang.com/2016-08-26/22619825.htm</t>
  </si>
  <si>
    <t>台山市台城南区陈宜禧路与公园路交叉口东南侧地块二</t>
  </si>
  <si>
    <t>JCR2016-78(台山09)号</t>
  </si>
  <si>
    <t>JCR[2016-78]台山09号</t>
  </si>
  <si>
    <t>台山市台城南新区陈宜禧路与凤凰大道交叉口东南侧地块一、地块二、地块三、地块四</t>
    <phoneticPr fontId="3" type="noConversion"/>
  </si>
  <si>
    <t>https://taishan.news.fang.com/2018-11-23/30348198.htm</t>
    <phoneticPr fontId="3" type="noConversion"/>
  </si>
  <si>
    <t>台山市台城南新区新宁小学南侧地块一</t>
    <phoneticPr fontId="3" type="noConversion"/>
  </si>
  <si>
    <t>台山市台城南新区长安路与公园路交叉口西南侧</t>
    <phoneticPr fontId="3" type="noConversion"/>
  </si>
  <si>
    <t>https://taishan.newhouse.fang.com/2018-02-05/27742084.htm</t>
    <phoneticPr fontId="3" type="noConversion"/>
  </si>
  <si>
    <t>台山市台城金星大道与沙岗湖路交叉口东南侧地块二</t>
    <phoneticPr fontId="3" type="noConversion"/>
  </si>
  <si>
    <t>深圳市松园北房地产开发有限公司</t>
    <phoneticPr fontId="3" type="noConversion"/>
  </si>
  <si>
    <t>台城南区陈宜禧路与德政路交叉口东北侧地块二</t>
    <phoneticPr fontId="3" type="noConversion"/>
  </si>
  <si>
    <t>台城南区陈宜禧路与德政路交叉口东北侧地块二</t>
    <phoneticPr fontId="3" type="noConversion"/>
  </si>
  <si>
    <t>台山市台城南区陈宜禧路与公园路交叉口东南侧地块二</t>
    <phoneticPr fontId="3" type="noConversion"/>
  </si>
  <si>
    <r>
      <t>台山市汶村镇石岗大道</t>
    </r>
    <r>
      <rPr>
        <sz val="11"/>
        <color theme="1"/>
        <rFont val="Arial Unicode MS"/>
        <family val="2"/>
        <charset val="134"/>
      </rPr>
      <t>9</t>
    </r>
    <r>
      <rPr>
        <sz val="10"/>
        <rFont val="Arial Unicode MS"/>
        <family val="2"/>
        <charset val="134"/>
      </rPr>
      <t>号</t>
    </r>
    <phoneticPr fontId="3" type="noConversion"/>
  </si>
  <si>
    <r>
      <t>台山市大江镇江新高铜线开发区</t>
    </r>
    <r>
      <rPr>
        <sz val="11"/>
        <color theme="1"/>
        <rFont val="Arial Unicode MS"/>
        <family val="2"/>
        <charset val="134"/>
      </rPr>
      <t>17</t>
    </r>
    <r>
      <rPr>
        <sz val="10"/>
        <rFont val="Arial Unicode MS"/>
        <family val="2"/>
        <charset val="134"/>
      </rPr>
      <t>号之二</t>
    </r>
    <phoneticPr fontId="3" type="noConversion"/>
  </si>
  <si>
    <r>
      <t>台山市深井镇那扶圩兴和二巷</t>
    </r>
    <r>
      <rPr>
        <sz val="11"/>
        <color theme="1"/>
        <rFont val="Arial Unicode MS"/>
        <family val="2"/>
        <charset val="134"/>
      </rPr>
      <t>16</t>
    </r>
    <r>
      <rPr>
        <sz val="10"/>
        <rFont val="Arial Unicode MS"/>
        <family val="2"/>
        <charset val="134"/>
      </rPr>
      <t>号</t>
    </r>
    <phoneticPr fontId="3" type="noConversion"/>
  </si>
  <si>
    <r>
      <t>台山市三合镇温泉开发区同兴路</t>
    </r>
    <r>
      <rPr>
        <sz val="11"/>
        <color theme="1"/>
        <rFont val="Arial Unicode MS"/>
        <family val="2"/>
        <charset val="134"/>
      </rPr>
      <t>8</t>
    </r>
    <r>
      <rPr>
        <sz val="10"/>
        <rFont val="Arial Unicode MS"/>
        <family val="2"/>
        <charset val="134"/>
      </rPr>
      <t>号</t>
    </r>
    <phoneticPr fontId="3" type="noConversion"/>
  </si>
  <si>
    <r>
      <t>台山市台城陈宜禧路北</t>
    </r>
    <r>
      <rPr>
        <sz val="11"/>
        <color theme="1"/>
        <rFont val="Arial Unicode MS"/>
        <family val="2"/>
        <charset val="134"/>
      </rPr>
      <t>148</t>
    </r>
    <r>
      <rPr>
        <sz val="10"/>
        <rFont val="Arial Unicode MS"/>
        <family val="2"/>
        <charset val="134"/>
      </rPr>
      <t>号</t>
    </r>
    <phoneticPr fontId="3" type="noConversion"/>
  </si>
  <si>
    <r>
      <t>台山市大江镇江东工业园区</t>
    </r>
    <r>
      <rPr>
        <sz val="11"/>
        <color theme="1"/>
        <rFont val="Arial Unicode MS"/>
        <family val="2"/>
        <charset val="134"/>
      </rPr>
      <t>5</t>
    </r>
    <r>
      <rPr>
        <sz val="10"/>
        <rFont val="Arial Unicode MS"/>
        <family val="2"/>
        <charset val="134"/>
      </rPr>
      <t>号之一</t>
    </r>
    <phoneticPr fontId="3" type="noConversion"/>
  </si>
  <si>
    <t>楼面地价</t>
  </si>
  <si>
    <t>一般</t>
  </si>
  <si>
    <t>较好</t>
  </si>
  <si>
    <t>比较法-住宅、综合</t>
  </si>
  <si>
    <t>剩余法-待开发</t>
  </si>
  <si>
    <t>六通</t>
  </si>
  <si>
    <t>较规则</t>
  </si>
  <si>
    <t>较规则</t>
    <phoneticPr fontId="26" type="noConversion"/>
  </si>
  <si>
    <t>六通</t>
    <phoneticPr fontId="26" type="noConversion"/>
  </si>
  <si>
    <t>较好</t>
    <phoneticPr fontId="26" type="noConversion"/>
  </si>
  <si>
    <t>土地（套用方法）</t>
  </si>
  <si>
    <t>钢混</t>
  </si>
  <si>
    <t>不动产收益法</t>
  </si>
  <si>
    <t>按租金收入计税</t>
  </si>
  <si>
    <t>碧桂园盛世华府</t>
    <phoneticPr fontId="3" type="noConversion"/>
  </si>
  <si>
    <t xml:space="preserve"> 台城街道陈宜禧路与德政路交叉口东北侧</t>
    <phoneticPr fontId="3" type="noConversion"/>
  </si>
  <si>
    <t>保利中央公馆</t>
    <phoneticPr fontId="3" type="noConversion"/>
  </si>
  <si>
    <t>台城街道金星湖畔</t>
    <phoneticPr fontId="3" type="noConversion"/>
  </si>
  <si>
    <t>骏景湾·悦峰</t>
    <phoneticPr fontId="3" type="noConversion"/>
  </si>
  <si>
    <t>住宅</t>
    <phoneticPr fontId="21" type="noConversion"/>
  </si>
  <si>
    <t>60-70（含）</t>
  </si>
  <si>
    <t>40-50（含）</t>
  </si>
  <si>
    <t>钢混</t>
    <phoneticPr fontId="21" type="noConversion"/>
  </si>
  <si>
    <t>高层</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</si>
  <si>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</si>
  <si>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</si>
  <si>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</si>
  <si>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</si>
  <si>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</si>
  <si>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</si>
  <si>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</si>
  <si>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</si>
  <si>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phoneticPr fontId="21" type="noConversion"/>
  </si>
  <si>
    <t>毛坯</t>
    <phoneticPr fontId="21" type="noConversion"/>
  </si>
  <si>
    <t>售价</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</si>
  <si>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</si>
  <si>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</si>
  <si>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请录依据文件名称：http://www.66law.cn/laws/607987.aspx</t>
    <phoneticPr fontId="3" type="noConversion"/>
  </si>
  <si>
    <t>规划条件/台山北闸村项目投资分析---投资成本费用预测表</t>
    <phoneticPr fontId="3" type="noConversion"/>
  </si>
  <si>
    <t>土地</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</si>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</sst>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0"/>
      <color theme="10"/>
      <name val="Arial"/>
      <family val="2"/>
    </font>
    <font>
      <sz val="11"/>
      <color theme="1"/>
      <name val="Arial Unicode MS"/>
      <family val="2"/>
      <charset val="134"/>
    </font>
    <font>
      <sz val="10"/>
      <name val="Arial Unicode MS"/>
      <family val="2"/>
      <charset val="134"/>
    </font>
    <font>
      <u/>
      <sz val="10"/>
      <color theme="1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1" tint="0.249977111117893"/>
        <bgColor indexed="64"/>
      </patternFill>
    </fill>
    <fill>
      <patternFill patternType="solid">
        <fgColor theme="3"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top"/>
      <protection locked="0"/>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0" fillId="18" borderId="0" xfId="0" applyFill="1" applyAlignment="1"/>
    <xf numFmtId="0" fontId="275" fillId="0" borderId="0" xfId="0" applyFont="1" applyAlignment="1"/>
    <xf numFmtId="0" fontId="276" fillId="0" borderId="0" xfId="0" applyFont="1" applyAlignment="1"/>
    <xf numFmtId="0" fontId="277" fillId="0" borderId="0" xfId="16" applyFont="1" applyAlignment="1" applyProtection="1"/>
    <xf numFmtId="0" fontId="276" fillId="18" borderId="0" xfId="0" applyFont="1" applyFill="1" applyAlignment="1"/>
    <xf numFmtId="0" fontId="275" fillId="18" borderId="0" xfId="0" applyFont="1" applyFill="1" applyAlignment="1"/>
    <xf numFmtId="14" fontId="275" fillId="0" borderId="0" xfId="0" applyNumberFormat="1" applyFont="1" applyAlignment="1"/>
    <xf numFmtId="0" fontId="276" fillId="19" borderId="0" xfId="0" applyFont="1" applyFill="1" applyAlignment="1"/>
    <xf numFmtId="0" fontId="275" fillId="19" borderId="0" xfId="0" applyFont="1" applyFill="1" applyAlignment="1"/>
    <xf numFmtId="0" fontId="0" fillId="19" borderId="0" xfId="0" applyFill="1" applyAlignment="1"/>
    <xf numFmtId="0" fontId="0" fillId="19" borderId="0" xfId="0" applyFill="1">
      <alignment vertical="center"/>
    </xf>
    <xf numFmtId="0" fontId="277" fillId="19" borderId="0" xfId="16" applyFont="1" applyFill="1" applyAlignment="1" applyProtection="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106" fillId="17"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7</xdr:row>
      <xdr:rowOff>85564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71429" cy="1285714"/>
        </a:xfrm>
        <a:prstGeom prst="rect">
          <a:avLst/>
        </a:prstGeom>
      </xdr:spPr>
    </xdr:pic>
    <xdr:clientData/>
  </xdr:twoCellAnchor>
  <xdr:twoCellAnchor editAs="oneCell">
    <xdr:from>
      <xdr:col>0</xdr:col>
      <xdr:colOff>0</xdr:colOff>
      <xdr:row>9</xdr:row>
      <xdr:rowOff>0</xdr:rowOff>
    </xdr:from>
    <xdr:to>
      <xdr:col>11</xdr:col>
      <xdr:colOff>75248</xdr:colOff>
      <xdr:row>26</xdr:row>
      <xdr:rowOff>132969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619048"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taishan.newhouse.fang.com/2018-02-05/27742084.htm" TargetMode="External"/><Relationship Id="rId1" Type="http://schemas.openxmlformats.org/officeDocument/2006/relationships/hyperlink" Target="https://taishan.news.fang.com/2018-11-23/30348198.ht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2656</v>
      </c>
      <c r="B1" s="2867" t="s">
        <v>2753</v>
      </c>
    </row>
    <row r="2" spans="1:55" s="2871" customFormat="1" ht="15" thickTop="1">
      <c r="A2" s="2869" t="s">
        <v>2660</v>
      </c>
      <c r="B2" s="2870" t="str">
        <f>'预评函-封皮'!B37</f>
        <v>广东省江门市台山市台城板岗管理区北闸村门口洞出让国有建设用地使用权抵押价格预评估</v>
      </c>
      <c r="AX2" s="2872"/>
      <c r="AZ2" s="2872"/>
      <c r="BA2" s="2873"/>
      <c r="BC2" s="2873"/>
    </row>
    <row r="3" spans="1:55" s="2874" customFormat="1">
      <c r="A3" s="2853" t="s">
        <v>2661</v>
      </c>
      <c r="B3" s="2856" t="str">
        <f>'预评函-封皮'!B40</f>
        <v>中诚信托有限责任公司</v>
      </c>
    </row>
    <row r="4" spans="1:55" s="2855" customFormat="1">
      <c r="A4" s="2853" t="s">
        <v>2662</v>
      </c>
      <c r="B4" s="2854" t="str">
        <f>'预评函-封皮'!B46</f>
        <v>王鹏、郑燚</v>
      </c>
      <c r="N4" s="2855" t="str">
        <f>'预评函-1'!A28</f>
        <v/>
      </c>
    </row>
    <row r="5" spans="1:55" s="2868" customFormat="1" ht="15" thickBot="1">
      <c r="A5" s="2875" t="s">
        <v>2663</v>
      </c>
      <c r="B5" s="2876" t="str">
        <f>'预评函-封皮'!B49</f>
        <v>康正预评字号</v>
      </c>
    </row>
    <row r="6" spans="1:55" s="2877" customFormat="1" ht="15" thickTop="1">
      <c r="A6" s="2869" t="s">
        <v>2705</v>
      </c>
      <c r="B6" s="2870" t="str">
        <f>'预评函-1'!A4</f>
        <v>受贵公司委托，我公司对广东省江门市台山市台城板岗管理区北闸村门口洞出让国有建设用地使用权抵押价格进行了预评估。</v>
      </c>
      <c r="AM6" s="2878"/>
    </row>
    <row r="7" spans="1:55" s="2852" customFormat="1">
      <c r="A7" s="2853" t="s">
        <v>2657</v>
      </c>
      <c r="B7" s="2854" t="str">
        <f>'预评函-1'!A6</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8" spans="1:55" s="2852" customFormat="1">
      <c r="A8" s="2853" t="s">
        <v>2658</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2708</v>
      </c>
      <c r="B9" s="2854" t="str">
        <f>'预评函-1'!A9</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2" customFormat="1">
      <c r="A10" s="2853" t="s">
        <v>2659</v>
      </c>
      <c r="B10" s="2854" t="str">
        <f>'预评函-1'!A11</f>
        <v>2019年1月10日（评估专业人员勘察现场之日）</v>
      </c>
    </row>
    <row r="11" spans="1:55" s="2852" customFormat="1">
      <c r="A11" s="2853" t="s">
        <v>2665</v>
      </c>
      <c r="B11" s="2854" t="str">
        <f>'预评函-1'!A14</f>
        <v>根据《国有土地使用证》[]，本次评估估价对象证载（地类）用途为商住、娱乐。</v>
      </c>
    </row>
    <row r="12" spans="1:55" s="2852" customFormat="1">
      <c r="A12" s="2853" t="s">
        <v>2666</v>
      </c>
      <c r="B12" s="2854" t="str">
        <f>'预评函-1'!A15</f>
        <v>本次评估设定用途即为证载用途。</v>
      </c>
    </row>
    <row r="13" spans="1:55" s="2852" customFormat="1">
      <c r="A13" s="2853" t="s">
        <v>2667</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2668</v>
      </c>
      <c r="B14" s="2854" t="str">
        <f>'预评函-1'!A18</f>
        <v>。本次评估设定土地开发程度为红线外市政基础设施达“七通”、宗地红线内场地平整。</v>
      </c>
    </row>
    <row r="15" spans="1:55" s="2852" customFormat="1">
      <c r="A15" s="2853" t="s">
        <v>2664</v>
      </c>
      <c r="B15" s="2854" t="str">
        <f>'预评函-1'!A20</f>
        <v>根据《国有土地使用证》[]，估价对象（分摊）出让国有建设用地使用权面积为88890.36平方米。根据《建设工程规划许可证》[]、《出让合同》[]，估价对象规划建筑面积为299369.98平方米。</v>
      </c>
    </row>
    <row r="16" spans="1:55" s="2852" customFormat="1">
      <c r="A16" s="2853" t="s">
        <v>2669</v>
      </c>
      <c r="B16" s="28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17" spans="1:48" s="2852" customFormat="1">
      <c r="A17" s="2853" t="s">
        <v>2670</v>
      </c>
      <c r="B17" s="2854" t="str">
        <f>'预评函-1'!A23</f>
        <v>本次评估设定估价对象剩余土地使用年限为。</v>
      </c>
    </row>
    <row r="18" spans="1:48" s="2852" customFormat="1">
      <c r="A18" s="2853" t="s">
        <v>2671</v>
      </c>
      <c r="B18" s="2854"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19" spans="1:48" s="2852" customFormat="1">
      <c r="A19" s="2853" t="s">
        <v>2672</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2673</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2674</v>
      </c>
      <c r="B21" s="2876" t="str">
        <f>'预评函-1'!A28</f>
        <v/>
      </c>
    </row>
    <row r="22" spans="1:48" ht="15" thickTop="1">
      <c r="A22" s="2864" t="s">
        <v>2675</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2676</v>
      </c>
      <c r="B23" s="2854" t="str">
        <f>'预评函-2'!K2</f>
        <v>估价期日：2019年1月10日</v>
      </c>
    </row>
    <row r="24" spans="1:48">
      <c r="A24" s="2853" t="s">
        <v>2677</v>
      </c>
      <c r="B24" s="2854" t="str">
        <f>'预评函-2'!R2</f>
        <v>估价期日的国有建设用地使用权性质：出让</v>
      </c>
    </row>
    <row r="25" spans="1:48">
      <c r="A25" s="2853" t="s">
        <v>2733</v>
      </c>
      <c r="B25" s="2854" t="str">
        <f>'预评函-2'!A3</f>
        <v>估价期日土地使用者</v>
      </c>
    </row>
    <row r="26" spans="1:48">
      <c r="A26" s="2853" t="s">
        <v>2709</v>
      </c>
      <c r="B26" s="2854" t="str">
        <f>'预评函-2'!A5</f>
        <v>中信开发</v>
      </c>
    </row>
    <row r="27" spans="1:48">
      <c r="A27" s="2853" t="s">
        <v>2734</v>
      </c>
      <c r="B27" s="2854" t="str">
        <f>'预评函-2'!B3</f>
        <v>宗地编号/不动产单元号</v>
      </c>
    </row>
    <row r="28" spans="1:48">
      <c r="A28" s="2853" t="s">
        <v>2710</v>
      </c>
      <c r="B28" s="2854" t="str">
        <f>'预评函-2'!B5</f>
        <v>11111111111</v>
      </c>
    </row>
    <row r="29" spans="1:48">
      <c r="A29" s="2853" t="s">
        <v>2736</v>
      </c>
      <c r="B29" s="2854">
        <f>'预评函-2'!C5</f>
        <v>22</v>
      </c>
    </row>
    <row r="30" spans="1:48">
      <c r="A30" s="2853" t="s">
        <v>2737</v>
      </c>
      <c r="B30" s="2854" t="str">
        <f>'预评函-2'!D3</f>
        <v>土地使用证编号/不动产权证书编号</v>
      </c>
    </row>
    <row r="31" spans="1:48">
      <c r="A31" s="2853" t="s">
        <v>2711</v>
      </c>
      <c r="B31" s="2854" t="str">
        <f>'预评函-2'!D5</f>
        <v>京国土字第111号</v>
      </c>
    </row>
    <row r="32" spans="1:48">
      <c r="A32" s="2853" t="s">
        <v>2712</v>
      </c>
      <c r="B32" s="2854" t="str">
        <f>'预评函-2'!E5</f>
        <v>商住、娱乐</v>
      </c>
      <c r="AV32" s="2858"/>
    </row>
    <row r="33" spans="1:2">
      <c r="A33" s="2853" t="s">
        <v>2713</v>
      </c>
      <c r="B33" s="2854">
        <f>'预评函-2'!F5</f>
        <v>258</v>
      </c>
    </row>
    <row r="34" spans="1:2">
      <c r="A34" s="2853" t="s">
        <v>2714</v>
      </c>
      <c r="B34" s="2854">
        <f>'预评函-2'!G5</f>
        <v>0</v>
      </c>
    </row>
    <row r="35" spans="1:2">
      <c r="A35" s="2853" t="s">
        <v>2715</v>
      </c>
      <c r="B35" s="2854">
        <f>'预评函-2'!H5</f>
        <v>1.5</v>
      </c>
    </row>
    <row r="36" spans="1:2">
      <c r="A36" s="2853" t="s">
        <v>2716</v>
      </c>
      <c r="B36" s="2854">
        <f>'预评函-2'!I5</f>
        <v>1.5</v>
      </c>
    </row>
    <row r="37" spans="1:2">
      <c r="A37" s="2853" t="s">
        <v>2717</v>
      </c>
      <c r="B37" s="2854">
        <f>'预评函-2'!J5</f>
        <v>1.5</v>
      </c>
    </row>
    <row r="38" spans="1:2">
      <c r="A38" s="2853" t="s">
        <v>2718</v>
      </c>
      <c r="B38" s="2854" t="str">
        <f>'预评函-2'!K5</f>
        <v>红线外七通、宗地红线内</v>
      </c>
    </row>
    <row r="39" spans="1:2">
      <c r="A39" s="2853" t="s">
        <v>2719</v>
      </c>
      <c r="B39" s="2854" t="str">
        <f>'预评函-2'!L5</f>
        <v>红线外七通、宗地红线内场地</v>
      </c>
    </row>
    <row r="40" spans="1:2">
      <c r="A40" s="2853" t="s">
        <v>2738</v>
      </c>
      <c r="B40" s="2854" t="str">
        <f>'预评函-2'!M3</f>
        <v>（剩余）土地使用年限/年</v>
      </c>
    </row>
    <row r="41" spans="1:2">
      <c r="A41" s="2853" t="s">
        <v>2720</v>
      </c>
      <c r="B41" s="2854">
        <f>'预评函-2'!M5</f>
        <v>0</v>
      </c>
    </row>
    <row r="42" spans="1:2">
      <c r="A42" s="2853" t="s">
        <v>2739</v>
      </c>
      <c r="B42" s="2854" t="str">
        <f>'预评函-2'!N3</f>
        <v>（分摊）出让国有建设用地使用权面积/㎡</v>
      </c>
    </row>
    <row r="43" spans="1:2">
      <c r="A43" s="2853" t="s">
        <v>2721</v>
      </c>
      <c r="B43" s="2854">
        <f>'预评函-2'!N5</f>
        <v>88890.36</v>
      </c>
    </row>
    <row r="44" spans="1:2">
      <c r="A44" s="2853" t="s">
        <v>2740</v>
      </c>
      <c r="B44" s="2854" t="str">
        <f>'预评函-2'!O3</f>
        <v>规划建筑面积/㎡</v>
      </c>
    </row>
    <row r="45" spans="1:2">
      <c r="A45" s="2853" t="s">
        <v>2722</v>
      </c>
      <c r="B45" s="2854">
        <f>'预评函-2'!O5</f>
        <v>299369.98</v>
      </c>
    </row>
    <row r="46" spans="1:2">
      <c r="A46" s="2853" t="s">
        <v>2723</v>
      </c>
      <c r="B46" s="2854">
        <f ca="1">'预评函-2'!P5</f>
        <v>6729</v>
      </c>
    </row>
    <row r="47" spans="1:2">
      <c r="A47" s="2853" t="s">
        <v>2724</v>
      </c>
      <c r="B47" s="2854">
        <f ca="1">'预评函-2'!Q5</f>
        <v>1998</v>
      </c>
    </row>
    <row r="48" spans="1:2">
      <c r="A48" s="2853" t="s">
        <v>2725</v>
      </c>
      <c r="B48" s="2854">
        <f ca="1">'预评函-2'!R5</f>
        <v>59818</v>
      </c>
    </row>
    <row r="49" spans="1:2">
      <c r="A49" s="2853" t="s">
        <v>2741</v>
      </c>
      <c r="B49" s="2854" t="str">
        <f>'预评函-2'!A6</f>
        <v>抵押价格</v>
      </c>
    </row>
    <row r="50" spans="1:2">
      <c r="A50" s="2853" t="s">
        <v>2726</v>
      </c>
      <c r="B50" s="2854">
        <f ca="1">'预评函-2'!R6</f>
        <v>59818</v>
      </c>
    </row>
    <row r="51" spans="1:2">
      <c r="A51" s="2853" t="s">
        <v>2742</v>
      </c>
      <c r="B51" s="2854" t="str">
        <f>'预评函-2'!A7</f>
        <v>——</v>
      </c>
    </row>
    <row r="52" spans="1:2">
      <c r="A52" s="2853" t="s">
        <v>2727</v>
      </c>
      <c r="B52" s="2854" t="str">
        <f>'预评函-2'!R7</f>
        <v>——</v>
      </c>
    </row>
    <row r="53" spans="1:2">
      <c r="A53" s="2853" t="s">
        <v>2743</v>
      </c>
      <c r="B53" s="2854" t="str">
        <f>'预评函-2'!A8</f>
        <v>——</v>
      </c>
    </row>
    <row r="54" spans="1:2" s="2868" customFormat="1" ht="15" thickBot="1">
      <c r="A54" s="2875" t="s">
        <v>2728</v>
      </c>
      <c r="B54" s="2876" t="str">
        <f>'预评函-2'!R8</f>
        <v>——</v>
      </c>
    </row>
    <row r="55" spans="1:2" ht="15" thickTop="1">
      <c r="A55" s="2864" t="s">
        <v>2678</v>
      </c>
      <c r="B55" s="2865" t="str">
        <f>'预评函-3'!A2</f>
        <v>1.权利限制：根据估价对象《不动产权证书》原件、《国有土地使用权》复印件，截至估价期日，估价对象抵押权未见登记。未设定租赁等其他他项权利。</v>
      </c>
    </row>
    <row r="56" spans="1:2">
      <c r="A56" s="2853" t="s">
        <v>2679</v>
      </c>
      <c r="B56" s="2854" t="str">
        <f>'预评函-3'!A3</f>
        <v>2.基础设施条件：估价对象实际开发程度为红线外七通、宗地红线内；本次评估设定开发程度为红线外七通、宗地红线内场地。</v>
      </c>
    </row>
    <row r="57" spans="1:2">
      <c r="A57" s="2853" t="s">
        <v>2680</v>
      </c>
      <c r="B57" s="2854" t="str">
        <f>'预评函-3'!A4</f>
        <v>3.估价规划限制条件：详见《建设工程规划许可证》[]、《出让合同》[]。</v>
      </c>
    </row>
    <row r="58" spans="1:2" s="2868" customFormat="1" ht="15" thickBot="1">
      <c r="A58" s="2875" t="s">
        <v>2729</v>
      </c>
      <c r="B58" s="2876" t="str">
        <f>'预评函-3'!A5</f>
        <v>4.影响价格的其他限定条件：无。</v>
      </c>
    </row>
    <row r="59" spans="1:2" ht="15" thickTop="1">
      <c r="A59" s="2864" t="s">
        <v>2681</v>
      </c>
      <c r="B59" s="2865" t="str">
        <f>'预评函-3'!A8</f>
        <v>2.本《评估意见函》仅供金融机构进行内部审核使用，不做其他目的之用。</v>
      </c>
    </row>
    <row r="60" spans="1:2">
      <c r="A60" s="2853" t="s">
        <v>2682</v>
      </c>
      <c r="B60" s="2854" t="str">
        <f>'预评函-3'!A9</f>
        <v>3.抵押双方在办理抵押登记手续时，应使用本公司出具的正式《土地估价报告》，特提请报告使用者注意。</v>
      </c>
    </row>
    <row r="61" spans="1:2">
      <c r="A61" s="2853" t="s">
        <v>2684</v>
      </c>
      <c r="B61" s="2854" t="str">
        <f>'预评函-3'!A10</f>
        <v>4.估价师所知悉的法定优先受偿款情况为：</v>
      </c>
    </row>
    <row r="62" spans="1:2">
      <c r="A62" s="2853" t="s">
        <v>2683</v>
      </c>
      <c r="B62" s="28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2685</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2686</v>
      </c>
      <c r="B64" s="2859" t="str">
        <f>'预评函-3'!A13</f>
        <v>（3）。</v>
      </c>
    </row>
    <row r="65" spans="1:2">
      <c r="A65" s="2853" t="s">
        <v>2687</v>
      </c>
      <c r="B65" s="2860" t="str">
        <f>'预评函-3'!A14</f>
        <v>综上，本次评估不存在估价师知悉的法定优先受偿款</v>
      </c>
    </row>
    <row r="66" spans="1:2">
      <c r="A66" s="2853" t="s">
        <v>2688</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2689</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2692</v>
      </c>
      <c r="B68" s="2879">
        <f>'预评函-3'!D30</f>
        <v>42558</v>
      </c>
    </row>
    <row r="69" spans="1:2" ht="15" thickTop="1">
      <c r="A69" s="2864" t="s">
        <v>2690</v>
      </c>
      <c r="B69" s="2865" t="str">
        <f>'预评函-3'!A20</f>
        <v>王鹏</v>
      </c>
    </row>
    <row r="70" spans="1:2">
      <c r="A70" s="2853" t="s">
        <v>2690</v>
      </c>
      <c r="B70" s="2860">
        <f ca="1">'预评函-3'!B20</f>
        <v>2002110030</v>
      </c>
    </row>
    <row r="71" spans="1:2">
      <c r="A71" s="2853" t="s">
        <v>2691</v>
      </c>
      <c r="B71" s="2854" t="str">
        <f>'预评函-3'!A21</f>
        <v>郑燚</v>
      </c>
    </row>
    <row r="72" spans="1:2" s="2868" customFormat="1" ht="15" thickBot="1">
      <c r="A72" s="2875" t="s">
        <v>2691</v>
      </c>
      <c r="B72" s="2881">
        <f ca="1">'预评函-3'!B21</f>
        <v>2014110011</v>
      </c>
    </row>
    <row r="73" spans="1:2" ht="15" thickTop="1">
      <c r="A73" s="2864" t="s">
        <v>2750</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2751</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2752</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2787</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19" sqref="D1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44" t="str">
        <f>IF(B10="北京市","北京市",C10)&amp;F10&amp;B16&amp;"国有建设用地使用权"&amp;B9&amp;"预评估"</f>
        <v>广东省江门市台山市台城板岗管理区北闸村门口洞出让国有建设用地使用权抵押价格预评估</v>
      </c>
      <c r="C1" s="3245"/>
      <c r="D1" s="3245"/>
      <c r="E1" s="3245"/>
      <c r="F1" s="3245"/>
      <c r="G1" s="3245"/>
      <c r="H1" s="3245"/>
      <c r="I1" s="3246"/>
      <c r="J1" s="1690"/>
      <c r="K1" s="2431" t="str">
        <f>IF(B10="北京市","北京市",C10)&amp;F10&amp;B16&amp;"国有建设用地使用权"&amp;B9</f>
        <v>广东省江门市台山市台城板岗管理区北闸村门口洞出让国有建设用地使用权抵押价格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广东省江门市台山市台城板岗管理区北闸村门口洞出让国有建设用地使用权</v>
      </c>
      <c r="L2" s="1719"/>
      <c r="M2" s="1719"/>
      <c r="N2" s="1690"/>
      <c r="O2" s="1691"/>
      <c r="P2" s="1690"/>
      <c r="Q2" s="1690"/>
      <c r="R2" s="1690"/>
      <c r="S2" s="1690"/>
      <c r="T2" s="1690"/>
      <c r="U2" s="1690"/>
    </row>
    <row r="3" spans="1:21">
      <c r="A3" s="1657" t="s">
        <v>1940</v>
      </c>
      <c r="B3" s="1658">
        <v>43475</v>
      </c>
      <c r="C3" s="1659" t="s">
        <v>1996</v>
      </c>
      <c r="D3" s="1658">
        <f>B3</f>
        <v>43475</v>
      </c>
      <c r="E3" s="1690"/>
      <c r="F3" s="1690"/>
      <c r="G3" s="1690"/>
      <c r="H3" s="1656"/>
      <c r="I3" s="1691"/>
      <c r="J3" s="1690"/>
      <c r="K3" s="1770"/>
      <c r="L3" s="1719"/>
      <c r="M3" s="1719"/>
      <c r="N3" s="1690"/>
      <c r="O3" s="1691"/>
      <c r="P3" s="1690"/>
      <c r="Q3" s="1690"/>
      <c r="R3" s="1690"/>
      <c r="S3" s="1690"/>
      <c r="T3" s="1690"/>
      <c r="U3" s="1690"/>
    </row>
    <row r="4" spans="1:21" ht="15" thickBot="1">
      <c r="A4" s="1660" t="s">
        <v>1941</v>
      </c>
      <c r="B4" s="1839" t="s">
        <v>2994</v>
      </c>
      <c r="C4" s="1842">
        <f ca="1">SUMIF(土地估价师,B4,估价师及机构信息!E3:E24)</f>
        <v>2002110030</v>
      </c>
      <c r="D4" s="1839" t="s">
        <v>2995</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1" t="s">
        <v>1942</v>
      </c>
      <c r="B5" s="1785" t="s">
        <v>2996</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2996</v>
      </c>
      <c r="C6" s="1757"/>
      <c r="D6" s="1664"/>
      <c r="E6" s="1690"/>
      <c r="F6" s="1690"/>
      <c r="G6" s="1690"/>
      <c r="H6" s="1656"/>
      <c r="I6" s="1691"/>
      <c r="J6" s="1690"/>
      <c r="K6" s="3028" t="str">
        <f>IF(COUNTIF(B6,"*上海银行*"),"上海银行","")</f>
        <v/>
      </c>
      <c r="L6" s="1719"/>
      <c r="M6" s="1719"/>
      <c r="N6" s="1690"/>
      <c r="O6" s="1691"/>
      <c r="P6" s="1690"/>
      <c r="Q6" s="1690"/>
      <c r="R6" s="1690"/>
      <c r="S6" s="1690"/>
      <c r="T6" s="1690"/>
      <c r="U6" s="1690"/>
    </row>
    <row r="7" spans="1:21">
      <c r="A7" s="1665" t="s">
        <v>2707</v>
      </c>
      <c r="B7" s="1785" t="s">
        <v>2997</v>
      </c>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2998</v>
      </c>
      <c r="C8" s="1667"/>
      <c r="D8" s="3250" t="s">
        <v>1945</v>
      </c>
      <c r="E8" s="1840" t="s">
        <v>2999</v>
      </c>
      <c r="F8" s="1668"/>
      <c r="G8" s="1656"/>
      <c r="H8" s="1656"/>
      <c r="I8" s="1703"/>
      <c r="J8" s="1690"/>
      <c r="K8" s="1770"/>
      <c r="L8" s="1719"/>
      <c r="M8" s="1719"/>
      <c r="N8" s="1690"/>
      <c r="O8" s="1691"/>
      <c r="P8" s="1690"/>
      <c r="Q8" s="1690"/>
      <c r="R8" s="1690"/>
      <c r="S8" s="1690"/>
      <c r="T8" s="1690"/>
      <c r="U8" s="1690"/>
    </row>
    <row r="9" spans="1:21" ht="15" thickBot="1">
      <c r="A9" s="1669" t="s">
        <v>1944</v>
      </c>
      <c r="B9" s="1670" t="s">
        <v>2999</v>
      </c>
      <c r="C9" s="1671"/>
      <c r="D9" s="3251"/>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3173" t="s">
        <v>3000</v>
      </c>
      <c r="C10" s="1672" t="s">
        <v>3001</v>
      </c>
      <c r="D10" s="1663"/>
      <c r="E10" s="1673" t="s">
        <v>1947</v>
      </c>
      <c r="F10" s="1674" t="s">
        <v>3002</v>
      </c>
      <c r="G10" s="1741"/>
      <c r="H10" s="1742"/>
      <c r="I10" s="1663"/>
      <c r="J10" s="1690"/>
      <c r="K10" s="1770"/>
      <c r="L10" s="1719"/>
      <c r="M10" s="1719"/>
      <c r="N10" s="1690"/>
      <c r="O10" s="1691"/>
      <c r="P10" s="1690"/>
      <c r="Q10" s="1690"/>
      <c r="R10" s="1690"/>
      <c r="S10" s="1690"/>
      <c r="T10" s="1690"/>
      <c r="U10" s="1690"/>
    </row>
    <row r="11" spans="1:21" ht="71.25">
      <c r="A11" s="1693" t="s">
        <v>2001</v>
      </c>
      <c r="B11" s="1694" t="s">
        <v>3003</v>
      </c>
      <c r="C11" s="1675" t="s">
        <v>2997</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47" t="s">
        <v>3004</v>
      </c>
      <c r="C12" s="3248"/>
      <c r="D12" s="3249"/>
      <c r="E12" s="1695" t="s">
        <v>2062</v>
      </c>
      <c r="F12" s="3265" t="s">
        <v>2889</v>
      </c>
      <c r="G12" s="3266"/>
      <c r="H12" s="3266"/>
      <c r="I12" s="3267"/>
      <c r="J12" s="1690"/>
      <c r="K12" s="1770"/>
      <c r="L12" s="1719"/>
      <c r="M12" s="1719"/>
      <c r="N12" s="1690"/>
      <c r="O12" s="1691"/>
      <c r="P12" s="1690"/>
      <c r="Q12" s="1690"/>
      <c r="R12" s="1690"/>
      <c r="S12" s="1690"/>
      <c r="T12" s="1690"/>
      <c r="U12" s="1690"/>
    </row>
    <row r="13" spans="1:21">
      <c r="A13" s="1683" t="s">
        <v>2060</v>
      </c>
      <c r="B13" s="3247"/>
      <c r="C13" s="3248"/>
      <c r="D13" s="3249"/>
      <c r="E13" s="1695" t="s">
        <v>2062</v>
      </c>
      <c r="F13" s="3265" t="s">
        <v>2890</v>
      </c>
      <c r="G13" s="3266"/>
      <c r="H13" s="3266"/>
      <c r="I13" s="3267"/>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3017</v>
      </c>
      <c r="C16" s="1695" t="s">
        <v>1949</v>
      </c>
      <c r="D16" s="2622" t="s">
        <v>1950</v>
      </c>
      <c r="E16" s="1718" t="s">
        <v>3006</v>
      </c>
      <c r="F16" s="1718"/>
      <c r="G16" s="1718" t="s">
        <v>35</v>
      </c>
      <c r="H16" s="1718"/>
      <c r="I16" s="1682" t="s">
        <v>1955</v>
      </c>
      <c r="J16" s="1690"/>
      <c r="K16" s="2432" t="str">
        <f>IF(D17="","",D16&amp;TEXT(D17,"yyyy年m月d日;;"))</f>
        <v>住宅2065年4月27日</v>
      </c>
      <c r="L16" s="1695" t="str">
        <f>IF(OR(K16="",M16=""),"","、")</f>
        <v>、</v>
      </c>
      <c r="M16" s="2432" t="str">
        <f>IF(E17="","",E16&amp;TEXT(E17,"yyyy年m月d日;;"))</f>
        <v>商业2035年4月27日</v>
      </c>
      <c r="N16" s="1695" t="str">
        <f>IF(OR(M16="",O16=""),"","、")</f>
        <v/>
      </c>
      <c r="O16" s="2432" t="str">
        <f>IF(F17="","",F16&amp;TEXT(F17,"yyyy年m月d日;;"))</f>
        <v/>
      </c>
      <c r="P16" s="1695" t="str">
        <f>IF(OR(O16="",Q16=""),"","、")</f>
        <v/>
      </c>
      <c r="Q16" s="2432" t="str">
        <f>IF(G17="","",G16&amp;TEXT(G17,"yyyy年m月d日;;"))</f>
        <v>地下车库2045年4月27日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60384</v>
      </c>
      <c r="E17" s="1696">
        <v>49426</v>
      </c>
      <c r="F17" s="1696"/>
      <c r="G17" s="1696">
        <v>53079</v>
      </c>
      <c r="H17" s="1696"/>
      <c r="I17" s="1696"/>
      <c r="J17" s="1690"/>
      <c r="K17" s="2431" t="str">
        <f>CONCATENATE(K16,L16,M16,N16,O16,P16,Q16,R16,S16,T16,,U16)</f>
        <v>住宅2065年4月27日、商业2035年4月27日地下车库2045年4月27日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46.32</v>
      </c>
      <c r="E19" s="1681">
        <f>IF(B16="出让",IF(E17="","",ROUNDDOWN(MIN((E17-$D$3)/365,E18),2)),E18)</f>
        <v>16.3</v>
      </c>
      <c r="F19" s="1681" t="str">
        <f>IF(B16="出让",IF(F17="","",ROUNDDOWN(MIN((F17-$D$3)/365,F18),2)),F18)</f>
        <v/>
      </c>
      <c r="G19" s="1681">
        <f>IF(B16="出让",IF(G17="","",ROUNDDOWN(MIN((G17-$D$3)/365,G18),2)),G18)</f>
        <v>26.31</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62"/>
      <c r="E20" s="3263"/>
      <c r="F20" s="3263"/>
      <c r="G20" s="3263"/>
      <c r="H20" s="3263"/>
      <c r="I20" s="3264"/>
      <c r="J20" s="1690"/>
      <c r="K20" s="1770"/>
      <c r="L20" s="1719"/>
      <c r="M20" s="1719"/>
      <c r="N20" s="1690"/>
      <c r="O20" s="1691"/>
      <c r="P20" s="1690"/>
      <c r="Q20" s="1690"/>
      <c r="R20" s="1690"/>
      <c r="S20" s="1690"/>
      <c r="T20" s="1690"/>
      <c r="U20" s="1690"/>
    </row>
    <row r="21" spans="1:21">
      <c r="A21" s="1759" t="s">
        <v>1959</v>
      </c>
      <c r="B21" s="1760" t="s">
        <v>1960</v>
      </c>
      <c r="C21" s="1755">
        <f>'数据-汇总表'!E3</f>
        <v>299369.98</v>
      </c>
      <c r="D21" s="1756" t="s">
        <v>1961</v>
      </c>
      <c r="E21" s="3252" t="s">
        <v>1999</v>
      </c>
      <c r="F21" s="3253"/>
      <c r="G21" s="3253"/>
      <c r="H21" s="3253"/>
      <c r="I21" s="3254"/>
      <c r="J21" s="1690"/>
      <c r="K21" s="1770"/>
      <c r="L21" s="1719"/>
      <c r="M21" s="1719"/>
      <c r="N21" s="1690"/>
      <c r="O21" s="1691"/>
      <c r="P21" s="1690"/>
      <c r="Q21" s="1690"/>
      <c r="R21" s="1690"/>
      <c r="S21" s="1690"/>
      <c r="T21" s="1690"/>
      <c r="U21" s="1690"/>
    </row>
    <row r="22" spans="1:21">
      <c r="A22" s="3118" t="s">
        <v>952</v>
      </c>
      <c r="B22" s="1657" t="s">
        <v>1962</v>
      </c>
      <c r="C22" s="1682">
        <f>'数据-汇总表'!D3</f>
        <v>88890.36</v>
      </c>
      <c r="D22" s="1683" t="s">
        <v>1961</v>
      </c>
      <c r="E22" s="3252" t="s">
        <v>2891</v>
      </c>
      <c r="F22" s="3253"/>
      <c r="G22" s="3253"/>
      <c r="H22" s="3253"/>
      <c r="I22" s="3254"/>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55" t="s">
        <v>1967</v>
      </c>
      <c r="C24" s="3256"/>
      <c r="D24" s="3257" t="s">
        <v>1968</v>
      </c>
      <c r="E24" s="3258"/>
      <c r="F24" s="1704" t="s">
        <v>1969</v>
      </c>
      <c r="G24" s="1690"/>
      <c r="H24" s="1690"/>
      <c r="I24" s="1703"/>
      <c r="J24" s="1690"/>
      <c r="K24" s="3243"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43"/>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43"/>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29" t="s">
        <v>2002</v>
      </c>
      <c r="B31" s="1760" t="s">
        <v>2003</v>
      </c>
      <c r="C31" s="3268"/>
      <c r="D31" s="3269"/>
      <c r="E31" s="1690"/>
      <c r="F31" s="1690"/>
      <c r="G31" s="1690"/>
      <c r="H31" s="1690"/>
      <c r="I31" s="1703"/>
      <c r="J31" s="1690"/>
      <c r="K31" s="2434"/>
      <c r="L31" s="1690"/>
      <c r="M31" s="1690"/>
      <c r="N31" s="1690"/>
      <c r="O31" s="1690"/>
      <c r="P31" s="1690"/>
      <c r="Q31" s="1690"/>
      <c r="R31" s="1690"/>
      <c r="S31" s="1690"/>
      <c r="T31" s="1690"/>
      <c r="U31" s="1690"/>
    </row>
    <row r="32" spans="1:21">
      <c r="A32" s="3229"/>
      <c r="B32" s="1657" t="s">
        <v>2004</v>
      </c>
      <c r="C32" s="1715"/>
      <c r="D32" s="1716"/>
      <c r="E32" s="1690"/>
      <c r="F32" s="1690"/>
      <c r="G32" s="1690"/>
      <c r="H32" s="1690"/>
      <c r="I32" s="1703"/>
      <c r="J32" s="1690"/>
      <c r="K32" s="2434"/>
      <c r="L32" s="1690"/>
      <c r="M32" s="1690"/>
      <c r="N32" s="1690"/>
      <c r="O32" s="1690"/>
      <c r="P32" s="1690"/>
      <c r="Q32" s="1690"/>
      <c r="R32" s="1690"/>
      <c r="S32" s="1690"/>
      <c r="T32" s="1690"/>
      <c r="U32" s="1690"/>
    </row>
    <row r="33" spans="1:21">
      <c r="A33" s="3229"/>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30"/>
      <c r="B34" s="1657" t="s">
        <v>2006</v>
      </c>
      <c r="C34" s="3231"/>
      <c r="D34" s="3232"/>
      <c r="E34" s="1690"/>
      <c r="F34" s="1690"/>
      <c r="G34" s="1690"/>
      <c r="H34" s="1690"/>
      <c r="I34" s="1703"/>
      <c r="J34" s="1690"/>
      <c r="K34" s="2434"/>
      <c r="L34" s="1690"/>
      <c r="M34" s="1690"/>
      <c r="N34" s="1690"/>
      <c r="O34" s="1690"/>
      <c r="P34" s="1690"/>
      <c r="Q34" s="1690"/>
      <c r="R34" s="1690"/>
      <c r="S34" s="1690"/>
      <c r="T34" s="1690"/>
      <c r="U34" s="1690"/>
    </row>
    <row r="35" spans="1:21">
      <c r="A35" s="3233" t="s">
        <v>847</v>
      </c>
      <c r="B35" s="1718"/>
      <c r="C35" s="1772" t="str">
        <f>IF(B35="场地平整","——","具体情况：")</f>
        <v>具体情况：</v>
      </c>
      <c r="D35" s="3235"/>
      <c r="E35" s="3236"/>
      <c r="F35" s="3236"/>
      <c r="G35" s="3236"/>
      <c r="H35" s="3236"/>
      <c r="I35" s="3237"/>
      <c r="J35" s="1690"/>
      <c r="K35" s="1771"/>
      <c r="L35" s="1719"/>
      <c r="M35" s="1719"/>
      <c r="N35" s="1690"/>
      <c r="O35" s="1691"/>
      <c r="P35" s="1690"/>
      <c r="Q35" s="1690"/>
      <c r="R35" s="1690"/>
      <c r="S35" s="1690"/>
      <c r="T35" s="1690"/>
      <c r="U35" s="1690"/>
    </row>
    <row r="36" spans="1:21">
      <c r="A36" s="3229"/>
      <c r="B36" s="3238" t="s">
        <v>2055</v>
      </c>
      <c r="C36" s="3239"/>
      <c r="D36" s="1788"/>
      <c r="E36" s="3240"/>
      <c r="F36" s="3240"/>
      <c r="G36" s="1683" t="str">
        <f>IF(B35="场地未平整","估价结果处理","")</f>
        <v/>
      </c>
      <c r="H36" s="3241"/>
      <c r="I36" s="3241"/>
      <c r="J36" s="1690"/>
      <c r="K36" s="1771"/>
      <c r="L36" s="1719"/>
      <c r="M36" s="1719"/>
      <c r="N36" s="1690"/>
      <c r="O36" s="1691"/>
      <c r="P36" s="1690"/>
      <c r="Q36" s="1690"/>
      <c r="R36" s="1690"/>
      <c r="S36" s="1690"/>
      <c r="T36" s="1690"/>
      <c r="U36" s="1690"/>
    </row>
    <row r="37" spans="1:21" ht="28.5">
      <c r="A37" s="3229"/>
      <c r="B37" s="3259"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29"/>
      <c r="B38" s="3260"/>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30"/>
      <c r="B39" s="326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42" t="s">
        <v>1986</v>
      </c>
      <c r="T40" s="1727" t="str">
        <f>NUMBERSTRING(7-K40,1)&amp;"通"</f>
        <v>七通</v>
      </c>
      <c r="U40" s="1690"/>
    </row>
    <row r="41" spans="1:21" ht="28.5">
      <c r="A41" s="1659"/>
      <c r="B41" s="3234" t="s">
        <v>1722</v>
      </c>
      <c r="C41" s="3234"/>
      <c r="D41" s="3234"/>
      <c r="E41" s="3234"/>
      <c r="F41" s="1728" t="str">
        <f>C10</f>
        <v>广东省江门市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2"/>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2892</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2334</v>
      </c>
      <c r="BA2" s="233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88890.36</v>
      </c>
      <c r="B3" s="22">
        <f>IF(C3="否",G5-AT5,G5)</f>
        <v>299369.98</v>
      </c>
      <c r="C3" s="23" t="s">
        <v>3010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299369.98</v>
      </c>
      <c r="H5" s="27">
        <f t="shared" ref="H5:AT5" si="0">SUM(H13:H641)</f>
        <v>296895.94999999995</v>
      </c>
      <c r="I5" s="27">
        <f t="shared" si="0"/>
        <v>177455.55</v>
      </c>
      <c r="J5" s="27">
        <f t="shared" si="0"/>
        <v>0</v>
      </c>
      <c r="K5" s="27">
        <f t="shared" si="0"/>
        <v>0</v>
      </c>
      <c r="L5" s="27">
        <f t="shared" si="0"/>
        <v>0</v>
      </c>
      <c r="M5" s="27">
        <f t="shared" si="0"/>
        <v>44982.400000000001</v>
      </c>
      <c r="N5" s="27">
        <f t="shared" si="0"/>
        <v>0</v>
      </c>
      <c r="O5" s="27">
        <f t="shared" si="0"/>
        <v>74458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2474.0300000000002</v>
      </c>
      <c r="AD5" s="27">
        <f t="shared" si="0"/>
        <v>2474.0300000000002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299369.98</v>
      </c>
      <c r="BA5" s="29">
        <f t="shared" si="1"/>
        <v>296895.94999999995</v>
      </c>
      <c r="BB5" s="29">
        <f t="shared" si="1"/>
        <v>177455.55</v>
      </c>
      <c r="BC5" s="29">
        <f t="shared" si="1"/>
        <v>0</v>
      </c>
      <c r="BD5" s="29">
        <f t="shared" si="1"/>
        <v>44982.400000000001</v>
      </c>
      <c r="BE5" s="29">
        <f t="shared" si="1"/>
        <v>74458</v>
      </c>
      <c r="BF5" s="29">
        <f t="shared" si="1"/>
        <v>0</v>
      </c>
      <c r="BG5" s="29">
        <f t="shared" si="1"/>
        <v>0</v>
      </c>
      <c r="BH5" s="29">
        <f t="shared" si="1"/>
        <v>0</v>
      </c>
      <c r="BI5" s="29">
        <f t="shared" si="1"/>
        <v>0</v>
      </c>
      <c r="BJ5" s="29">
        <f t="shared" si="1"/>
        <v>0</v>
      </c>
      <c r="BK5" s="29">
        <f t="shared" si="1"/>
        <v>0</v>
      </c>
      <c r="BL5" s="29">
        <f t="shared" si="1"/>
        <v>2474.0300000000002</v>
      </c>
      <c r="BM5" s="29">
        <f t="shared" si="1"/>
        <v>2474.0300000000002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88890.36</v>
      </c>
      <c r="F6" s="27" t="s">
        <v>1</v>
      </c>
      <c r="G6" s="27" t="s">
        <v>2</v>
      </c>
      <c r="H6" s="33">
        <f>SUMIF(I$12:AB$12,"总值",I6:AB6)</f>
        <v>88155.76</v>
      </c>
      <c r="I6" s="27">
        <f t="shared" ref="I6:AB6" si="2">ROUND($A$3*I5/$B$3,2)</f>
        <v>52690.95</v>
      </c>
      <c r="J6" s="27">
        <f t="shared" si="2"/>
        <v>0</v>
      </c>
      <c r="K6" s="27">
        <f t="shared" si="2"/>
        <v>0</v>
      </c>
      <c r="L6" s="27">
        <f t="shared" si="2"/>
        <v>0</v>
      </c>
      <c r="M6" s="27">
        <f t="shared" si="2"/>
        <v>13356.39</v>
      </c>
      <c r="N6" s="27">
        <f t="shared" si="2"/>
        <v>0</v>
      </c>
      <c r="O6" s="27">
        <f t="shared" si="2"/>
        <v>22108.42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734.6</v>
      </c>
      <c r="AD6" s="27">
        <f t="shared" ref="AD6:AS6" si="3">ROUND($A$3*AD5/$B$3,2)</f>
        <v>734.6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88890.36</v>
      </c>
      <c r="AZ6" s="27" t="s">
        <v>3</v>
      </c>
      <c r="BA6" s="27">
        <f>ROUND($AY$6*BA5/$AZ$5,2)</f>
        <v>88155.76</v>
      </c>
      <c r="BB6" s="27">
        <f>ROUND($AY$6*BB5/$AZ$5,2)</f>
        <v>52690.95</v>
      </c>
      <c r="BC6" s="27">
        <f t="shared" ref="BC6:BH6" si="4">ROUND($AY$6*BC5/$AZ$5,2)</f>
        <v>0</v>
      </c>
      <c r="BD6" s="27">
        <f t="shared" si="4"/>
        <v>13356.39</v>
      </c>
      <c r="BE6" s="27">
        <f t="shared" si="4"/>
        <v>22108.42</v>
      </c>
      <c r="BF6" s="27">
        <f t="shared" si="4"/>
        <v>0</v>
      </c>
      <c r="BG6" s="27">
        <f t="shared" si="4"/>
        <v>0</v>
      </c>
      <c r="BH6" s="27">
        <f t="shared" si="4"/>
        <v>0</v>
      </c>
      <c r="BI6" s="27">
        <f t="shared" ref="BI6:BT6" si="5">ROUND($AY$6*BI5/$AZ$5,2)</f>
        <v>0</v>
      </c>
      <c r="BJ6" s="27">
        <f t="shared" si="5"/>
        <v>0</v>
      </c>
      <c r="BK6" s="27">
        <f t="shared" si="5"/>
        <v>0</v>
      </c>
      <c r="BL6" s="27">
        <f t="shared" si="5"/>
        <v>734.6</v>
      </c>
      <c r="BM6" s="27">
        <f t="shared" si="5"/>
        <v>734.6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3005</v>
      </c>
      <c r="J9" s="51"/>
      <c r="K9" s="2991"/>
      <c r="L9" s="51"/>
      <c r="M9" s="2991" t="s">
        <v>3005</v>
      </c>
      <c r="N9" s="51"/>
      <c r="O9" s="2991" t="s">
        <v>3007</v>
      </c>
      <c r="P9" s="51"/>
      <c r="Q9" s="2991"/>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3" t="s">
        <v>923</v>
      </c>
      <c r="J10" s="51"/>
      <c r="K10" s="2991"/>
      <c r="L10" s="51"/>
      <c r="M10" s="2993" t="s">
        <v>3006</v>
      </c>
      <c r="N10" s="51"/>
      <c r="O10" s="2993" t="s">
        <v>3008</v>
      </c>
      <c r="P10" s="51"/>
      <c r="Q10" s="2993"/>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3009</v>
      </c>
      <c r="J11" s="71"/>
      <c r="K11" s="2992"/>
      <c r="L11" s="71"/>
      <c r="M11" s="70"/>
      <c r="N11" s="71"/>
      <c r="O11" s="70"/>
      <c r="P11" s="71"/>
      <c r="Q11" s="2992"/>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63.75">
      <c r="A13" s="2986"/>
      <c r="B13" s="2986" t="s">
        <v>3193</v>
      </c>
      <c r="C13" s="2986"/>
      <c r="D13" s="2987" t="s">
        <v>1679</v>
      </c>
      <c r="E13" s="27">
        <f t="shared" ref="E13:E20" si="6">IF($C$3="是",ROUND($A$3*G13/$B$3,2),ROUND($A$3*(G13-AT13)/$B$3,2))</f>
        <v>88890.36</v>
      </c>
      <c r="F13" s="81"/>
      <c r="G13" s="82">
        <f t="shared" ref="G13:G20" si="7">H13+AC13+AT13</f>
        <v>299369.98</v>
      </c>
      <c r="H13" s="33">
        <f t="shared" ref="H13:H20" si="8">SUMIF(I$12:AB$12,"总值",I13:AB13)</f>
        <v>296895.94999999995</v>
      </c>
      <c r="I13" s="2990">
        <f>179929.58-AD13</f>
        <v>177455.55</v>
      </c>
      <c r="J13" s="2990"/>
      <c r="K13" s="2990"/>
      <c r="L13" s="2990"/>
      <c r="M13" s="2990">
        <v>44982.400000000001</v>
      </c>
      <c r="N13" s="83"/>
      <c r="O13" s="83">
        <v>74458</v>
      </c>
      <c r="P13" s="83"/>
      <c r="Q13" s="2990"/>
      <c r="R13" s="83"/>
      <c r="S13" s="83"/>
      <c r="T13" s="83"/>
      <c r="U13" s="83"/>
      <c r="V13" s="83"/>
      <c r="W13" s="83"/>
      <c r="X13" s="83"/>
      <c r="Y13" s="83"/>
      <c r="Z13" s="83"/>
      <c r="AA13" s="83"/>
      <c r="AB13" s="83"/>
      <c r="AC13" s="27">
        <f t="shared" ref="AC13:AC20" si="9">SUMIF(AD$12:AS$12,"总值",AD13:AS13)</f>
        <v>2474.0300000000002</v>
      </c>
      <c r="AD13" s="2994">
        <v>2474.0300000000002</v>
      </c>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t="str">
        <f t="shared" si="10"/>
        <v>规划条件/台山北闸村项目投资分析---投资成本费用预测表</v>
      </c>
      <c r="AX13" s="17">
        <f t="shared" si="10"/>
        <v>0</v>
      </c>
      <c r="AY13" s="994">
        <f t="shared" ref="AY13:AY20" si="11">ROUND($AY$6*AZ13/$AZ$5,2)</f>
        <v>88890.36</v>
      </c>
      <c r="AZ13" s="27">
        <f t="shared" ref="AZ13:AZ20" si="12">BA13+BL13</f>
        <v>299369.98</v>
      </c>
      <c r="BA13" s="27">
        <f t="shared" ref="BA13:BA20" si="13">SUM(BB13:BK13)</f>
        <v>296895.94999999995</v>
      </c>
      <c r="BB13" s="27">
        <f t="shared" ref="BB13:BB20" si="14">IF($D13="是",I13-J13,0)</f>
        <v>177455.55</v>
      </c>
      <c r="BC13" s="27">
        <f t="shared" ref="BC13:BC20" si="15">IF($D13="是",K13-L13,0)</f>
        <v>0</v>
      </c>
      <c r="BD13" s="27">
        <f t="shared" ref="BD13:BD20" si="16">IF($D13="是",M13-N13,0)</f>
        <v>44982.400000000001</v>
      </c>
      <c r="BE13" s="27">
        <f t="shared" ref="BE13:BE20" si="17">IF($D13="是",O13-P13,0)</f>
        <v>74458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2474.0300000000002</v>
      </c>
      <c r="BM13" s="27">
        <f t="shared" ref="BM13:BM20" si="25">IF($D13="是",AD13-AE13,0)</f>
        <v>2474.0300000000002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1" t="s">
        <v>203</v>
      </c>
      <c r="B2" s="3281"/>
      <c r="C2" s="3281"/>
      <c r="D2" s="1972" t="s">
        <v>204</v>
      </c>
      <c r="E2" s="106" t="s">
        <v>205</v>
      </c>
      <c r="F2" s="1981"/>
      <c r="G2" s="1196"/>
      <c r="H2" s="1197"/>
      <c r="I2" s="1198" t="s">
        <v>857</v>
      </c>
      <c r="J2" s="1981"/>
      <c r="K2" s="1981"/>
      <c r="L2" s="1981"/>
    </row>
    <row r="3" spans="1:16" ht="15.75" thickBot="1">
      <c r="A3" s="3282" t="s">
        <v>206</v>
      </c>
      <c r="B3" s="3282"/>
      <c r="C3" s="3282"/>
      <c r="D3" s="107">
        <f>'数据-基础表'!AY6</f>
        <v>88890.36</v>
      </c>
      <c r="E3" s="107">
        <f>'数据-基础表'!AZ5</f>
        <v>299369.98</v>
      </c>
      <c r="F3" s="1981"/>
      <c r="G3" s="279" t="s">
        <v>858</v>
      </c>
      <c r="H3" s="274" t="s">
        <v>859</v>
      </c>
      <c r="I3" s="1973">
        <f>ROUND('数据-基础表'!B3/'数据-基础表'!A3,2)</f>
        <v>3.37</v>
      </c>
      <c r="J3" s="1981"/>
      <c r="K3" s="1981"/>
      <c r="L3" s="1981"/>
    </row>
    <row r="4" spans="1:16" ht="15">
      <c r="A4" s="3283"/>
      <c r="B4" s="3284"/>
      <c r="C4" s="3285"/>
      <c r="D4" s="108" t="s">
        <v>204</v>
      </c>
      <c r="E4" s="109" t="s">
        <v>205</v>
      </c>
      <c r="F4" s="1981"/>
      <c r="G4" s="1199"/>
      <c r="H4" s="274" t="s">
        <v>860</v>
      </c>
      <c r="I4" s="1973">
        <f>ROUND(SUMIF('数据-基础表'!I9:AS9,"地上",'数据-基础表'!I5:AS5)/'数据-基础表'!A3,2)</f>
        <v>2.5299999999999998</v>
      </c>
      <c r="J4" s="1981"/>
      <c r="K4" s="1981"/>
      <c r="L4" s="1981"/>
    </row>
    <row r="5" spans="1:16">
      <c r="A5" s="110" t="s">
        <v>207</v>
      </c>
      <c r="B5" s="3286" t="s">
        <v>230</v>
      </c>
      <c r="C5" s="3286"/>
      <c r="D5" s="111">
        <f>ROUND($D$3*E5/$E$3,2)</f>
        <v>52690.95</v>
      </c>
      <c r="E5" s="112">
        <f>SUMIF('数据-基础表'!$11:$11,"住宅",'数据-基础表'!$5:$5)</f>
        <v>177455.55</v>
      </c>
      <c r="F5" s="1981"/>
      <c r="G5" s="279" t="s">
        <v>861</v>
      </c>
      <c r="H5" s="274" t="s">
        <v>859</v>
      </c>
      <c r="I5" s="1973">
        <f>ROUND(E31/D31,2)</f>
        <v>3.37</v>
      </c>
      <c r="J5" s="1981"/>
      <c r="K5" s="1981"/>
      <c r="L5" s="1981"/>
    </row>
    <row r="6" spans="1:16" ht="15" thickBot="1">
      <c r="A6" s="113"/>
      <c r="B6" s="3286" t="s">
        <v>208</v>
      </c>
      <c r="C6" s="3286"/>
      <c r="D6" s="111">
        <f>ROUND($D$3*E6/$E$3,2)</f>
        <v>36199.410000000003</v>
      </c>
      <c r="E6" s="112">
        <f>E3-E5</f>
        <v>121914.43</v>
      </c>
      <c r="F6" s="1981"/>
      <c r="G6" s="1199"/>
      <c r="H6" s="274" t="s">
        <v>860</v>
      </c>
      <c r="I6" s="1973">
        <f>ROUND(F31/D31,2)</f>
        <v>2.5299999999999998</v>
      </c>
      <c r="J6" s="1981"/>
      <c r="K6" s="1981"/>
      <c r="L6" s="1981"/>
    </row>
    <row r="7" spans="1:16" ht="15">
      <c r="A7" s="3278"/>
      <c r="B7" s="3279"/>
      <c r="C7" s="3280"/>
      <c r="D7" s="108" t="s">
        <v>204</v>
      </c>
      <c r="E7" s="114" t="s">
        <v>231</v>
      </c>
      <c r="F7" s="1981"/>
      <c r="G7" s="1154" t="s">
        <v>1646</v>
      </c>
      <c r="H7" s="1155"/>
      <c r="I7" s="1843"/>
      <c r="J7" s="1981"/>
      <c r="K7" s="1981"/>
      <c r="L7" s="1981"/>
    </row>
    <row r="8" spans="1:16">
      <c r="A8" s="110" t="s">
        <v>209</v>
      </c>
      <c r="B8" s="115" t="s">
        <v>210</v>
      </c>
      <c r="C8" s="111" t="s">
        <v>211</v>
      </c>
      <c r="D8" s="111">
        <f t="shared" ref="D8:D15" si="0">ROUND($D$3*E8/$E$3,2)</f>
        <v>66047.34</v>
      </c>
      <c r="E8" s="116">
        <f>SUMIF('数据-基础表'!BB10:BK10,"地上",'数据-基础表'!BB5:BK5)</f>
        <v>222437.94999999998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22108.42</v>
      </c>
      <c r="E13" s="116">
        <f>SUMPRODUCT(('数据-基础表'!BB10:BK10="地下")*('数据-基础表'!BB11:BK11="车库")*('数据-基础表'!BB5:BK5))</f>
        <v>74458</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88155.76</v>
      </c>
      <c r="E16" s="120">
        <f>SUM(E8:E15)</f>
        <v>296895.94999999995</v>
      </c>
      <c r="F16" s="1981"/>
      <c r="G16" s="1983"/>
      <c r="H16" s="966" t="s">
        <v>219</v>
      </c>
      <c r="I16" s="967"/>
      <c r="J16" s="1981"/>
      <c r="K16" s="3272" t="s">
        <v>2566</v>
      </c>
      <c r="L16" s="3273"/>
      <c r="M16" s="3273"/>
      <c r="N16" s="3273"/>
      <c r="O16" s="3273"/>
      <c r="P16" s="3274"/>
    </row>
    <row r="17" spans="1:19" ht="15">
      <c r="A17" s="121" t="s">
        <v>216</v>
      </c>
      <c r="B17" s="122" t="s">
        <v>217</v>
      </c>
      <c r="C17" s="2295" t="s">
        <v>2314</v>
      </c>
      <c r="D17" s="108" t="s">
        <v>204</v>
      </c>
      <c r="E17" s="124" t="s">
        <v>205</v>
      </c>
      <c r="F17" s="125"/>
      <c r="G17" s="1363"/>
      <c r="H17" s="968" t="s">
        <v>218</v>
      </c>
      <c r="I17" s="969" t="s">
        <v>2313</v>
      </c>
      <c r="J17" s="1981"/>
      <c r="K17" s="3275" t="s">
        <v>2567</v>
      </c>
      <c r="L17" s="3276"/>
      <c r="M17" s="3277"/>
      <c r="N17" s="3275" t="s">
        <v>2568</v>
      </c>
      <c r="O17" s="3276"/>
      <c r="P17" s="3277"/>
      <c r="R17" s="2296" t="s">
        <v>2312</v>
      </c>
      <c r="S17" s="144"/>
    </row>
    <row r="18" spans="1:19" ht="15">
      <c r="A18" s="117"/>
      <c r="B18" s="128"/>
      <c r="C18" s="129"/>
      <c r="D18" s="2618"/>
      <c r="E18" s="130" t="s">
        <v>220</v>
      </c>
      <c r="F18" s="131" t="s">
        <v>221</v>
      </c>
      <c r="G18" s="1364" t="s">
        <v>222</v>
      </c>
      <c r="H18" s="970" t="s">
        <v>223</v>
      </c>
      <c r="I18" s="971" t="s">
        <v>224</v>
      </c>
      <c r="J18" s="1981"/>
      <c r="K18" s="2581" t="s">
        <v>2569</v>
      </c>
      <c r="L18" s="2582" t="s">
        <v>2570</v>
      </c>
      <c r="M18" s="2583" t="s">
        <v>2571</v>
      </c>
      <c r="N18" s="2581" t="s">
        <v>2569</v>
      </c>
      <c r="O18" s="2582" t="s">
        <v>2570</v>
      </c>
      <c r="P18" s="2583" t="s">
        <v>2571</v>
      </c>
      <c r="R18" s="2297" t="s">
        <v>2310</v>
      </c>
      <c r="S18" s="2297" t="s">
        <v>2311</v>
      </c>
    </row>
    <row r="19" spans="1:19">
      <c r="A19" s="133"/>
      <c r="B19" s="115" t="s">
        <v>225</v>
      </c>
      <c r="C19" s="2997" t="s">
        <v>3013</v>
      </c>
      <c r="D19" s="111">
        <f t="shared" ref="D19:D26" si="1">ROUND($D$3*E19/$E$3,2)</f>
        <v>52690.95</v>
      </c>
      <c r="E19" s="134">
        <f t="shared" ref="E19:E26" si="2">SUM(F19:G19)</f>
        <v>177455.55</v>
      </c>
      <c r="F19" s="135">
        <f>'数据-基础表'!I13</f>
        <v>177455.55</v>
      </c>
      <c r="G19" s="1365"/>
      <c r="H19" s="972">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52690.95</v>
      </c>
      <c r="S19" s="2298">
        <f t="shared" si="5"/>
        <v>177455.55</v>
      </c>
    </row>
    <row r="20" spans="1:19">
      <c r="A20" s="138"/>
      <c r="B20" s="115" t="s">
        <v>226</v>
      </c>
      <c r="C20" s="2997" t="s">
        <v>3014</v>
      </c>
      <c r="D20" s="111">
        <f t="shared" si="1"/>
        <v>0</v>
      </c>
      <c r="E20" s="134">
        <f t="shared" si="2"/>
        <v>0</v>
      </c>
      <c r="F20" s="135">
        <f>'数据-基础表'!K13</f>
        <v>0</v>
      </c>
      <c r="G20" s="1365"/>
      <c r="H20" s="972">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t="s">
        <v>3015</v>
      </c>
      <c r="D21" s="111">
        <f t="shared" si="1"/>
        <v>13356.39</v>
      </c>
      <c r="E21" s="134">
        <f t="shared" si="2"/>
        <v>44982.400000000001</v>
      </c>
      <c r="F21" s="135">
        <f>'数据-基础表'!M13</f>
        <v>44982.400000000001</v>
      </c>
      <c r="G21" s="1365"/>
      <c r="H21" s="972">
        <f t="shared" si="6"/>
        <v>0</v>
      </c>
      <c r="I21" s="116">
        <f t="shared" si="7"/>
        <v>0</v>
      </c>
      <c r="J21" s="1981"/>
      <c r="K21" s="2584">
        <f t="shared" si="3"/>
        <v>0</v>
      </c>
      <c r="L21" s="274">
        <f t="shared" si="4"/>
        <v>0</v>
      </c>
      <c r="M21" s="2585">
        <f t="shared" si="8"/>
        <v>0</v>
      </c>
      <c r="N21" s="2586"/>
      <c r="O21" s="2587"/>
      <c r="P21" s="2588">
        <f t="shared" si="9"/>
        <v>0</v>
      </c>
      <c r="R21" s="274">
        <f t="shared" si="5"/>
        <v>13356.39</v>
      </c>
      <c r="S21" s="2298">
        <f t="shared" si="5"/>
        <v>44982.400000000001</v>
      </c>
    </row>
    <row r="22" spans="1:19">
      <c r="A22" s="138"/>
      <c r="B22" s="115" t="s">
        <v>226</v>
      </c>
      <c r="C22" s="3180" t="s">
        <v>3016</v>
      </c>
      <c r="D22" s="111">
        <f t="shared" si="1"/>
        <v>22108.42</v>
      </c>
      <c r="E22" s="134">
        <f t="shared" si="2"/>
        <v>74458</v>
      </c>
      <c r="F22" s="140"/>
      <c r="G22" s="1366">
        <f>'数据-基础表'!O13</f>
        <v>74458</v>
      </c>
      <c r="H22" s="972">
        <f t="shared" si="6"/>
        <v>0</v>
      </c>
      <c r="I22" s="116">
        <f t="shared" si="7"/>
        <v>0</v>
      </c>
      <c r="J22" s="1981"/>
      <c r="K22" s="2584">
        <f t="shared" si="3"/>
        <v>0</v>
      </c>
      <c r="L22" s="274">
        <f t="shared" si="4"/>
        <v>0</v>
      </c>
      <c r="M22" s="2585">
        <f t="shared" si="8"/>
        <v>0</v>
      </c>
      <c r="N22" s="2586"/>
      <c r="O22" s="2587"/>
      <c r="P22" s="2588">
        <f t="shared" si="9"/>
        <v>0</v>
      </c>
      <c r="R22" s="274">
        <f t="shared" si="5"/>
        <v>22108.42</v>
      </c>
      <c r="S22" s="2298">
        <f t="shared" si="5"/>
        <v>74458</v>
      </c>
    </row>
    <row r="23" spans="1:19">
      <c r="A23" s="138"/>
      <c r="B23" s="115" t="s">
        <v>226</v>
      </c>
      <c r="C23" s="139"/>
      <c r="D23" s="111">
        <f>ROUND($D$3*E23/$E$3,2)</f>
        <v>0</v>
      </c>
      <c r="E23" s="134">
        <f>SUM(F23:G23)</f>
        <v>0</v>
      </c>
      <c r="F23" s="140"/>
      <c r="G23" s="1366"/>
      <c r="H23" s="972">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6"/>
      <c r="H24" s="972">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43.5" thickBot="1">
      <c r="A27" s="138"/>
      <c r="B27" s="111"/>
      <c r="C27" s="127" t="s">
        <v>215</v>
      </c>
      <c r="D27" s="134">
        <f>SUM(D19:D26)</f>
        <v>88155.76</v>
      </c>
      <c r="E27" s="143">
        <f>IF(SUM(E19:E26)='数据-基础表'!BA5,SUM(E19:E26),IF(F27="地上面积有误","面积有误","地下面积有误"))</f>
        <v>296895.94999999995</v>
      </c>
      <c r="F27" s="134">
        <f>IF(SUM(F19:F26)=E8,SUM(F19:F26),"地上面积有误")</f>
        <v>222437.94999999998</v>
      </c>
      <c r="G27" s="112">
        <f>SUM(G19:G26)</f>
        <v>74458</v>
      </c>
      <c r="H27" s="973">
        <f>SUM(H19:H26)</f>
        <v>0</v>
      </c>
      <c r="I27" s="974">
        <f>SUM(I19:I26)</f>
        <v>0</v>
      </c>
      <c r="J27" s="1981"/>
      <c r="K27" s="2593">
        <f>SUM(K19:K26)</f>
        <v>0</v>
      </c>
      <c r="L27" s="2594">
        <f>SUM(L19:L26)</f>
        <v>0</v>
      </c>
      <c r="M27" s="2595">
        <f>SUM(M19:M26)</f>
        <v>0</v>
      </c>
      <c r="N27" s="2593">
        <f t="shared" ref="N27:O27" si="10">SUM(N19:N26)</f>
        <v>0</v>
      </c>
      <c r="O27" s="2594">
        <f t="shared" si="10"/>
        <v>0</v>
      </c>
      <c r="P27" s="2596">
        <f>SUM(P19:P26)</f>
        <v>0</v>
      </c>
      <c r="R27" s="2302" t="str">
        <f>IF(SUM(R19:R26)=$D$3,SUM(R19:R26),SUM(R19:R26)&amp;"误差"&amp;ROUND(SUM(R19:R26)-$D$3,2))</f>
        <v>88155.76误差-734.6</v>
      </c>
      <c r="S27" s="274" t="str">
        <f>IF(SUM(S19:S26)=$E$3,SUM(S19:S26),SUM(S19:S26)&amp;"误差"&amp;ROUND(SUM(S19:S26)-E3,2))</f>
        <v>296895.95误差-2474.03</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2321</v>
      </c>
      <c r="D29" s="111">
        <f>ROUND($D$3*E29/$E$3,2)</f>
        <v>734.6</v>
      </c>
      <c r="E29" s="134">
        <f>SUM(F29:G29)</f>
        <v>2474.0300000000002</v>
      </c>
      <c r="F29" s="144">
        <f>'数据-基础表'!BM5+'数据-基础表'!BO5</f>
        <v>2474.0300000000002</v>
      </c>
      <c r="G29" s="146">
        <f>'数据-基础表'!BN5+'数据-基础表'!BP5</f>
        <v>0</v>
      </c>
      <c r="H29" s="1981"/>
      <c r="I29" s="1981"/>
      <c r="J29" s="1981"/>
      <c r="K29" s="1981"/>
      <c r="L29" s="1981"/>
    </row>
    <row r="30" spans="1:19">
      <c r="A30" s="138"/>
      <c r="B30" s="111"/>
      <c r="C30" s="147" t="s">
        <v>215</v>
      </c>
      <c r="D30" s="134">
        <f>SUM(D28:D29)</f>
        <v>734.6</v>
      </c>
      <c r="E30" s="134">
        <f>SUM(E28:E29)</f>
        <v>2474.0300000000002</v>
      </c>
      <c r="F30" s="134">
        <f>SUM(F28:F29)</f>
        <v>2474.0300000000002</v>
      </c>
      <c r="G30" s="112">
        <f>SUM(G28:G29)</f>
        <v>0</v>
      </c>
      <c r="H30" s="1981"/>
      <c r="I30" s="1981"/>
      <c r="J30" s="1981"/>
      <c r="K30" s="1981"/>
      <c r="L30" s="1981"/>
    </row>
    <row r="31" spans="1:19" ht="32.25" customHeight="1" thickBot="1">
      <c r="A31" s="1367"/>
      <c r="B31" s="1368" t="s">
        <v>229</v>
      </c>
      <c r="C31" s="2327" t="s">
        <v>2323</v>
      </c>
      <c r="D31" s="1369">
        <f>D27+D30</f>
        <v>88890.36</v>
      </c>
      <c r="E31" s="1369">
        <f>E27+E30</f>
        <v>299369.98</v>
      </c>
      <c r="F31" s="1370">
        <f>F27+F30</f>
        <v>224911.97999999998</v>
      </c>
      <c r="G31" s="1371">
        <f>G27+G30</f>
        <v>74458</v>
      </c>
      <c r="H31" s="1981"/>
      <c r="I31" s="1981"/>
      <c r="J31" s="1981"/>
      <c r="K31" s="1981"/>
      <c r="L31" s="1981"/>
    </row>
    <row r="32" spans="1:19">
      <c r="A32" s="1981"/>
      <c r="B32" s="2339" t="s">
        <v>2322</v>
      </c>
      <c r="C32" s="2623"/>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43475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597"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高层</v>
      </c>
      <c r="B6" s="2334" t="str">
        <f>IF(A6=0,"","经营性")</f>
        <v>经营性</v>
      </c>
      <c r="C6" s="173" t="s">
        <v>923</v>
      </c>
      <c r="D6" s="2305">
        <f>SUMIF(项目基本情况!D$15:I$15,C6,项目基本情况!D$18:I$18)</f>
        <v>70</v>
      </c>
      <c r="E6" s="2306">
        <f>IF(B6="","",SUMIF(项目基本情况!D$15:I$15,C6,项目基本情况!D$17:I$17))</f>
        <v>60384</v>
      </c>
      <c r="F6" s="174">
        <f>SUMIF(项目基本情况!D$15:I$15,C6,项目基本情况!D$19:I$19)</f>
        <v>46.32</v>
      </c>
      <c r="G6" s="175">
        <f>IF(ISERROR(ROUND(POWER(1+H6,D6-F6)*(POWER(1+H6,F6)-1)/(POWER(1+H6,D6)-1),3)),0,ROUND(POWER(1+H6,D6-F6)*(POWER(1+H6,F6)-1)/(POWER(1+H6,D6)-1),3))</f>
        <v>0.91200000000000003</v>
      </c>
      <c r="H6" s="2998">
        <v>4.4999999999999998E-2</v>
      </c>
      <c r="I6" s="2998">
        <v>0.05</v>
      </c>
      <c r="J6" s="176">
        <v>8.5000000000000006E-2</v>
      </c>
      <c r="K6" s="179">
        <f>SUMIF('数据-汇总表'!C$19:C$33,'数据-取费表'!A6,'数据-汇总表'!E$19:E$33)</f>
        <v>177455.55</v>
      </c>
      <c r="L6" s="2999">
        <v>2800</v>
      </c>
      <c r="M6" s="177">
        <f t="shared" ref="M6:M14" si="0">ROUND(K6*L6/10000,0)</f>
        <v>49688</v>
      </c>
      <c r="N6" s="3000">
        <v>0</v>
      </c>
      <c r="O6" s="177">
        <f>IF($N$5="成新度","——",ROUND(M6*N6,0))</f>
        <v>0</v>
      </c>
      <c r="P6" s="178">
        <f>IF($N$5="成新度","——",M6-O6)</f>
        <v>49688</v>
      </c>
      <c r="Q6" s="3001">
        <v>0.08</v>
      </c>
      <c r="R6" s="179">
        <f>SUMIF('数据-汇总表'!C$19:C$33,A6,'数据-汇总表'!R$19:R$33)</f>
        <v>52690.95</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12"/>
      <c r="AN6" s="2368"/>
      <c r="AO6" s="1997"/>
      <c r="AP6" s="1202">
        <f>ROUND(1-1/(1+H6)^F6,3)</f>
        <v>0.87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别墅</v>
      </c>
      <c r="B7" s="2334" t="str">
        <f t="shared" ref="B7:B13" si="1">IF(A7=0,"","经营性")</f>
        <v>经营性</v>
      </c>
      <c r="C7" s="173" t="s">
        <v>923</v>
      </c>
      <c r="D7" s="2305">
        <f>SUMIF(项目基本情况!D$15:I$15,C7,项目基本情况!D$18:I$18)</f>
        <v>70</v>
      </c>
      <c r="E7" s="2306">
        <f>IF(B7="","",SUMIF(项目基本情况!D$15:I$15,C7,项目基本情况!D$17:I$17))</f>
        <v>60384</v>
      </c>
      <c r="F7" s="174">
        <f>SUMIF(项目基本情况!D$15:I$15,C7,项目基本情况!D$19:I$19)</f>
        <v>46.32</v>
      </c>
      <c r="G7" s="175">
        <f t="shared" ref="G7:G11" si="2">IF(ISERROR(ROUND(POWER(1+H7,D7-F7)*(POWER(1+H7,F7)-1)/(POWER(1+H7,D7)-1),3)),0,ROUND(POWER(1+H7,D7-F7)*(POWER(1+H7,F7)-1)/(POWER(1+H7,D7)-1),3))</f>
        <v>0.91200000000000003</v>
      </c>
      <c r="H7" s="2998">
        <v>4.4999999999999998E-2</v>
      </c>
      <c r="I7" s="2998">
        <v>0.05</v>
      </c>
      <c r="J7" s="176">
        <v>8.5000000000000006E-2</v>
      </c>
      <c r="K7" s="179">
        <f>SUMIF('数据-汇总表'!C$19:C$33,'数据-取费表'!A7,'数据-汇总表'!E$19:E$33)</f>
        <v>0</v>
      </c>
      <c r="L7" s="2999">
        <v>2200</v>
      </c>
      <c r="M7" s="177">
        <f t="shared" si="0"/>
        <v>0</v>
      </c>
      <c r="N7" s="3000">
        <v>0</v>
      </c>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7"/>
      <c r="AP7" s="1202">
        <f t="shared" ref="AP7:AP13" si="8">ROUND(1-1/(1+H7)^F7,3)</f>
        <v>0.87</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3006</v>
      </c>
      <c r="D8" s="2305">
        <f>SUMIF(项目基本情况!D$15:I$15,C8,项目基本情况!D$18:I$18)</f>
        <v>40</v>
      </c>
      <c r="E8" s="2306">
        <f>IF(B8="","",SUMIF(项目基本情况!D$15:I$15,C8,项目基本情况!D$17:I$17))</f>
        <v>49426</v>
      </c>
      <c r="F8" s="174">
        <f>SUMIF(项目基本情况!D$15:I$15,C8,项目基本情况!D$19:I$19)</f>
        <v>16.3</v>
      </c>
      <c r="G8" s="175">
        <f t="shared" si="2"/>
        <v>0.63900000000000001</v>
      </c>
      <c r="H8" s="2998">
        <v>0.05</v>
      </c>
      <c r="I8" s="2998">
        <v>5.5E-2</v>
      </c>
      <c r="J8" s="176">
        <v>8.5000000000000006E-2</v>
      </c>
      <c r="K8" s="179">
        <f>SUMIF('数据-汇总表'!C$19:C$33,'数据-取费表'!A8,'数据-汇总表'!E$19:E$33)</f>
        <v>44982.400000000001</v>
      </c>
      <c r="L8" s="2999">
        <v>2200</v>
      </c>
      <c r="M8" s="177">
        <f>ROUND(K8*L8/10000,0)</f>
        <v>9896</v>
      </c>
      <c r="N8" s="3000">
        <v>0</v>
      </c>
      <c r="O8" s="177">
        <f t="shared" si="3"/>
        <v>0</v>
      </c>
      <c r="P8" s="178">
        <f t="shared" si="4"/>
        <v>9896</v>
      </c>
      <c r="Q8" s="3001">
        <v>0.15</v>
      </c>
      <c r="R8" s="179">
        <f>SUMIF('数据-汇总表'!C$19:C$33,A8,'数据-汇总表'!R$19:R$33)</f>
        <v>13356.39</v>
      </c>
      <c r="S8" s="132">
        <f>IF('数据-汇总表'!$I$17="按面积比例",SUMIF('数据-汇总表'!C$19:C$33,A8,'数据-汇总表'!K$19:K$33),SUMIF('数据-汇总表'!C$19:C$33,A8,'数据-汇总表'!N$19:N$33))</f>
        <v>0</v>
      </c>
      <c r="T8" s="2231" t="str">
        <f t="shared" si="5"/>
        <v>0</v>
      </c>
      <c r="U8" s="180">
        <v>3.2</v>
      </c>
      <c r="V8" s="181">
        <v>0.03</v>
      </c>
      <c r="W8" s="181">
        <v>0.1</v>
      </c>
      <c r="X8" s="2318"/>
      <c r="Y8" s="182">
        <v>1</v>
      </c>
      <c r="Z8" s="183"/>
      <c r="AA8" s="176"/>
      <c r="AB8" s="176"/>
      <c r="AC8" s="2321"/>
      <c r="AD8" s="184"/>
      <c r="AE8" s="970">
        <f t="shared" ca="1" si="6"/>
        <v>13.8</v>
      </c>
      <c r="AF8" s="141"/>
      <c r="AG8" s="1211">
        <f t="shared" si="7"/>
        <v>0</v>
      </c>
      <c r="AH8" s="141"/>
      <c r="AI8" s="187">
        <v>365</v>
      </c>
      <c r="AJ8" s="188"/>
      <c r="AK8" s="196">
        <v>0.01</v>
      </c>
      <c r="AL8" s="190">
        <v>1.5E-3</v>
      </c>
      <c r="AM8" s="2366">
        <v>0.01</v>
      </c>
      <c r="AN8" s="2368" t="s">
        <v>3167</v>
      </c>
      <c r="AO8" s="1997"/>
      <c r="AP8" s="1202">
        <f t="shared" si="8"/>
        <v>0.54900000000000004</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地下车库</v>
      </c>
      <c r="B9" s="2334" t="str">
        <f t="shared" si="1"/>
        <v>经营性</v>
      </c>
      <c r="C9" s="173" t="s">
        <v>3008</v>
      </c>
      <c r="D9" s="2305">
        <f>SUMIF(项目基本情况!D$15:I$15,C9,项目基本情况!D$18:I$18)</f>
        <v>50</v>
      </c>
      <c r="E9" s="2306">
        <f>IF(B9="","",SUMIF(项目基本情况!D$15:I$15,C9,项目基本情况!D$17:I$17))</f>
        <v>53079</v>
      </c>
      <c r="F9" s="174">
        <f>SUMIF(项目基本情况!D$15:I$15,C9,项目基本情况!D$19:I$19)</f>
        <v>26.31</v>
      </c>
      <c r="G9" s="175">
        <f t="shared" si="2"/>
        <v>0.749</v>
      </c>
      <c r="H9" s="176">
        <v>0.04</v>
      </c>
      <c r="I9" s="176">
        <v>4.4999999999999998E-2</v>
      </c>
      <c r="J9" s="176">
        <v>8.5000000000000006E-2</v>
      </c>
      <c r="K9" s="179">
        <f>SUMIF('数据-汇总表'!C$19:C$33,'数据-取费表'!A9,'数据-汇总表'!E$19:E$33)</f>
        <v>74458</v>
      </c>
      <c r="L9" s="193">
        <v>2000</v>
      </c>
      <c r="M9" s="177">
        <f t="shared" si="0"/>
        <v>14892</v>
      </c>
      <c r="N9" s="194">
        <v>0</v>
      </c>
      <c r="O9" s="177">
        <f t="shared" si="3"/>
        <v>0</v>
      </c>
      <c r="P9" s="178">
        <f t="shared" si="4"/>
        <v>14892</v>
      </c>
      <c r="Q9" s="192">
        <v>0.03</v>
      </c>
      <c r="R9" s="179">
        <f>SUMIF('数据-汇总表'!C$19:C$33,A9,'数据-汇总表'!R$19:R$33)</f>
        <v>22108.42</v>
      </c>
      <c r="S9" s="132">
        <f>IF('数据-汇总表'!$I$17="按面积比例",SUMIF('数据-汇总表'!C$19:C$33,A9,'数据-汇总表'!K$19:K$33),SUMIF('数据-汇总表'!C$19:C$33,A9,'数据-汇总表'!N$19:N$33))</f>
        <v>0</v>
      </c>
      <c r="T9" s="2231" t="str">
        <f t="shared" si="5"/>
        <v>0</v>
      </c>
      <c r="U9" s="180">
        <v>0.6</v>
      </c>
      <c r="V9" s="181">
        <v>0.03</v>
      </c>
      <c r="W9" s="181">
        <v>0.1</v>
      </c>
      <c r="X9" s="2318"/>
      <c r="Y9" s="182">
        <v>1</v>
      </c>
      <c r="Z9" s="183"/>
      <c r="AA9" s="176"/>
      <c r="AB9" s="176"/>
      <c r="AC9" s="2321"/>
      <c r="AD9" s="184"/>
      <c r="AE9" s="970">
        <f t="shared" ca="1" si="6"/>
        <v>23.81</v>
      </c>
      <c r="AF9" s="141"/>
      <c r="AG9" s="1211">
        <f t="shared" si="7"/>
        <v>0</v>
      </c>
      <c r="AH9" s="141"/>
      <c r="AI9" s="187">
        <v>365</v>
      </c>
      <c r="AJ9" s="188"/>
      <c r="AK9" s="196">
        <v>0.01</v>
      </c>
      <c r="AL9" s="190">
        <v>1.5E-3</v>
      </c>
      <c r="AM9" s="2366">
        <v>0.01</v>
      </c>
      <c r="AN9" s="2368" t="s">
        <v>3191</v>
      </c>
      <c r="AO9" s="1997"/>
      <c r="AP9" s="1202">
        <f t="shared" si="8"/>
        <v>0.64400000000000002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0</v>
      </c>
      <c r="L14" s="193">
        <v>2000</v>
      </c>
      <c r="M14" s="177">
        <f t="shared" si="0"/>
        <v>0</v>
      </c>
      <c r="N14" s="194">
        <v>0</v>
      </c>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2474.0300000000002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0.83</v>
      </c>
      <c r="H16" s="203">
        <f>ROUND(SUMPRODUCT(H6:H13,K6:K13)/SUMPRODUCT((H6:H13&gt;0)*(K6:K13)),3)</f>
        <v>4.4999999999999998E-2</v>
      </c>
      <c r="I16" s="204"/>
      <c r="J16" s="204"/>
      <c r="K16" s="205">
        <f>SUM(K6:K15)</f>
        <v>299369.98</v>
      </c>
      <c r="L16" s="206">
        <f>ROUND(M16*10000/SUM(K6:K14),0)</f>
        <v>2508</v>
      </c>
      <c r="M16" s="206">
        <f>SUM(M6:M14)</f>
        <v>74476</v>
      </c>
      <c r="N16" s="207">
        <f>ROUND(SUMPRODUCT(M6:M14,N6:N14)/M16,3)</f>
        <v>0</v>
      </c>
      <c r="O16" s="206">
        <f>SUM(O6:O14)</f>
        <v>0</v>
      </c>
      <c r="P16" s="206">
        <f>SUM(P6:P14)</f>
        <v>74476</v>
      </c>
      <c r="Q16" s="208">
        <f>ROUND(SUMPRODUCT(Q6:Q13,K6:K13)/SUMPRODUCT((Q6:Q13&gt;0)*(K6:K13)),2)</f>
        <v>0.08</v>
      </c>
      <c r="R16" s="2308">
        <f>SUM(R6:R13)</f>
        <v>88155.76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0.76500000000000001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3181">
        <v>70</v>
      </c>
      <c r="C27" s="3047" t="s">
        <v>3192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3182">
        <v>70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41"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41"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2896</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41"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2457</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7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7"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8"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8"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4</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925</v>
      </c>
      <c r="C53" s="3049" t="s">
        <v>2904</v>
      </c>
      <c r="D53" s="3050"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2906</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2907</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2908</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2909</v>
      </c>
      <c r="B57" s="186">
        <v>4</v>
      </c>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2910</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2911</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7" t="s">
        <v>1664</v>
      </c>
      <c r="B1" s="3288"/>
      <c r="C1" s="3288"/>
      <c r="D1" s="3288"/>
      <c r="E1" s="3288"/>
      <c r="F1" s="3288"/>
      <c r="G1" s="3288"/>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54">
      <c r="A3" s="1225" t="s">
        <v>1667</v>
      </c>
      <c r="B3" s="1226" t="s">
        <v>1654</v>
      </c>
      <c r="C3" s="3054" t="s">
        <v>2922</v>
      </c>
      <c r="D3" s="2006"/>
      <c r="E3" s="1227" t="s">
        <v>1667</v>
      </c>
      <c r="F3" s="1228" t="s">
        <v>1655</v>
      </c>
      <c r="G3" s="3058" t="s">
        <v>2921</v>
      </c>
      <c r="H3" s="2005"/>
      <c r="I3" s="2005"/>
      <c r="J3" s="2005"/>
      <c r="K3" s="2005"/>
      <c r="L3" s="2005"/>
      <c r="M3" s="2005"/>
      <c r="N3" s="2005"/>
      <c r="O3" s="2005"/>
      <c r="P3" s="2005"/>
      <c r="Q3" s="2005"/>
      <c r="R3" s="2005"/>
    </row>
    <row r="4" spans="1:18" ht="41.25">
      <c r="A4" s="1227"/>
      <c r="B4" s="1229" t="s">
        <v>1668</v>
      </c>
      <c r="C4" s="3055" t="s">
        <v>2923</v>
      </c>
      <c r="D4" s="2006"/>
      <c r="E4" s="1230"/>
      <c r="F4" s="1231" t="s">
        <v>1669</v>
      </c>
      <c r="G4" s="3056" t="s">
        <v>2918</v>
      </c>
      <c r="H4" s="2005"/>
      <c r="I4" s="2005"/>
      <c r="J4" s="2005"/>
      <c r="K4" s="2005"/>
      <c r="L4" s="2005"/>
      <c r="M4" s="2005"/>
      <c r="N4" s="2005"/>
      <c r="O4" s="2005"/>
      <c r="P4" s="2005"/>
      <c r="Q4" s="2005"/>
      <c r="R4" s="2005"/>
    </row>
    <row r="5" spans="1:18" ht="41.25">
      <c r="A5" s="1227"/>
      <c r="B5" s="1229" t="s">
        <v>1670</v>
      </c>
      <c r="C5" s="3055" t="s">
        <v>2924</v>
      </c>
      <c r="D5" s="2006"/>
      <c r="E5" s="1230"/>
      <c r="F5" s="1229" t="s">
        <v>2546</v>
      </c>
      <c r="G5" s="3056" t="s">
        <v>2919</v>
      </c>
      <c r="H5" s="2005"/>
      <c r="I5" s="2005"/>
      <c r="J5" s="2005"/>
      <c r="K5" s="2005"/>
      <c r="L5" s="2005"/>
      <c r="M5" s="2005"/>
      <c r="N5" s="2005"/>
      <c r="O5" s="2005"/>
      <c r="P5" s="2005"/>
      <c r="Q5" s="2005"/>
      <c r="R5" s="2005"/>
    </row>
    <row r="6" spans="1:18" ht="54">
      <c r="A6" s="1227"/>
      <c r="B6" s="1229" t="s">
        <v>1656</v>
      </c>
      <c r="C6" s="3056" t="s">
        <v>2918</v>
      </c>
      <c r="D6" s="2006"/>
      <c r="E6" s="1230"/>
      <c r="F6" s="1229" t="s">
        <v>2547</v>
      </c>
      <c r="G6" s="3056" t="s">
        <v>2916</v>
      </c>
      <c r="H6" s="2005"/>
      <c r="I6" s="2005"/>
      <c r="J6" s="2005"/>
      <c r="K6" s="2005"/>
      <c r="L6" s="2005"/>
      <c r="M6" s="2005"/>
      <c r="N6" s="2005"/>
      <c r="O6" s="2005"/>
      <c r="P6" s="2005"/>
      <c r="Q6" s="2005"/>
      <c r="R6" s="2005"/>
    </row>
    <row r="7" spans="1:18" ht="41.25" thickBot="1">
      <c r="A7" s="1227"/>
      <c r="B7" s="1229" t="s">
        <v>2546</v>
      </c>
      <c r="C7" s="3056" t="s">
        <v>2919</v>
      </c>
      <c r="D7" s="2007"/>
      <c r="E7" s="1232"/>
      <c r="F7" s="1233" t="s">
        <v>1671</v>
      </c>
      <c r="G7" s="3059" t="s">
        <v>2920</v>
      </c>
      <c r="H7" s="2005"/>
      <c r="I7" s="2005"/>
      <c r="J7" s="2005"/>
      <c r="K7" s="2005"/>
      <c r="L7" s="2005"/>
      <c r="M7" s="2005"/>
      <c r="N7" s="2005"/>
      <c r="O7" s="2005"/>
      <c r="P7" s="2005"/>
      <c r="Q7" s="2005"/>
      <c r="R7" s="2005"/>
    </row>
    <row r="8" spans="1:18" ht="27">
      <c r="A8" s="1227"/>
      <c r="B8" s="1229" t="s">
        <v>2547</v>
      </c>
      <c r="C8" s="3056" t="s">
        <v>2916</v>
      </c>
      <c r="D8" s="2007"/>
      <c r="E8" s="2007"/>
      <c r="F8" s="1551"/>
      <c r="G8" s="1551"/>
      <c r="H8" s="2005"/>
      <c r="I8" s="2005"/>
      <c r="J8" s="2005"/>
      <c r="K8" s="2005"/>
      <c r="L8" s="2005"/>
      <c r="M8" s="2005"/>
      <c r="N8" s="2005"/>
      <c r="O8" s="2005"/>
      <c r="P8" s="2005"/>
      <c r="Q8" s="2005"/>
      <c r="R8" s="2005"/>
    </row>
    <row r="9" spans="1:18" ht="40.5">
      <c r="A9" s="1227"/>
      <c r="B9" s="1229" t="s">
        <v>1657</v>
      </c>
      <c r="C9" s="3055" t="s">
        <v>2917</v>
      </c>
      <c r="D9" s="2006"/>
      <c r="E9" s="2007"/>
      <c r="F9" s="1551"/>
      <c r="G9" s="1551"/>
      <c r="H9" s="2005"/>
      <c r="I9" s="2005"/>
      <c r="J9" s="2005"/>
      <c r="K9" s="2005"/>
      <c r="L9" s="2005"/>
      <c r="M9" s="2005"/>
      <c r="N9" s="2005"/>
      <c r="O9" s="2005"/>
      <c r="P9" s="2005"/>
      <c r="Q9" s="2005"/>
      <c r="R9" s="2005"/>
    </row>
    <row r="10" spans="1:18" s="2013" customFormat="1" ht="15" thickBot="1">
      <c r="A10" s="1234"/>
      <c r="B10" s="1235" t="s">
        <v>1672</v>
      </c>
      <c r="C10" s="305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54">
      <c r="A15" s="2564" t="s">
        <v>1658</v>
      </c>
      <c r="B15" s="1240" t="s">
        <v>1654</v>
      </c>
      <c r="C15" s="1241" t="str">
        <f>C3</f>
        <v>估价对象周边居住用地比例、居住小区规模和社区发展完善程度，综合评价居住社区成熟度一般</v>
      </c>
      <c r="D15" s="2006"/>
      <c r="E15" s="2561" t="s">
        <v>1659</v>
      </c>
      <c r="F15" s="1240" t="s">
        <v>1674</v>
      </c>
      <c r="G15" s="1242" t="str">
        <f>G3</f>
        <v>估价对象位于XX开发区，园区建设成熟度XX，产业集聚程度XX</v>
      </c>
    </row>
    <row r="16" spans="1:18" ht="40.5">
      <c r="A16" s="2565"/>
      <c r="B16" s="1243" t="s">
        <v>1668</v>
      </c>
      <c r="C16" s="1244" t="str">
        <f>C4</f>
        <v>估价对象位于XX商圈，周边商业氛围成熟，人流量大，商业繁华度好</v>
      </c>
      <c r="D16" s="2006"/>
      <c r="E16" s="2562"/>
      <c r="F16" s="1245" t="s">
        <v>1669</v>
      </c>
      <c r="G16" s="1003" t="str">
        <f>G4</f>
        <v>估价对象周边道路状况、公共交通通达情况、停车便捷程度，综合评价交通便捷度较好</v>
      </c>
    </row>
    <row r="17" spans="1:7" ht="40.5">
      <c r="A17" s="2565"/>
      <c r="B17" s="1243" t="s">
        <v>1670</v>
      </c>
      <c r="C17" s="1244" t="str">
        <f>C5</f>
        <v>估价对象位于XX商圈，周边办公楼项目较多，入驻率高，办公集聚程度较好</v>
      </c>
      <c r="D17" s="2007"/>
      <c r="E17" s="2562"/>
      <c r="F17" s="1245" t="s">
        <v>1675</v>
      </c>
      <c r="G17" s="2769"/>
    </row>
    <row r="18" spans="1:7" ht="54">
      <c r="A18" s="2565"/>
      <c r="B18" s="1245" t="s">
        <v>1656</v>
      </c>
      <c r="C18" s="1003" t="str">
        <f>C6</f>
        <v>估价对象周边道路状况、公共交通通达情况、停车便捷程度，综合评价交通便捷度较好</v>
      </c>
      <c r="D18" s="2007"/>
      <c r="E18" s="2562"/>
      <c r="F18" s="1245" t="s">
        <v>1671</v>
      </c>
      <c r="G18" s="1003" t="str">
        <f>G7</f>
        <v>该园区内是否有污染型企业，绿化情况，卫生条件，整体环境状况判断</v>
      </c>
    </row>
    <row r="19" spans="1:7" ht="27">
      <c r="A19" s="2565"/>
      <c r="B19" s="1245" t="s">
        <v>1660</v>
      </c>
      <c r="C19" s="2769"/>
      <c r="D19" s="2006"/>
      <c r="E19" s="2562"/>
      <c r="F19" s="1229" t="s">
        <v>2546</v>
      </c>
      <c r="G19" s="1003" t="str">
        <f>G5</f>
        <v>估价对象所在区域公共配套设施齐备情况</v>
      </c>
    </row>
    <row r="20" spans="1:7" ht="40.5">
      <c r="A20" s="2565"/>
      <c r="B20" s="1245" t="s">
        <v>1661</v>
      </c>
      <c r="C20" s="1244" t="str">
        <f>C9</f>
        <v>区域自然环境：；人文环境；综合评价环境状况一般</v>
      </c>
      <c r="D20" s="2007"/>
      <c r="E20" s="2562"/>
      <c r="F20" s="1229" t="s">
        <v>2547</v>
      </c>
      <c r="G20" s="1003" t="str">
        <f>G6</f>
        <v>估价对象所在区域基础设施水平</v>
      </c>
    </row>
    <row r="21" spans="1:7" ht="27">
      <c r="A21" s="2565"/>
      <c r="B21" s="1229" t="s">
        <v>2546</v>
      </c>
      <c r="C21" s="1003" t="str">
        <f>C7</f>
        <v>估价对象所在区域公共配套设施齐备情况</v>
      </c>
      <c r="D21" s="2006"/>
      <c r="E21" s="2562"/>
      <c r="F21" s="1245" t="s">
        <v>1662</v>
      </c>
      <c r="G21" s="3060"/>
    </row>
    <row r="22" spans="1:7" ht="27">
      <c r="A22" s="2565"/>
      <c r="B22" s="1229" t="s">
        <v>2547</v>
      </c>
      <c r="C22" s="1003" t="str">
        <f>C8</f>
        <v>估价对象所在区域基础设施水平</v>
      </c>
      <c r="D22" s="2006"/>
      <c r="E22" s="2562"/>
      <c r="F22" s="1245" t="s">
        <v>1672</v>
      </c>
      <c r="G22" s="2769"/>
    </row>
    <row r="23" spans="1:7" ht="15" thickBot="1">
      <c r="A23" s="2565"/>
      <c r="B23" s="1245" t="s">
        <v>1662</v>
      </c>
      <c r="C23" s="3060"/>
      <c r="E23" s="2563"/>
      <c r="F23" s="1246" t="s">
        <v>1676</v>
      </c>
      <c r="G23" s="3061"/>
    </row>
    <row r="24" spans="1:7" ht="14.25" thickBot="1">
      <c r="A24" s="2566"/>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2844</v>
      </c>
      <c r="B1" s="3018">
        <f>SUM(B14:B23)</f>
        <v>299369.98</v>
      </c>
      <c r="C1" s="3019"/>
      <c r="D1" s="3019"/>
      <c r="E1" s="3019"/>
      <c r="F1" s="3019"/>
    </row>
    <row r="2" spans="1:9" ht="16.5">
      <c r="A2" s="3018" t="s">
        <v>2845</v>
      </c>
      <c r="B2" s="3018">
        <f>SUM(C14:C23)</f>
        <v>88890.36</v>
      </c>
      <c r="C2" s="3019"/>
      <c r="D2" s="3019"/>
      <c r="E2" s="3019"/>
      <c r="F2" s="3019"/>
    </row>
    <row r="3" spans="1:9" ht="16.5">
      <c r="A3" s="3018" t="s">
        <v>2846</v>
      </c>
      <c r="B3" s="3020">
        <f>项目基本情况!D3</f>
        <v>43475</v>
      </c>
      <c r="C3" s="3019"/>
      <c r="D3" s="3019"/>
      <c r="E3" s="3019"/>
      <c r="F3" s="3019"/>
    </row>
    <row r="4" spans="1:9" ht="33">
      <c r="A4" s="3018" t="s">
        <v>2847</v>
      </c>
      <c r="B4" s="3018" t="s">
        <v>2848</v>
      </c>
      <c r="C4" s="3018" t="s">
        <v>2849</v>
      </c>
      <c r="D4" s="3018" t="s">
        <v>2850</v>
      </c>
      <c r="E4" s="3019"/>
      <c r="F4" s="3019"/>
    </row>
    <row r="5" spans="1:9" ht="16.5">
      <c r="A5" s="3018" t="s">
        <v>2851</v>
      </c>
      <c r="B5" s="3018">
        <f ca="1">SUM(D14:D23)</f>
        <v>59818</v>
      </c>
      <c r="C5" s="3018">
        <f ca="1">ROUND(B5*10000/$B$1,0)</f>
        <v>1998</v>
      </c>
      <c r="D5" s="3018">
        <f ca="1">ROUND(B5*10000/$B$2,0)</f>
        <v>6729</v>
      </c>
      <c r="E5" s="3019"/>
      <c r="F5" s="3019"/>
    </row>
    <row r="6" spans="1:9" ht="16.5">
      <c r="A6" s="3018" t="s">
        <v>2852</v>
      </c>
      <c r="B6" s="3018">
        <f ca="1">SUM(G14:G23)</f>
        <v>59818</v>
      </c>
      <c r="C6" s="3018">
        <f t="shared" ref="C6:C8" ca="1" si="0">ROUND(B6*10000/$B$1,0)</f>
        <v>1998</v>
      </c>
      <c r="D6" s="3018">
        <f t="shared" ref="D6:D8" ca="1" si="1">ROUND(B6*10000/$B$2,0)</f>
        <v>6729</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299369.98</v>
      </c>
      <c r="C14" s="3022">
        <f>结果表!K38</f>
        <v>88890.36</v>
      </c>
      <c r="D14" s="3022">
        <f ca="1">结果表!C42</f>
        <v>59818</v>
      </c>
      <c r="E14" s="3022">
        <f ca="1">ROUND(D14*10000/B14,0)</f>
        <v>1998</v>
      </c>
      <c r="F14" s="3022">
        <f ca="1">ROUND(D14*10000/C14,0)</f>
        <v>6729</v>
      </c>
      <c r="G14" s="3022">
        <f ca="1">结果表!C44</f>
        <v>59818</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9" sqref="H2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2056</v>
      </c>
      <c r="B1" s="1774"/>
      <c r="C1" s="1802" t="s">
        <v>2057</v>
      </c>
      <c r="D1" s="1803" t="s">
        <v>3195</v>
      </c>
      <c r="E1" s="1802" t="s">
        <v>2058</v>
      </c>
      <c r="F1" s="1804" t="s">
        <v>3194</v>
      </c>
      <c r="G1" s="310"/>
      <c r="H1" s="310"/>
      <c r="I1" s="310"/>
      <c r="J1" s="2026"/>
      <c r="K1" s="2026"/>
      <c r="L1" s="2026"/>
      <c r="M1" s="2026"/>
      <c r="N1" s="2026"/>
      <c r="O1" s="2026"/>
      <c r="P1" s="2026"/>
      <c r="Q1" s="2026"/>
      <c r="R1" s="2026"/>
      <c r="S1" s="2026"/>
      <c r="T1" s="2026"/>
      <c r="U1" s="2026"/>
      <c r="V1" s="2026"/>
    </row>
    <row r="2" spans="1:22" ht="21.75" customHeight="1" thickBot="1">
      <c r="A2" s="3325" t="str">
        <f>项目基本情况!K2</f>
        <v>广东省江门市台山市台城板岗管理区北闸村门口洞出让国有建设用地使用权</v>
      </c>
      <c r="B2" s="3326"/>
      <c r="C2" s="3327"/>
      <c r="D2" s="3327"/>
      <c r="E2" s="3327"/>
      <c r="F2" s="3327"/>
      <c r="G2" s="3326"/>
      <c r="H2" s="3326"/>
      <c r="I2" s="3328"/>
      <c r="J2" s="2027"/>
      <c r="K2" s="2026"/>
      <c r="L2" s="2026"/>
      <c r="M2" s="2026"/>
      <c r="N2" s="2026"/>
      <c r="O2" s="2026"/>
      <c r="P2" s="2026"/>
      <c r="Q2" s="2026"/>
      <c r="R2" s="2026"/>
      <c r="S2" s="2026"/>
      <c r="T2" s="2026"/>
      <c r="U2" s="2026"/>
      <c r="V2" s="2026"/>
    </row>
    <row r="3" spans="1:22" ht="14.25">
      <c r="A3" s="3318" t="s">
        <v>298</v>
      </c>
      <c r="B3" s="3319"/>
      <c r="C3" s="3319"/>
      <c r="D3" s="3319"/>
      <c r="E3" s="3319"/>
      <c r="F3" s="3319"/>
      <c r="G3" s="3319"/>
      <c r="H3" s="3319"/>
      <c r="I3" s="3319"/>
      <c r="J3" s="2027"/>
      <c r="K3" s="2026"/>
      <c r="L3" s="2026"/>
      <c r="M3" s="2026"/>
      <c r="N3" s="2026"/>
      <c r="O3" s="2026"/>
      <c r="P3" s="2026"/>
      <c r="Q3" s="2026"/>
      <c r="R3" s="2026"/>
      <c r="S3" s="2026"/>
      <c r="T3" s="2026"/>
      <c r="U3" s="2026"/>
      <c r="V3" s="2026"/>
    </row>
    <row r="4" spans="1:22" ht="14.25">
      <c r="A4" s="257" t="s">
        <v>299</v>
      </c>
      <c r="B4" s="258" t="s">
        <v>300</v>
      </c>
      <c r="C4" s="259" t="s">
        <v>3158</v>
      </c>
      <c r="D4" s="259" t="s">
        <v>3159</v>
      </c>
      <c r="E4" s="3290" t="s">
        <v>301</v>
      </c>
      <c r="F4" s="3291"/>
      <c r="G4" s="3291"/>
      <c r="H4" s="3291"/>
      <c r="I4" s="3320"/>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89" t="s">
        <v>302</v>
      </c>
      <c r="B5" s="3315">
        <v>25</v>
      </c>
      <c r="C5" s="3313"/>
      <c r="D5" s="3317"/>
      <c r="E5" s="260" t="s">
        <v>303</v>
      </c>
      <c r="F5" s="261"/>
      <c r="G5" s="261"/>
      <c r="H5" s="261"/>
      <c r="I5" s="262"/>
      <c r="J5" s="2027"/>
      <c r="K5" s="2026"/>
      <c r="L5" s="2026"/>
      <c r="M5" s="2026"/>
      <c r="N5" s="2026"/>
      <c r="O5" s="2026"/>
      <c r="P5" s="2026"/>
      <c r="Q5" s="2026"/>
      <c r="R5" s="2026"/>
      <c r="S5" s="2026"/>
      <c r="T5" s="2026"/>
      <c r="U5" s="2026"/>
      <c r="V5" s="2026"/>
    </row>
    <row r="6" spans="1:22" ht="14.25">
      <c r="A6" s="3289"/>
      <c r="B6" s="3315"/>
      <c r="C6" s="3316"/>
      <c r="D6" s="3317"/>
      <c r="E6" s="260" t="s">
        <v>304</v>
      </c>
      <c r="F6" s="261"/>
      <c r="G6" s="261"/>
      <c r="H6" s="261"/>
      <c r="I6" s="262"/>
      <c r="J6" s="2027"/>
      <c r="K6" s="2026"/>
      <c r="L6" s="2026"/>
      <c r="M6" s="2026"/>
      <c r="N6" s="2026"/>
      <c r="O6" s="2026"/>
      <c r="P6" s="2026"/>
      <c r="Q6" s="2026"/>
      <c r="R6" s="2026"/>
      <c r="S6" s="2026"/>
      <c r="T6" s="2026"/>
      <c r="U6" s="2026"/>
      <c r="V6" s="2026"/>
    </row>
    <row r="7" spans="1:22" ht="14.25">
      <c r="A7" s="3289"/>
      <c r="B7" s="3315"/>
      <c r="C7" s="3314"/>
      <c r="D7" s="3317"/>
      <c r="E7" s="260" t="s">
        <v>305</v>
      </c>
      <c r="F7" s="261"/>
      <c r="G7" s="261"/>
      <c r="H7" s="261"/>
      <c r="I7" s="262"/>
      <c r="J7" s="2027"/>
      <c r="K7" s="2026"/>
      <c r="L7" s="2026"/>
      <c r="M7" s="2026"/>
      <c r="N7" s="2026"/>
      <c r="O7" s="2026"/>
      <c r="P7" s="2026"/>
      <c r="Q7" s="2026"/>
      <c r="R7" s="2026"/>
      <c r="S7" s="2026"/>
      <c r="T7" s="2026"/>
      <c r="U7" s="2026"/>
      <c r="V7" s="2026"/>
    </row>
    <row r="8" spans="1:22" ht="14.25">
      <c r="A8" s="3289" t="s">
        <v>306</v>
      </c>
      <c r="B8" s="3315">
        <v>15</v>
      </c>
      <c r="C8" s="3313"/>
      <c r="D8" s="3317"/>
      <c r="E8" s="260" t="s">
        <v>307</v>
      </c>
      <c r="F8" s="261"/>
      <c r="G8" s="261"/>
      <c r="H8" s="261"/>
      <c r="I8" s="262"/>
      <c r="J8" s="2027"/>
      <c r="K8" s="2026"/>
      <c r="L8" s="2026"/>
      <c r="M8" s="2026"/>
      <c r="N8" s="2026"/>
      <c r="O8" s="2026"/>
      <c r="P8" s="2026"/>
      <c r="Q8" s="2026"/>
      <c r="R8" s="2026"/>
      <c r="S8" s="2026"/>
      <c r="T8" s="2026"/>
      <c r="U8" s="2026"/>
      <c r="V8" s="2026"/>
    </row>
    <row r="9" spans="1:22" ht="14.25">
      <c r="A9" s="3289"/>
      <c r="B9" s="3315"/>
      <c r="C9" s="3314"/>
      <c r="D9" s="3317"/>
      <c r="E9" s="260" t="s">
        <v>308</v>
      </c>
      <c r="F9" s="261"/>
      <c r="G9" s="261"/>
      <c r="H9" s="261"/>
      <c r="I9" s="262"/>
      <c r="J9" s="2027"/>
      <c r="K9" s="2026"/>
      <c r="L9" s="2026"/>
      <c r="M9" s="2026"/>
      <c r="N9" s="2026"/>
      <c r="O9" s="2026"/>
      <c r="P9" s="2026"/>
      <c r="Q9" s="2026"/>
      <c r="R9" s="2026"/>
      <c r="S9" s="2026"/>
      <c r="T9" s="2026"/>
      <c r="U9" s="2026"/>
      <c r="V9" s="2026"/>
    </row>
    <row r="10" spans="1:22" ht="14.25">
      <c r="A10" s="3289" t="s">
        <v>309</v>
      </c>
      <c r="B10" s="3315">
        <v>15</v>
      </c>
      <c r="C10" s="3313"/>
      <c r="D10" s="3317"/>
      <c r="E10" s="260" t="s">
        <v>310</v>
      </c>
      <c r="F10" s="261"/>
      <c r="G10" s="261"/>
      <c r="H10" s="261"/>
      <c r="I10" s="262"/>
      <c r="J10" s="2027"/>
      <c r="K10" s="2026"/>
      <c r="L10" s="2026"/>
      <c r="M10" s="2026"/>
      <c r="N10" s="2026"/>
      <c r="O10" s="2026"/>
      <c r="P10" s="2026"/>
      <c r="Q10" s="2026"/>
      <c r="R10" s="2026"/>
      <c r="S10" s="2026"/>
      <c r="T10" s="2026"/>
      <c r="U10" s="2026"/>
      <c r="V10" s="2026"/>
    </row>
    <row r="11" spans="1:22" ht="14.25">
      <c r="A11" s="3289"/>
      <c r="B11" s="3315"/>
      <c r="C11" s="3314"/>
      <c r="D11" s="3317"/>
      <c r="E11" s="260" t="s">
        <v>311</v>
      </c>
      <c r="F11" s="261"/>
      <c r="G11" s="261"/>
      <c r="H11" s="261"/>
      <c r="I11" s="262"/>
      <c r="J11" s="2027"/>
      <c r="K11" s="2026"/>
      <c r="L11" s="2026"/>
      <c r="M11" s="2026"/>
      <c r="N11" s="2026"/>
      <c r="O11" s="2026"/>
      <c r="P11" s="2026"/>
      <c r="Q11" s="2026"/>
      <c r="R11" s="2026"/>
      <c r="S11" s="2026"/>
      <c r="T11" s="2026"/>
      <c r="U11" s="2026"/>
      <c r="V11" s="2026"/>
    </row>
    <row r="12" spans="1:22" ht="14.25">
      <c r="A12" s="3289" t="s">
        <v>312</v>
      </c>
      <c r="B12" s="3315">
        <v>15</v>
      </c>
      <c r="C12" s="3313"/>
      <c r="D12" s="3317"/>
      <c r="E12" s="260" t="s">
        <v>313</v>
      </c>
      <c r="F12" s="261"/>
      <c r="G12" s="261"/>
      <c r="H12" s="261"/>
      <c r="I12" s="262"/>
      <c r="J12" s="2027"/>
      <c r="K12" s="2026"/>
      <c r="L12" s="2026"/>
      <c r="M12" s="2026"/>
      <c r="N12" s="2026"/>
      <c r="O12" s="2026"/>
      <c r="P12" s="2026"/>
      <c r="Q12" s="2026"/>
      <c r="R12" s="2026"/>
      <c r="S12" s="2026"/>
      <c r="T12" s="2026"/>
      <c r="U12" s="2026"/>
      <c r="V12" s="2026"/>
    </row>
    <row r="13" spans="1:22" ht="14.25">
      <c r="A13" s="3289"/>
      <c r="B13" s="3315"/>
      <c r="C13" s="3314"/>
      <c r="D13" s="3317"/>
      <c r="E13" s="260" t="s">
        <v>314</v>
      </c>
      <c r="F13" s="261"/>
      <c r="G13" s="261"/>
      <c r="H13" s="261"/>
      <c r="I13" s="262"/>
      <c r="J13" s="2027"/>
      <c r="K13" s="2026"/>
      <c r="L13" s="2026"/>
      <c r="M13" s="2026"/>
      <c r="N13" s="2026"/>
      <c r="O13" s="2026"/>
      <c r="P13" s="2026"/>
      <c r="Q13" s="2026"/>
      <c r="R13" s="2026"/>
      <c r="S13" s="2026"/>
      <c r="T13" s="2026"/>
      <c r="U13" s="2026"/>
      <c r="V13" s="2026"/>
    </row>
    <row r="14" spans="1:22" ht="14.25">
      <c r="A14" s="3289" t="s">
        <v>315</v>
      </c>
      <c r="B14" s="3315">
        <v>30</v>
      </c>
      <c r="C14" s="3313">
        <v>5</v>
      </c>
      <c r="D14" s="3317">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89"/>
      <c r="B15" s="3315"/>
      <c r="C15" s="3316"/>
      <c r="D15" s="3317"/>
      <c r="E15" s="260" t="s">
        <v>317</v>
      </c>
      <c r="F15" s="261"/>
      <c r="G15" s="261"/>
      <c r="H15" s="261"/>
      <c r="I15" s="262"/>
      <c r="J15" s="2027"/>
      <c r="K15" s="2026"/>
      <c r="L15" s="2026"/>
      <c r="M15" s="2026"/>
      <c r="N15" s="2026"/>
      <c r="O15" s="2026"/>
      <c r="P15" s="2026"/>
      <c r="Q15" s="2026"/>
      <c r="R15" s="2026"/>
      <c r="S15" s="2026"/>
      <c r="T15" s="2026"/>
      <c r="U15" s="2026"/>
      <c r="V15" s="2026"/>
    </row>
    <row r="16" spans="1:22" ht="14.25">
      <c r="A16" s="3289"/>
      <c r="B16" s="3315"/>
      <c r="C16" s="3314"/>
      <c r="D16" s="3317"/>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61571</v>
      </c>
      <c r="D19" s="270">
        <f ca="1">SUMIF(INDIRECT("'"&amp;D4&amp;"'"&amp;"!A:A"),结果表!B19,INDIRECT("'"&amp;D4&amp;"'"&amp;"!B:B"))</f>
        <v>58064</v>
      </c>
      <c r="E19" s="267" t="s">
        <v>323</v>
      </c>
      <c r="F19" s="268" t="s">
        <v>322</v>
      </c>
      <c r="G19" s="271">
        <f ca="1">ROUND(C19*$C$18+D19*$D$18,0)</f>
        <v>59818</v>
      </c>
      <c r="H19" s="272" t="s">
        <v>324</v>
      </c>
      <c r="I19" s="310"/>
      <c r="J19" s="2026"/>
      <c r="K19" s="2026">
        <f>62600/'数据-汇总表'!F31</f>
        <v>0.27833110535063543</v>
      </c>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2057</v>
      </c>
      <c r="D20" s="276">
        <f ca="1">SUMIF(INDIRECT("'"&amp;D4&amp;"'"&amp;"!A:A"),结果表!B20,INDIRECT("'"&amp;D4&amp;"'"&amp;"!B:B"))</f>
        <v>1940</v>
      </c>
      <c r="E20" s="273"/>
      <c r="F20" s="274" t="s">
        <v>325</v>
      </c>
      <c r="G20" s="277">
        <f ca="1">ROUND(C20*$C$18+D20*$D$18,0)</f>
        <v>1999</v>
      </c>
      <c r="H20" s="278" t="s">
        <v>326</v>
      </c>
      <c r="I20" s="310"/>
      <c r="J20" s="2026"/>
      <c r="K20" s="2026">
        <f ca="1">G19/'数据-汇总表'!F27</f>
        <v>0.26891993924597851</v>
      </c>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6927</v>
      </c>
      <c r="D21" s="151">
        <f ca="1">SUMIF(INDIRECT("'"&amp;D4&amp;"'"&amp;"!A:A"),结果表!B21,INDIRECT("'"&amp;D4&amp;"'"&amp;"!B:B"))</f>
        <v>6532</v>
      </c>
      <c r="E21" s="273"/>
      <c r="F21" s="279" t="s">
        <v>327</v>
      </c>
      <c r="G21" s="281">
        <f ca="1">ROUND(C21*$C$18+D21*$D$18,0)</f>
        <v>6730</v>
      </c>
      <c r="H21" s="1249" t="s">
        <v>326</v>
      </c>
      <c r="I21" s="310"/>
      <c r="J21" s="2026"/>
      <c r="K21" s="2026">
        <f>62600*0.95</f>
        <v>59470</v>
      </c>
      <c r="L21" s="2026"/>
      <c r="M21" s="2026"/>
      <c r="N21" s="2026"/>
      <c r="O21" s="2026"/>
      <c r="P21" s="2026"/>
      <c r="Q21" s="2026"/>
      <c r="R21" s="2026"/>
      <c r="S21" s="2026"/>
      <c r="T21" s="2026"/>
      <c r="U21" s="2026"/>
      <c r="V21" s="2026"/>
    </row>
    <row r="22" spans="1:26" ht="15.75" thickBot="1">
      <c r="A22" s="126" t="s">
        <v>328</v>
      </c>
      <c r="B22" s="1250"/>
      <c r="C22" s="1251"/>
      <c r="D22" s="282">
        <f ca="1">IF(C19&lt;D19,D19/C19-1,C19/D19-1)</f>
        <v>6.0398870212179601E-2</v>
      </c>
      <c r="E22" s="283"/>
      <c r="F22" s="284"/>
      <c r="G22" s="285">
        <f ca="1">ROUND(G19/('数据-汇总表'!D3/666.67),0)</f>
        <v>449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5"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6"/>
      <c r="B25" s="1319" t="s">
        <v>331</v>
      </c>
      <c r="C25" s="289">
        <f>IF(B30=0,0,C30)</f>
        <v>0</v>
      </c>
      <c r="D25" s="290"/>
      <c r="E25" s="310"/>
      <c r="F25" s="310"/>
      <c r="G25" s="310"/>
      <c r="H25" s="310"/>
      <c r="I25" s="310"/>
      <c r="J25" s="2026"/>
      <c r="K25" s="1253" t="str">
        <f ca="1">项目基本情况!B16&amp;"国有建设用地使用权价格："&amp;O38&amp;"万元"</f>
        <v>出让国有建设用地使用权价格：59818万元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大写金额：人民币伍亿玖仟捌佰壹拾捌万元整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单位面积地价：6729元/平方米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楼面地价：1998元/平方米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抵押价格：59818万元</v>
      </c>
      <c r="L29" s="1250"/>
      <c r="M29" s="1250"/>
      <c r="N29" s="1250"/>
      <c r="O29" s="1249"/>
      <c r="P29" s="2026"/>
      <c r="V29" s="2026"/>
    </row>
    <row r="30" spans="1:26" ht="18.75" thickBot="1">
      <c r="A30" s="3103" t="s">
        <v>336</v>
      </c>
      <c r="B30" s="308"/>
      <c r="C30" s="308"/>
      <c r="D30" s="309"/>
      <c r="E30" s="3104" t="s">
        <v>2971</v>
      </c>
      <c r="F30" s="310"/>
      <c r="G30" s="310"/>
      <c r="H30" s="310"/>
      <c r="I30" s="310"/>
      <c r="J30" s="2026"/>
      <c r="K30" s="1256" t="str">
        <f ca="1">IF(K29="——","——","大写金额：人民币"&amp;NUMBERSTRING(INT(O39*10000),2)&amp;"元整")</f>
        <v>大写金额：人民币伍亿玖仟捌佰壹拾捌万元整</v>
      </c>
      <c r="L30" s="1250"/>
      <c r="M30" s="1250"/>
      <c r="N30" s="1250"/>
      <c r="O30" s="1249"/>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79" t="s">
        <v>1689</v>
      </c>
      <c r="C32" s="1380">
        <f ca="1">G19-C24</f>
        <v>59818</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2" t="s">
        <v>1691</v>
      </c>
      <c r="C33" s="263">
        <f ca="1">ROUND(C32*10000/'数据-汇总表'!E3,0)</f>
        <v>1998</v>
      </c>
      <c r="D33" s="1383" t="s">
        <v>1692</v>
      </c>
      <c r="E33" s="3295"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4" t="s">
        <v>1693</v>
      </c>
      <c r="C34" s="263">
        <f ca="1">ROUND(C32*10000/'数据-汇总表'!D3,0)</f>
        <v>6729</v>
      </c>
      <c r="D34" s="1385" t="s">
        <v>1692</v>
      </c>
      <c r="E34" s="3336"/>
      <c r="F34" s="127" t="s">
        <v>341</v>
      </c>
      <c r="G34" s="298"/>
      <c r="H34" s="105"/>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6"/>
      <c r="C35" s="1387">
        <f ca="1">ROUND(C32/('数据-汇总表'!D3/666.67),0)</f>
        <v>449</v>
      </c>
      <c r="D35" s="1388" t="s">
        <v>1694</v>
      </c>
      <c r="E35" s="3337"/>
      <c r="F35" s="300" t="s">
        <v>342</v>
      </c>
      <c r="G35" s="980"/>
      <c r="H35" s="979" t="s">
        <v>343</v>
      </c>
      <c r="I35" s="310"/>
      <c r="J35" s="2026"/>
      <c r="K35" s="3310" t="s">
        <v>350</v>
      </c>
      <c r="L35" s="3310" t="s">
        <v>351</v>
      </c>
      <c r="M35" s="1262" t="s">
        <v>352</v>
      </c>
      <c r="N35" s="3310" t="s">
        <v>353</v>
      </c>
      <c r="O35" s="3310" t="s">
        <v>354</v>
      </c>
      <c r="P35" s="2026"/>
      <c r="V35" s="2026"/>
    </row>
    <row r="36" spans="1:26" ht="16.5" customHeight="1">
      <c r="A36" s="302" t="s">
        <v>344</v>
      </c>
      <c r="B36" s="303" t="s">
        <v>333</v>
      </c>
      <c r="C36" s="304" t="s">
        <v>345</v>
      </c>
      <c r="D36" s="304" t="s">
        <v>346</v>
      </c>
      <c r="E36" s="305" t="s">
        <v>347</v>
      </c>
      <c r="F36" s="310"/>
      <c r="G36" s="310"/>
      <c r="H36" s="310"/>
      <c r="I36" s="310"/>
      <c r="J36" s="2028"/>
      <c r="K36" s="3311"/>
      <c r="L36" s="3311"/>
      <c r="M36" s="1264" t="s">
        <v>355</v>
      </c>
      <c r="N36" s="3311"/>
      <c r="O36" s="3311"/>
      <c r="P36" s="2026"/>
      <c r="V36" s="2026"/>
    </row>
    <row r="37" spans="1:26" ht="16.5" customHeight="1" thickBot="1">
      <c r="A37" s="1258" t="s">
        <v>348</v>
      </c>
      <c r="B37" s="306"/>
      <c r="C37" s="293"/>
      <c r="D37" s="293"/>
      <c r="E37" s="294"/>
      <c r="F37" s="310"/>
      <c r="G37" s="310"/>
      <c r="H37" s="310"/>
      <c r="I37" s="310"/>
      <c r="J37" s="2028"/>
      <c r="K37" s="3312"/>
      <c r="L37" s="3312"/>
      <c r="M37" s="1265"/>
      <c r="N37" s="3312"/>
      <c r="O37" s="3312"/>
      <c r="P37" s="2026"/>
      <c r="V37" s="2026"/>
    </row>
    <row r="38" spans="1:26" ht="16.5" customHeight="1" thickBot="1">
      <c r="A38" s="1258" t="s">
        <v>349</v>
      </c>
      <c r="B38" s="306"/>
      <c r="C38" s="293"/>
      <c r="D38" s="293"/>
      <c r="E38" s="294"/>
      <c r="F38" s="310"/>
      <c r="G38" s="310"/>
      <c r="H38" s="310"/>
      <c r="I38" s="310"/>
      <c r="J38" s="2028"/>
      <c r="K38" s="1266">
        <f>'数据-汇总表'!D3</f>
        <v>88890.36</v>
      </c>
      <c r="L38" s="1267">
        <f>'数据-汇总表'!E3</f>
        <v>299369.98</v>
      </c>
      <c r="M38" s="1267">
        <f ca="1">C34</f>
        <v>6729</v>
      </c>
      <c r="N38" s="1267">
        <f ca="1">C33</f>
        <v>1998</v>
      </c>
      <c r="O38" s="1268">
        <f ca="1">C32</f>
        <v>59818</v>
      </c>
      <c r="P38" s="2026"/>
      <c r="V38" s="2026"/>
    </row>
    <row r="39" spans="1:26" ht="16.5" customHeight="1" thickBot="1">
      <c r="A39" s="1263"/>
      <c r="B39" s="307"/>
      <c r="C39" s="308"/>
      <c r="D39" s="308"/>
      <c r="E39" s="309"/>
      <c r="F39" s="310"/>
      <c r="G39" s="310"/>
      <c r="H39" s="310"/>
      <c r="I39" s="310"/>
      <c r="J39" s="2028"/>
      <c r="K39" s="3355" t="str">
        <f>MID(A44,3,LEN(A44)-2)</f>
        <v>抵押价格</v>
      </c>
      <c r="L39" s="3356"/>
      <c r="M39" s="3356"/>
      <c r="N39" s="3357"/>
      <c r="O39" s="1390">
        <f ca="1">C44</f>
        <v>59818</v>
      </c>
      <c r="P39" s="2026"/>
      <c r="V39" s="2026"/>
    </row>
    <row r="40" spans="1:26" ht="19.5" thickBot="1">
      <c r="A40" s="104" t="s">
        <v>873</v>
      </c>
      <c r="B40" s="310"/>
      <c r="C40" s="310"/>
      <c r="D40" s="310"/>
      <c r="E40" s="310"/>
      <c r="F40" s="310"/>
      <c r="G40" s="310"/>
      <c r="H40" s="310"/>
      <c r="I40" s="310"/>
      <c r="J40" s="2028"/>
      <c r="K40" s="3355" t="str">
        <f t="shared" ref="K40:K41" si="0">MID(A45,3,LEN(A45)-2)</f>
        <v/>
      </c>
      <c r="L40" s="3356"/>
      <c r="M40" s="3356"/>
      <c r="N40" s="3357"/>
      <c r="O40" s="1390" t="str">
        <f>C45</f>
        <v>——</v>
      </c>
      <c r="P40" s="2026"/>
      <c r="V40" s="2026"/>
    </row>
    <row r="41" spans="1:26" ht="16.5" thickBot="1">
      <c r="A41" s="311" t="s">
        <v>356</v>
      </c>
      <c r="B41" s="312"/>
      <c r="C41" s="313" t="s">
        <v>357</v>
      </c>
      <c r="D41" s="314" t="s">
        <v>358</v>
      </c>
      <c r="E41" s="314" t="s">
        <v>359</v>
      </c>
      <c r="F41" s="315" t="s">
        <v>360</v>
      </c>
      <c r="G41" s="310"/>
      <c r="H41" s="310"/>
      <c r="I41" s="310"/>
      <c r="J41" s="2028"/>
      <c r="K41" s="3355" t="str">
        <f t="shared" si="0"/>
        <v/>
      </c>
      <c r="L41" s="3356"/>
      <c r="M41" s="3356"/>
      <c r="N41" s="3357"/>
      <c r="O41" s="1390" t="str">
        <f>C46</f>
        <v>——</v>
      </c>
      <c r="P41" s="2026"/>
      <c r="V41" s="2026"/>
    </row>
    <row r="42" spans="1:26" ht="29.25">
      <c r="A42" s="3297" t="s">
        <v>2068</v>
      </c>
      <c r="B42" s="3298"/>
      <c r="C42" s="263">
        <f ca="1">C32</f>
        <v>59818</v>
      </c>
      <c r="D42" s="316">
        <f ca="1">C33</f>
        <v>1998</v>
      </c>
      <c r="E42" s="316">
        <f ca="1">C34</f>
        <v>6729</v>
      </c>
      <c r="F42" s="317">
        <f ca="1">C35</f>
        <v>449</v>
      </c>
      <c r="G42" s="310"/>
      <c r="H42" s="310"/>
      <c r="I42" s="318"/>
      <c r="J42" s="2028"/>
      <c r="K42" s="1269" t="s">
        <v>361</v>
      </c>
      <c r="L42" s="2045" t="s">
        <v>362</v>
      </c>
      <c r="M42" s="1270" t="s">
        <v>363</v>
      </c>
      <c r="N42" s="2046" t="s">
        <v>364</v>
      </c>
      <c r="O42" s="2047" t="s">
        <v>365</v>
      </c>
      <c r="P42" s="2026"/>
      <c r="V42" s="2026"/>
    </row>
    <row r="43" spans="1:26" ht="30">
      <c r="A43" s="3308" t="s">
        <v>2730</v>
      </c>
      <c r="B43" s="3309"/>
      <c r="C43" s="263">
        <f>IF(H33="正常操作",G33+G34+G35,G34+G35)</f>
        <v>0</v>
      </c>
      <c r="D43" s="316" t="s">
        <v>43</v>
      </c>
      <c r="E43" s="316" t="s">
        <v>44</v>
      </c>
      <c r="F43" s="317" t="s">
        <v>44</v>
      </c>
      <c r="G43" s="2842" t="s">
        <v>952</v>
      </c>
      <c r="H43" s="310"/>
      <c r="I43" s="318"/>
      <c r="J43" s="2028"/>
      <c r="K43" s="1271" t="str">
        <f>C4</f>
        <v>比较法-住宅、综合</v>
      </c>
      <c r="L43" s="1272">
        <f ca="1">IF(L42="估价结果/万元",C19,C20)</f>
        <v>61571</v>
      </c>
      <c r="M43" s="1273">
        <f>C18</f>
        <v>0.5</v>
      </c>
      <c r="N43" s="1274">
        <f ca="1">IF(N42="测算结果/万元",G19,G20)</f>
        <v>59818</v>
      </c>
      <c r="O43" s="1275">
        <f ca="1">IF(O42="最终结果/万元",C32,C33)</f>
        <v>59818</v>
      </c>
      <c r="P43" s="2026"/>
      <c r="V43" s="2026"/>
    </row>
    <row r="44" spans="1:26" ht="30.75" thickBot="1">
      <c r="A44" s="3297" t="str">
        <f>IF(OR(项目基本情况!E8="抵押价格",项目基本情况!E8="已注销及未注销"),"3.抵押价格","——")</f>
        <v>3.抵押价格</v>
      </c>
      <c r="B44" s="3298"/>
      <c r="C44" s="263">
        <f ca="1">IF(A44="——","——",C42-C43)</f>
        <v>59818</v>
      </c>
      <c r="D44" s="316">
        <f ca="1">ROUND(C44*10000/'数据-汇总表'!E3,0)</f>
        <v>1998</v>
      </c>
      <c r="E44" s="316">
        <f ca="1">ROUND(C44*10000/'数据-汇总表'!D3,0)</f>
        <v>6729</v>
      </c>
      <c r="F44" s="317">
        <f ca="1">ROUND(C44/('数据-汇总表'!D3/666.67),0)</f>
        <v>449</v>
      </c>
      <c r="G44" s="310"/>
      <c r="H44" s="310"/>
      <c r="I44" s="318"/>
      <c r="J44" s="2028"/>
      <c r="K44" s="1276" t="str">
        <f>D4</f>
        <v>剩余法-待开发</v>
      </c>
      <c r="L44" s="1277">
        <f ca="1">IF(L42="估价结果/万元",D19,D20)</f>
        <v>58064</v>
      </c>
      <c r="M44" s="1278">
        <f>D18</f>
        <v>0.5</v>
      </c>
      <c r="N44" s="1279"/>
      <c r="O44" s="1280"/>
      <c r="P44" s="2026"/>
      <c r="V44" s="2026"/>
    </row>
    <row r="45" spans="1:26" ht="15">
      <c r="A45" s="3303" t="str">
        <f>IF(项目基本情况!E8="已注销及未注销","4.抵押担保权已注销时的抵押价格",IF(项目基本情况!E8="已注销","3.抵押担保权已注销时的抵押价格","——"))</f>
        <v>——</v>
      </c>
      <c r="B45" s="330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299" t="str">
        <f>IF(项目基本情况!E9="抵押净值",IF(A45="——","4.抵押净值","5.抵押净值"),"——")</f>
        <v>——</v>
      </c>
      <c r="B46" s="3300"/>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44" t="s">
        <v>374</v>
      </c>
      <c r="B63" s="3345"/>
      <c r="C63" s="3346"/>
      <c r="D63" s="340">
        <f ca="1">ROUND(C42*F63,0)</f>
        <v>35891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05" t="s">
        <v>378</v>
      </c>
      <c r="B64" s="3306"/>
      <c r="C64" s="3306"/>
      <c r="D64" s="3306"/>
      <c r="E64" s="3306"/>
      <c r="F64" s="3306"/>
      <c r="G64" s="3307"/>
      <c r="H64" s="1286"/>
      <c r="I64" s="946"/>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01" t="s">
        <v>386</v>
      </c>
      <c r="B66" s="3302"/>
      <c r="C66" s="3302"/>
      <c r="D66" s="260">
        <f ca="1">IF(H66="情况1",0,IF(H66="情况2",D70,IF(H66="情况3",D71,IF(H66="情况4",D72))))</f>
        <v>1880</v>
      </c>
      <c r="E66" s="991" t="str">
        <f>IF(H66="情况4","(销售额-原购置价)×税（费）率","销售额×税（费）率")</f>
        <v>销售额×税（费）率</v>
      </c>
      <c r="F66" s="349">
        <f>IF(H66="情况1","免征",'数据-取费表'!B41)</f>
        <v>5.5000000000000007E-2</v>
      </c>
      <c r="G66" s="350" t="s">
        <v>387</v>
      </c>
      <c r="H66" s="191" t="s">
        <v>388</v>
      </c>
      <c r="I66" s="1286"/>
      <c r="J66" s="2032"/>
      <c r="K66" s="1289">
        <v>1</v>
      </c>
      <c r="L66" s="3359" t="s">
        <v>385</v>
      </c>
      <c r="M66" s="3360"/>
      <c r="N66" s="2435"/>
      <c r="O66" s="2436"/>
      <c r="P66" s="2437"/>
      <c r="Q66" s="2026"/>
      <c r="R66" s="2026"/>
      <c r="S66" s="2026"/>
      <c r="T66" s="2026"/>
      <c r="U66" s="2026"/>
      <c r="V66" s="2026"/>
    </row>
    <row r="67" spans="1:22" ht="25.5" customHeight="1">
      <c r="A67" s="351" t="s">
        <v>390</v>
      </c>
      <c r="B67" s="3292" t="s">
        <v>391</v>
      </c>
      <c r="C67" s="3292"/>
      <c r="D67" s="352">
        <v>0</v>
      </c>
      <c r="E67" s="41" t="s">
        <v>392</v>
      </c>
      <c r="F67" s="62" t="s">
        <v>21</v>
      </c>
      <c r="G67" s="3347"/>
      <c r="H67" s="310"/>
      <c r="I67" s="1290"/>
      <c r="J67" s="2033"/>
      <c r="K67" s="1974">
        <v>2</v>
      </c>
      <c r="L67" s="3358" t="s">
        <v>389</v>
      </c>
      <c r="M67" s="3358"/>
      <c r="N67" s="1323">
        <f>'数据-取费表'!B2</f>
        <v>43475</v>
      </c>
      <c r="O67" s="1323"/>
      <c r="P67" s="1323"/>
      <c r="Q67" s="2026"/>
      <c r="R67" s="2026"/>
      <c r="S67" s="2026"/>
      <c r="T67" s="2026"/>
      <c r="U67" s="2026"/>
      <c r="V67" s="2026"/>
    </row>
    <row r="68" spans="1:22" ht="25.5" customHeight="1">
      <c r="A68" s="353"/>
      <c r="B68" s="3292" t="s">
        <v>394</v>
      </c>
      <c r="C68" s="3292"/>
      <c r="D68" s="354"/>
      <c r="E68" s="77"/>
      <c r="F68" s="355"/>
      <c r="G68" s="3348"/>
      <c r="H68" s="310"/>
      <c r="I68" s="1290"/>
      <c r="J68" s="2033"/>
      <c r="K68" s="1974">
        <v>3</v>
      </c>
      <c r="L68" s="3358" t="s">
        <v>393</v>
      </c>
      <c r="M68" s="3358"/>
      <c r="N68" s="1291">
        <f ca="1">C42</f>
        <v>59818</v>
      </c>
      <c r="O68" s="1291"/>
      <c r="P68" s="1291"/>
      <c r="Q68" s="2026"/>
      <c r="R68" s="2026"/>
      <c r="S68" s="2026"/>
      <c r="T68" s="2026"/>
      <c r="U68" s="2026"/>
      <c r="V68" s="2026"/>
    </row>
    <row r="69" spans="1:22" ht="12" customHeight="1">
      <c r="A69" s="356"/>
      <c r="B69" s="3292" t="s">
        <v>395</v>
      </c>
      <c r="C69" s="3292"/>
      <c r="D69" s="357"/>
      <c r="E69" s="73"/>
      <c r="F69" s="355"/>
      <c r="G69" s="3349"/>
      <c r="H69" s="310"/>
      <c r="I69" s="1290"/>
      <c r="J69" s="2033"/>
      <c r="K69" s="1292">
        <v>4</v>
      </c>
      <c r="L69" s="3363" t="s">
        <v>2883</v>
      </c>
      <c r="M69" s="3364"/>
      <c r="N69" s="1293">
        <f ca="1">C44</f>
        <v>59818</v>
      </c>
      <c r="O69" s="1293"/>
      <c r="P69" s="1293"/>
      <c r="Q69" s="2026"/>
      <c r="R69" s="2026"/>
      <c r="S69" s="2026"/>
      <c r="T69" s="2026"/>
      <c r="U69" s="2026"/>
      <c r="V69" s="2026"/>
    </row>
    <row r="70" spans="1:22" ht="24" customHeight="1">
      <c r="A70" s="358" t="s">
        <v>396</v>
      </c>
      <c r="B70" s="3292" t="s">
        <v>397</v>
      </c>
      <c r="C70" s="3292"/>
      <c r="D70" s="357">
        <f ca="1">ROUND(D63*'数据-取费表'!B41/(1+'数据-取费表'!C42),0)</f>
        <v>1880</v>
      </c>
      <c r="E70" s="17" t="s">
        <v>398</v>
      </c>
      <c r="F70" s="359">
        <f>'数据-取费表'!B41</f>
        <v>5.5000000000000007E-2</v>
      </c>
      <c r="G70" s="360"/>
      <c r="H70" s="310"/>
      <c r="I70" s="1290"/>
      <c r="J70" s="2033"/>
      <c r="K70" s="3035"/>
      <c r="L70" s="3036"/>
      <c r="M70" s="3036"/>
      <c r="N70" s="3037" t="s">
        <v>2888</v>
      </c>
      <c r="O70" s="3036"/>
      <c r="P70" s="3038"/>
      <c r="Q70" s="2026"/>
      <c r="R70" s="2026"/>
      <c r="S70" s="2026"/>
      <c r="T70" s="2026"/>
      <c r="U70" s="2026"/>
      <c r="V70" s="2026"/>
    </row>
    <row r="71" spans="1:22" ht="12" customHeight="1">
      <c r="A71" s="358" t="s">
        <v>404</v>
      </c>
      <c r="B71" s="3293" t="s">
        <v>405</v>
      </c>
      <c r="C71" s="3294"/>
      <c r="D71" s="357">
        <f ca="1">ROUND(D63*'数据-取费表'!B41/(1+'数据-取费表'!C42),0)</f>
        <v>1880</v>
      </c>
      <c r="E71" s="17" t="s">
        <v>398</v>
      </c>
      <c r="F71" s="359">
        <f>'数据-取费表'!B41</f>
        <v>5.5000000000000007E-2</v>
      </c>
      <c r="G71" s="360"/>
      <c r="H71" s="310"/>
      <c r="I71" s="1290"/>
      <c r="J71" s="2033"/>
      <c r="K71" s="3034" t="s">
        <v>399</v>
      </c>
      <c r="L71" s="3365" t="s">
        <v>400</v>
      </c>
      <c r="M71" s="3365"/>
      <c r="N71" s="3034" t="s">
        <v>401</v>
      </c>
      <c r="O71" s="3034" t="s">
        <v>402</v>
      </c>
      <c r="P71" s="3034" t="s">
        <v>403</v>
      </c>
      <c r="Q71" s="2026"/>
      <c r="R71" s="2026"/>
      <c r="S71" s="2026"/>
      <c r="T71" s="2026"/>
      <c r="U71" s="2026"/>
      <c r="V71" s="2026"/>
    </row>
    <row r="72" spans="1:22" ht="12" customHeight="1">
      <c r="A72" s="358" t="s">
        <v>407</v>
      </c>
      <c r="B72" s="3293" t="s">
        <v>408</v>
      </c>
      <c r="C72" s="3294"/>
      <c r="D72" s="357">
        <f ca="1">C86</f>
        <v>1770</v>
      </c>
      <c r="E72" s="73" t="s">
        <v>409</v>
      </c>
      <c r="F72" s="359">
        <f>'数据-取费表'!B41</f>
        <v>5.5000000000000007E-2</v>
      </c>
      <c r="G72" s="360"/>
      <c r="H72" s="1296"/>
      <c r="I72" s="1290"/>
      <c r="J72" s="2033"/>
      <c r="K72" s="1974">
        <v>1</v>
      </c>
      <c r="L72" s="3340" t="s">
        <v>406</v>
      </c>
      <c r="M72" s="3340"/>
      <c r="N72" s="1294">
        <f ca="1">D66</f>
        <v>1880</v>
      </c>
      <c r="O72" s="1857" t="str">
        <f>E66</f>
        <v>销售额×税（费）率</v>
      </c>
      <c r="P72" s="1295">
        <f>F66</f>
        <v>5.5000000000000007E-2</v>
      </c>
      <c r="Q72" s="2026"/>
      <c r="R72" s="2026"/>
      <c r="S72" s="2026"/>
      <c r="T72" s="2026"/>
      <c r="U72" s="2026"/>
      <c r="V72" s="2026"/>
    </row>
    <row r="73" spans="1:22" ht="24" customHeight="1">
      <c r="A73" s="3334" t="s">
        <v>411</v>
      </c>
      <c r="B73" s="3302"/>
      <c r="C73" s="3302"/>
      <c r="D73" s="361">
        <f>IF(H73="个人住宅",0,ROUND(D63*I73,0))</f>
        <v>0</v>
      </c>
      <c r="E73" s="17" t="s">
        <v>412</v>
      </c>
      <c r="F73" s="359" t="str">
        <f>IF(H73="正常",I73,"免征")</f>
        <v>免征</v>
      </c>
      <c r="G73" s="360"/>
      <c r="H73" s="191" t="s">
        <v>2455</v>
      </c>
      <c r="I73" s="359">
        <f>'数据-取费表'!B49</f>
        <v>5.0000000000000001E-4</v>
      </c>
      <c r="J73" s="2033"/>
      <c r="K73" s="1974">
        <v>2</v>
      </c>
      <c r="L73" s="3340" t="s">
        <v>410</v>
      </c>
      <c r="M73" s="3340"/>
      <c r="N73" s="1294">
        <f t="shared" ref="N73:P74" si="1">D73</f>
        <v>0</v>
      </c>
      <c r="O73" s="1857" t="str">
        <f t="shared" si="1"/>
        <v>销售额×税（费）率</v>
      </c>
      <c r="P73" s="1295" t="str">
        <f t="shared" si="1"/>
        <v>免征</v>
      </c>
      <c r="Q73" s="2026"/>
      <c r="R73" s="2026"/>
      <c r="S73" s="2026"/>
      <c r="T73" s="2026"/>
      <c r="U73" s="2026"/>
      <c r="V73" s="2026"/>
    </row>
    <row r="74" spans="1:22" ht="24.75">
      <c r="A74" s="3334" t="s">
        <v>415</v>
      </c>
      <c r="B74" s="3302"/>
      <c r="C74" s="3302"/>
      <c r="D74" s="361">
        <f ca="1">IF(H74="个人住宅",D75,D76)</f>
        <v>19691</v>
      </c>
      <c r="E74" s="17" t="s">
        <v>416</v>
      </c>
      <c r="F74" s="359" t="str">
        <f>IF(H74="正常",F76,"免征")</f>
        <v>——</v>
      </c>
      <c r="G74" s="981" t="s">
        <v>417</v>
      </c>
      <c r="H74" s="362" t="s">
        <v>413</v>
      </c>
      <c r="I74" s="42"/>
      <c r="J74" s="2033"/>
      <c r="K74" s="1974">
        <v>3</v>
      </c>
      <c r="L74" s="3340" t="s">
        <v>414</v>
      </c>
      <c r="M74" s="3340"/>
      <c r="N74" s="1294">
        <f t="shared" ca="1" si="1"/>
        <v>19691</v>
      </c>
      <c r="O74" s="1857" t="str">
        <f t="shared" si="1"/>
        <v>增值额×税（费）率</v>
      </c>
      <c r="P74" s="1297" t="str">
        <f t="shared" si="1"/>
        <v>——</v>
      </c>
      <c r="Q74" s="2026"/>
      <c r="R74" s="2026"/>
      <c r="S74" s="2026"/>
      <c r="T74" s="2026"/>
      <c r="U74" s="2026"/>
      <c r="V74" s="2026"/>
    </row>
    <row r="75" spans="1:22" ht="24">
      <c r="A75" s="358" t="s">
        <v>418</v>
      </c>
      <c r="B75" s="3290" t="s">
        <v>419</v>
      </c>
      <c r="C75" s="3320"/>
      <c r="D75" s="363">
        <v>0</v>
      </c>
      <c r="E75" s="41" t="s">
        <v>420</v>
      </c>
      <c r="F75" s="364"/>
      <c r="G75" s="360"/>
      <c r="H75" s="42"/>
      <c r="I75" s="42"/>
      <c r="J75" s="2033"/>
      <c r="K75" s="3027">
        <f>IF(H77="非个人房产","",4)</f>
        <v>4</v>
      </c>
      <c r="L75" s="3340" t="str">
        <f>IF(H77="非个人房产","——","个人所得税")</f>
        <v>个人所得税</v>
      </c>
      <c r="M75" s="3340"/>
      <c r="N75" s="1298">
        <f ca="1">D77</f>
        <v>359</v>
      </c>
      <c r="O75" s="1870" t="str">
        <f>E77</f>
        <v>销售额×税（费）率</v>
      </c>
      <c r="P75" s="1299">
        <f>F77</f>
        <v>0.01</v>
      </c>
      <c r="Q75" s="2026"/>
      <c r="R75" s="2026"/>
      <c r="S75" s="2026"/>
      <c r="T75" s="2026"/>
      <c r="U75" s="2026"/>
      <c r="V75" s="2026"/>
    </row>
    <row r="76" spans="1:22" ht="24.75">
      <c r="A76" s="358" t="s">
        <v>396</v>
      </c>
      <c r="B76" s="3290" t="s">
        <v>422</v>
      </c>
      <c r="C76" s="3291"/>
      <c r="D76" s="361">
        <f ca="1">IF(H76="转让取得",C99,C115)</f>
        <v>19691</v>
      </c>
      <c r="E76" s="17" t="s">
        <v>423</v>
      </c>
      <c r="F76" s="53" t="s">
        <v>21</v>
      </c>
      <c r="G76" s="360"/>
      <c r="H76" s="362" t="s">
        <v>424</v>
      </c>
      <c r="I76" s="42"/>
      <c r="J76" s="2033"/>
      <c r="K76" s="3027" t="str">
        <f>IF(项目基本情况!K6="上海银行",IF(K75="",4,K75+1),"")</f>
        <v/>
      </c>
      <c r="L76" s="3351" t="str">
        <f>IF(项目基本情况!K6="上海银行","其他处置费用","")</f>
        <v/>
      </c>
      <c r="M76" s="3352"/>
      <c r="N76" s="1294" t="str">
        <f>IF(项目基本情况!K6="上海银行",N89,"")</f>
        <v/>
      </c>
      <c r="O76" s="3353" t="str">
        <f>IF(项目基本情况!K6="上海银行","包含处置中涉及的律师、诉讼、拍卖、评估等费用","")</f>
        <v/>
      </c>
      <c r="P76" s="3354"/>
      <c r="Q76" s="2026"/>
      <c r="R76" s="2026"/>
      <c r="S76" s="2026"/>
      <c r="T76" s="2026"/>
      <c r="U76" s="2026"/>
      <c r="V76" s="2026"/>
    </row>
    <row r="77" spans="1:22" ht="26.25" thickBot="1">
      <c r="A77" s="3342" t="s">
        <v>426</v>
      </c>
      <c r="B77" s="3343"/>
      <c r="C77" s="3343"/>
      <c r="D77" s="365">
        <f ca="1">IF(H77="非个人房产","——",IF(H77="个人住宅",0,ROUND(D63*I77,0)))</f>
        <v>359</v>
      </c>
      <c r="E77" s="366" t="str">
        <f>IF(H77="非个人房产","——","销售额×税（费）率")</f>
        <v>销售额×税（费）率</v>
      </c>
      <c r="F77" s="367">
        <f>IF(H77="非个人房产","——",IF(H77="个人住宅","免征",I77))</f>
        <v>0.01</v>
      </c>
      <c r="G77" s="982" t="s">
        <v>417</v>
      </c>
      <c r="H77" s="362" t="s">
        <v>2884</v>
      </c>
      <c r="I77" s="368">
        <v>0.01</v>
      </c>
      <c r="J77" s="2033"/>
      <c r="K77" s="3341">
        <f>IF(AND(K75="",K76=""),4,IF(项目基本情况!K6="上海银行",K76+1,K75+1))</f>
        <v>5</v>
      </c>
      <c r="L77" s="3340" t="s">
        <v>2885</v>
      </c>
      <c r="M77" s="3033" t="s">
        <v>421</v>
      </c>
      <c r="N77" s="1300"/>
      <c r="O77" s="1301">
        <f ca="1">SUMIF(N72:N76,"&lt;9e307")</f>
        <v>21930</v>
      </c>
      <c r="P77" s="1302"/>
      <c r="Q77" s="3031">
        <f ca="1">O77/N69</f>
        <v>0.36661205657160051</v>
      </c>
      <c r="R77" s="2026"/>
      <c r="S77" s="2026"/>
      <c r="T77" s="2026"/>
      <c r="U77" s="2026"/>
      <c r="V77" s="2026"/>
    </row>
    <row r="78" spans="1:22" ht="12" customHeight="1">
      <c r="A78" s="1303"/>
      <c r="B78" s="310"/>
      <c r="C78" s="310"/>
      <c r="D78" s="310"/>
      <c r="E78" s="42"/>
      <c r="F78" s="42"/>
      <c r="G78" s="42"/>
      <c r="H78" s="1001"/>
      <c r="I78" s="310"/>
      <c r="J78" s="2033"/>
      <c r="K78" s="3341"/>
      <c r="L78" s="3340"/>
      <c r="M78" s="3033" t="s">
        <v>425</v>
      </c>
      <c r="N78" s="1300"/>
      <c r="O78" s="1301" t="str">
        <f ca="1">NUMBERSTRING(INT(O77*10000),2)&amp;"元整"</f>
        <v>贰亿壹仟玖佰叁拾万元整</v>
      </c>
      <c r="P78" s="1302"/>
      <c r="Q78" s="2026"/>
      <c r="R78" s="2026"/>
      <c r="S78" s="2026"/>
      <c r="T78" s="2026"/>
      <c r="U78" s="2026"/>
      <c r="V78" s="2026"/>
    </row>
    <row r="79" spans="1:22" ht="13.5" thickBot="1">
      <c r="A79" s="3335" t="s">
        <v>427</v>
      </c>
      <c r="B79" s="3335"/>
      <c r="C79" s="3335"/>
      <c r="D79" s="3335"/>
      <c r="E79" s="3335"/>
      <c r="F79" s="42"/>
      <c r="G79" s="42"/>
      <c r="H79" s="1001"/>
      <c r="I79" s="310"/>
      <c r="J79" s="2033"/>
      <c r="K79" s="3361">
        <f>K77+1</f>
        <v>6</v>
      </c>
      <c r="L79" s="3340" t="s">
        <v>2886</v>
      </c>
      <c r="M79" s="3033" t="s">
        <v>421</v>
      </c>
      <c r="N79" s="1300"/>
      <c r="O79" s="1301">
        <f ca="1">N69-O77</f>
        <v>37888</v>
      </c>
      <c r="P79" s="1302"/>
      <c r="Q79" s="2026"/>
      <c r="R79" s="2026"/>
      <c r="S79" s="2026"/>
      <c r="T79" s="2026"/>
      <c r="U79" s="2026"/>
      <c r="V79" s="2026"/>
    </row>
    <row r="80" spans="1:22" ht="25.5">
      <c r="A80" s="3330" t="s">
        <v>428</v>
      </c>
      <c r="B80" s="3331"/>
      <c r="C80" s="992"/>
      <c r="D80" s="992" t="s">
        <v>429</v>
      </c>
      <c r="E80" s="369" t="s">
        <v>430</v>
      </c>
      <c r="F80" s="42"/>
      <c r="G80" s="42"/>
      <c r="H80" s="1001"/>
      <c r="I80" s="310"/>
      <c r="J80" s="2026"/>
      <c r="K80" s="3362"/>
      <c r="L80" s="3340"/>
      <c r="M80" s="3033" t="s">
        <v>425</v>
      </c>
      <c r="N80" s="1300"/>
      <c r="O80" s="1301" t="str">
        <f ca="1">NUMBERSTRING(INT(O79*10000),2)&amp;"元整"</f>
        <v>叁亿柒仟捌佰捌拾捌万元整</v>
      </c>
      <c r="P80" s="1302"/>
      <c r="Q80" s="2026"/>
      <c r="R80" s="2026"/>
      <c r="S80" s="2026"/>
      <c r="T80" s="2026"/>
      <c r="U80" s="2026"/>
      <c r="V80" s="2026"/>
    </row>
    <row r="81" spans="1:26" ht="13.5" thickBot="1">
      <c r="A81" s="380" t="s">
        <v>1824</v>
      </c>
      <c r="B81" s="370" t="s">
        <v>431</v>
      </c>
      <c r="C81" s="371">
        <f ca="1">ROUND((C82+C83)/(1+'数据-取费表'!C42),0)</f>
        <v>34182</v>
      </c>
      <c r="D81" s="372"/>
      <c r="E81" s="373"/>
      <c r="F81" s="42"/>
      <c r="G81" s="42"/>
      <c r="H81" s="1001"/>
      <c r="I81" s="310"/>
      <c r="J81" s="2026"/>
      <c r="K81" s="3027">
        <f>K79+1</f>
        <v>7</v>
      </c>
      <c r="L81" s="3338" t="s">
        <v>2887</v>
      </c>
      <c r="M81" s="3339"/>
      <c r="N81" s="1304"/>
      <c r="O81" s="1305">
        <f ca="1">ROUND(O79*10000/'数据-汇总表'!E3,0)</f>
        <v>1266</v>
      </c>
      <c r="P81" s="1306"/>
      <c r="Q81" s="2026"/>
      <c r="R81" s="2026"/>
      <c r="S81" s="2026"/>
      <c r="T81" s="2026"/>
      <c r="U81" s="2026"/>
      <c r="V81" s="2026"/>
    </row>
    <row r="82" spans="1:26" ht="13.5" thickTop="1">
      <c r="A82" s="374" t="s">
        <v>1825</v>
      </c>
      <c r="B82" s="375" t="s">
        <v>432</v>
      </c>
      <c r="C82" s="376">
        <f ca="1">D63</f>
        <v>35891</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1"/>
      <c r="I83" s="310"/>
      <c r="J83" s="2026"/>
      <c r="K83" s="3350" t="s">
        <v>2874</v>
      </c>
      <c r="L83" s="3039" t="s">
        <v>2875</v>
      </c>
      <c r="M83" s="3029">
        <f ca="1">IF(N69&gt;10000,N69*0.5%,IF(AND(N69&gt;1000,N69&lt;=10000),N69*1%,IF(AND(N69&gt;100,N69&lt;=1000),N69*3%,IF(AND(N69&gt;10,N69&lt;=100),N69*5%,N69*8%))))</f>
        <v>299.09000000000003</v>
      </c>
      <c r="N83" s="53">
        <f ca="1">ROUND(M83,1)</f>
        <v>299.10000000000002</v>
      </c>
      <c r="O83" s="3032"/>
      <c r="P83" s="2026"/>
      <c r="Q83" s="2026"/>
      <c r="R83" s="2026"/>
      <c r="S83" s="2026"/>
      <c r="T83" s="2026"/>
      <c r="U83" s="2026"/>
      <c r="V83" s="2026"/>
    </row>
    <row r="84" spans="1:26" ht="12.75">
      <c r="A84" s="380" t="s">
        <v>1827</v>
      </c>
      <c r="B84" s="381" t="s">
        <v>434</v>
      </c>
      <c r="C84" s="382">
        <v>2000</v>
      </c>
      <c r="D84" s="383" t="s">
        <v>19</v>
      </c>
      <c r="E84" s="3074" t="s">
        <v>2943</v>
      </c>
      <c r="F84" s="42"/>
      <c r="G84" s="42"/>
      <c r="H84" s="1001"/>
      <c r="I84" s="310"/>
      <c r="J84" s="2026"/>
      <c r="K84" s="3350"/>
      <c r="L84" s="3039" t="s">
        <v>2876</v>
      </c>
      <c r="M84" s="3029">
        <f ca="1">IF(N69&gt;2000,N69*0.5%,IF(AND(N69&gt;1000,N69&lt;=2000),N69*0.6%,IF(AND(N69&gt;500,N69&lt;=1000),N69*0.7%,IF(AND(N69&gt;200,N69&lt;=500),N69*0.8%,IF(AND(N69&gt;100,N69&lt;=200),N69*0.9%,IF(AND(N69&gt;50,N69&lt;=100),N69*1%,IF(AND(N69&gt;20,N69&lt;=50),N69*1.5%,IF(AND(N69&gt;10,N69&lt;=20),N69*2%,IF(AND(N69&gt;1,N69&lt;=10),N69*2.5%)))))))))</f>
        <v>299.09000000000003</v>
      </c>
      <c r="N84" s="53">
        <f t="shared" ref="N84:N85" ca="1" si="2">ROUND(M84,1)</f>
        <v>299.10000000000002</v>
      </c>
      <c r="O84" s="2026" t="s">
        <v>2877</v>
      </c>
      <c r="P84" s="2026"/>
      <c r="Q84" s="2026"/>
      <c r="R84" s="2026"/>
      <c r="S84" s="2026"/>
      <c r="T84" s="2026"/>
      <c r="U84" s="2026"/>
      <c r="V84" s="2026"/>
    </row>
    <row r="85" spans="1:26" ht="12.75">
      <c r="A85" s="380" t="s">
        <v>1828</v>
      </c>
      <c r="B85" s="381" t="s">
        <v>435</v>
      </c>
      <c r="C85" s="384">
        <f ca="1">C81-C84</f>
        <v>32182</v>
      </c>
      <c r="D85" s="377" t="s">
        <v>19</v>
      </c>
      <c r="E85" s="378"/>
      <c r="F85" s="42"/>
      <c r="G85" s="42"/>
      <c r="H85" s="1001"/>
      <c r="I85" s="310"/>
      <c r="J85" s="2026"/>
      <c r="K85" s="3350"/>
      <c r="L85" s="3039" t="s">
        <v>2878</v>
      </c>
      <c r="M85" s="3029">
        <f ca="1">IF(N69&gt;1000,N69*0.1%,IF(AND(N69&gt;500,N69&lt;=1000),N69*0.5%,IF(AND(N69&gt;50,N69&lt;=500),N69*1%,IF(AND(N69&gt;1,N69&lt;=50),N69*1.5%))))</f>
        <v>59.817999999999998</v>
      </c>
      <c r="N85" s="53">
        <f t="shared" ca="1" si="2"/>
        <v>59.8</v>
      </c>
      <c r="O85" s="2026" t="s">
        <v>2877</v>
      </c>
      <c r="P85" s="2026"/>
      <c r="Q85" s="2026"/>
      <c r="R85" s="2026"/>
      <c r="S85" s="2026"/>
      <c r="T85" s="2026"/>
      <c r="U85" s="2026"/>
      <c r="V85" s="2026"/>
    </row>
    <row r="86" spans="1:26" ht="13.5" thickBot="1">
      <c r="A86" s="385" t="s">
        <v>1829</v>
      </c>
      <c r="B86" s="386" t="s">
        <v>436</v>
      </c>
      <c r="C86" s="387">
        <f ca="1">IF(C85&lt;=0,0,ROUND(C85*D86,0))</f>
        <v>1770</v>
      </c>
      <c r="D86" s="388">
        <f>'数据-取费表'!B41</f>
        <v>5.5000000000000007E-2</v>
      </c>
      <c r="E86" s="389"/>
      <c r="F86" s="42"/>
      <c r="G86" s="42"/>
      <c r="H86" s="1001"/>
      <c r="I86" s="310"/>
      <c r="J86" s="2026"/>
      <c r="K86" s="3350"/>
      <c r="L86" s="3039" t="s">
        <v>2879</v>
      </c>
      <c r="M86" s="3029">
        <f ca="1">N69*0.5%</f>
        <v>299.09000000000003</v>
      </c>
      <c r="N86" s="53">
        <f ca="1">IF(M86&gt;0.5,0.5,ROUND(M86,0))</f>
        <v>0.5</v>
      </c>
      <c r="O86" s="2026" t="s">
        <v>2880</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350"/>
      <c r="L87" s="3039" t="s">
        <v>2881</v>
      </c>
      <c r="M87" s="3029">
        <f ca="1">IF(N69&gt;=10000,(8.25+(N69-10000)*0.01%),IF(AND(N69&gt;=8000,N69&lt;10000),(7.85+(N69-8000)*0.02%),IF(AND(N69&gt;=5000,N69&lt;8000),(6.65+(N69-5000)*0.04%),IF(AND(N69&gt;=2000,N69&lt;5000),(4.25+(PN69-2000)*0.08%),IF(AND(N69&gt;=1000,N69&lt;2000),(2.75+(N69-1000)*0.15%),IF(AND(N69&gt;=100,N69&lt;1000),(0.5+(N69-100)*0.25%),IF(AND(N69&gt;0,N69&lt;100),N69*0.5%)))))))</f>
        <v>13.2318</v>
      </c>
      <c r="N87" s="53">
        <f ca="1">ROUND(M87*0.9,1)</f>
        <v>11.9</v>
      </c>
      <c r="O87" s="3032"/>
      <c r="P87" s="310"/>
      <c r="Q87" s="2026"/>
      <c r="R87" s="2026"/>
      <c r="S87" s="2026"/>
      <c r="T87" s="2026"/>
      <c r="U87" s="2026"/>
      <c r="V87" s="2026"/>
      <c r="W87" s="291"/>
      <c r="X87" s="291"/>
      <c r="Y87" s="291"/>
      <c r="Z87" s="291"/>
    </row>
    <row r="88" spans="1:26" s="1312" customFormat="1" ht="15" thickBot="1">
      <c r="A88" s="3332" t="s">
        <v>437</v>
      </c>
      <c r="B88" s="3333"/>
      <c r="C88" s="3333"/>
      <c r="D88" s="3333"/>
      <c r="E88" s="3333"/>
      <c r="F88" s="3333"/>
      <c r="G88" s="3333"/>
      <c r="H88" s="3333"/>
      <c r="I88" s="1313"/>
      <c r="J88" s="2034"/>
      <c r="K88" s="3350"/>
      <c r="L88" s="3039" t="s">
        <v>2882</v>
      </c>
      <c r="M88" s="3029">
        <f ca="1">IF(N69&gt;10000,N69*0.5%,IF(AND(N69&gt;5000,N69&lt;=10000),N69*1%,IF(AND(N69&gt;1000,N69&lt;=5000),N69*2%,IF(AND(N69&gt;200,N69&lt;=1000),N69*3%,N69*5%))))</f>
        <v>299.09000000000003</v>
      </c>
      <c r="N88" s="53">
        <f ca="1">ROUND(M88,1)</f>
        <v>299.10000000000002</v>
      </c>
      <c r="O88" s="3032"/>
      <c r="P88" s="11"/>
      <c r="Q88" s="2031"/>
      <c r="R88" s="2031"/>
      <c r="S88" s="2031"/>
      <c r="T88" s="2031"/>
      <c r="U88" s="2031"/>
      <c r="V88" s="2031"/>
      <c r="W88" s="2035"/>
      <c r="X88" s="2035"/>
      <c r="Y88" s="2035"/>
      <c r="Z88" s="2035"/>
    </row>
    <row r="89" spans="1:26" s="1312" customFormat="1" ht="14.25">
      <c r="A89" s="3330" t="s">
        <v>428</v>
      </c>
      <c r="B89" s="3331"/>
      <c r="C89" s="992"/>
      <c r="D89" s="992" t="s">
        <v>429</v>
      </c>
      <c r="E89" s="390" t="s">
        <v>438</v>
      </c>
      <c r="F89" s="391"/>
      <c r="G89" s="391"/>
      <c r="H89" s="392"/>
      <c r="I89" s="1314"/>
      <c r="J89" s="2036"/>
      <c r="K89" s="3350"/>
      <c r="L89" s="3039" t="s">
        <v>27</v>
      </c>
      <c r="M89" s="3030"/>
      <c r="N89" s="53">
        <f ca="1">ROUND(SUM(N83:N88),0)</f>
        <v>970</v>
      </c>
      <c r="O89" s="3040">
        <f ca="1">N89/N69</f>
        <v>1.621585475943696E-2</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34182</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3430</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3259</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f>ROUND((8300000+17154781)/10000,0)</f>
        <v>2545</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636</v>
      </c>
      <c r="D94" s="400">
        <v>0.05</v>
      </c>
      <c r="E94" s="3293" t="s">
        <v>447</v>
      </c>
      <c r="F94" s="3292"/>
      <c r="G94" s="3292"/>
      <c r="H94" s="3329"/>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78</v>
      </c>
      <c r="D95" s="401">
        <f>'数据-取费表'!B48+'数据-取费表'!B49</f>
        <v>3.0499999999999999E-2</v>
      </c>
      <c r="E95" s="26" t="s">
        <v>449</v>
      </c>
      <c r="F95" s="402"/>
      <c r="G95" s="403"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171</v>
      </c>
      <c r="D96" s="405">
        <f>'数据-取费表'!B43</f>
        <v>5.000000000000001E-3</v>
      </c>
      <c r="E96" s="3321" t="s">
        <v>2428</v>
      </c>
      <c r="F96" s="3322"/>
      <c r="G96" s="3322"/>
      <c r="H96" s="332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1" t="s">
        <v>451</v>
      </c>
      <c r="C97" s="384">
        <f ca="1">C90-C91</f>
        <v>30752</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1" t="s">
        <v>452</v>
      </c>
      <c r="C98" s="406">
        <f ca="1">IF(C97&lt;=0,0,C97/C91)</f>
        <v>8.9655976676384839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6" t="s">
        <v>453</v>
      </c>
      <c r="C99" s="407">
        <f ca="1">ROUND(IF(C97&lt;=0,0,IF(C98&gt;=200%,C97*60%-C91*35%,IF(C98&gt;=100%,C97*50%-C91*15%,IF(C98&gt;=50%,C97*40%-C91*5%,IF(C98&lt;50%,C97*30%,0))))),0)</f>
        <v>17251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32" t="s">
        <v>454</v>
      </c>
      <c r="B101" s="3333"/>
      <c r="C101" s="3333"/>
      <c r="D101" s="3333"/>
      <c r="E101" s="3333"/>
      <c r="F101" s="3333"/>
      <c r="G101" s="3333"/>
      <c r="H101" s="3333"/>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30" t="s">
        <v>428</v>
      </c>
      <c r="B102" s="3331"/>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34182</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861</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5" t="s">
        <v>461</v>
      </c>
      <c r="C109" s="404">
        <f>IF(H109="——",IF(F1="现房",'剩余法-现房'!C18,'剩余法-待开发'!C18),I109)</f>
        <v>55</v>
      </c>
      <c r="D109" s="405"/>
      <c r="E109" s="3324" t="s">
        <v>462</v>
      </c>
      <c r="F109" s="3322"/>
      <c r="G109" s="3322"/>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5" t="s">
        <v>463</v>
      </c>
      <c r="C110" s="404">
        <f>ROUND((C105+C108+C109)*D110,0)</f>
        <v>63</v>
      </c>
      <c r="D110" s="405">
        <v>0.1</v>
      </c>
      <c r="E110" s="3324" t="s">
        <v>464</v>
      </c>
      <c r="F110" s="3322"/>
      <c r="G110" s="3322"/>
      <c r="H110" s="332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5" t="s">
        <v>450</v>
      </c>
      <c r="C111" s="404">
        <f ca="1">ROUND(D63*D111/(1+'数据-取费表'!C42),0)</f>
        <v>171</v>
      </c>
      <c r="D111" s="405">
        <f>'数据-取费表'!B43</f>
        <v>5.000000000000001E-3</v>
      </c>
      <c r="E111" s="3321" t="s">
        <v>2428</v>
      </c>
      <c r="F111" s="3322"/>
      <c r="G111" s="3322"/>
      <c r="H111" s="332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5" t="s">
        <v>465</v>
      </c>
      <c r="C112" s="404">
        <f>ROUND(C108*D112,0)</f>
        <v>0</v>
      </c>
      <c r="D112" s="405">
        <v>0.2</v>
      </c>
      <c r="E112" s="3324" t="s">
        <v>2453</v>
      </c>
      <c r="F112" s="3322"/>
      <c r="G112" s="3322"/>
      <c r="H112" s="332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1" t="s">
        <v>451</v>
      </c>
      <c r="C113" s="384">
        <f ca="1">ROUND(C103-C104,0)</f>
        <v>33321</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1" t="s">
        <v>452</v>
      </c>
      <c r="C114" s="406">
        <f ca="1">IF(C113&lt;=0,0,C113/C104)</f>
        <v>38.700348432055748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6" t="s">
        <v>453</v>
      </c>
      <c r="C115" s="407">
        <f ca="1">ROUND(IF(C113&lt;=0,0,IF(C114&gt;=200%,C113*60%-C104*35%,IF(C114&gt;=100%,C113*50%-C104*15%,IF(C114&gt;=50%,C113*40%-C104*5%,IF(C114&lt;50%,C113*30%,0))))),0)</f>
        <v>19691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7" sqref="M27"/>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61571</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2057</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6927</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462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75" t="s">
        <v>522</v>
      </c>
      <c r="D6" s="3376"/>
      <c r="E6" s="3375" t="s">
        <v>523</v>
      </c>
      <c r="F6" s="3376"/>
      <c r="G6" s="3375" t="s">
        <v>524</v>
      </c>
      <c r="H6" s="3376"/>
      <c r="I6" s="3375" t="s">
        <v>525</v>
      </c>
      <c r="J6" s="3376"/>
      <c r="K6" s="513" t="s">
        <v>526</v>
      </c>
      <c r="L6" s="2131"/>
      <c r="M6" s="2130"/>
      <c r="N6" s="2130"/>
      <c r="O6" s="2132"/>
      <c r="P6" s="3377" t="s">
        <v>527</v>
      </c>
      <c r="Q6" s="3378"/>
      <c r="R6" s="3383" t="s">
        <v>523</v>
      </c>
      <c r="S6" s="3384"/>
      <c r="T6" s="3383" t="s">
        <v>524</v>
      </c>
      <c r="U6" s="3384"/>
      <c r="V6" s="3370" t="s">
        <v>525</v>
      </c>
      <c r="W6" s="3370"/>
      <c r="X6" s="1565"/>
      <c r="Y6" s="3383" t="s">
        <v>527</v>
      </c>
      <c r="Z6" s="3384"/>
      <c r="AA6" s="3372" t="s">
        <v>523</v>
      </c>
      <c r="AB6" s="3373" t="s">
        <v>524</v>
      </c>
      <c r="AC6" s="3372" t="s">
        <v>525</v>
      </c>
    </row>
    <row r="7" spans="1:30" ht="45.75" customHeight="1">
      <c r="A7" s="514"/>
      <c r="B7" s="515"/>
      <c r="C7" s="3391" t="s">
        <v>2930</v>
      </c>
      <c r="D7" s="3392"/>
      <c r="E7" s="3391" t="str">
        <f>土地案例!A6</f>
        <v>台山市台城南新区新宁小学南侧地块一</v>
      </c>
      <c r="F7" s="3392"/>
      <c r="G7" s="3391" t="str">
        <f>土地案例!A7</f>
        <v>台山市台城南新区新宁小学南侧地块二</v>
      </c>
      <c r="H7" s="3392"/>
      <c r="I7" s="3391" t="str">
        <f>土地案例!A8</f>
        <v>台山市台城南新区长安路与公园路交叉口西南侧</v>
      </c>
      <c r="J7" s="3392"/>
      <c r="K7" s="513"/>
      <c r="L7" s="2131"/>
      <c r="M7" s="2130"/>
      <c r="N7" s="2130"/>
      <c r="O7" s="2132"/>
      <c r="P7" s="3379"/>
      <c r="Q7" s="3380"/>
      <c r="R7" s="3385"/>
      <c r="S7" s="3386"/>
      <c r="T7" s="3385"/>
      <c r="U7" s="3386"/>
      <c r="V7" s="3370"/>
      <c r="W7" s="3370"/>
      <c r="X7" s="1565"/>
      <c r="Y7" s="3385"/>
      <c r="Z7" s="3386"/>
      <c r="AA7" s="3373"/>
      <c r="AB7" s="3373"/>
      <c r="AC7" s="3373"/>
    </row>
    <row r="8" spans="1:30" ht="21" thickBot="1">
      <c r="A8" s="514"/>
      <c r="B8" s="515"/>
      <c r="C8" s="3393" t="s">
        <v>2934</v>
      </c>
      <c r="D8" s="3394"/>
      <c r="E8" s="3393" t="s">
        <v>2934</v>
      </c>
      <c r="F8" s="3394"/>
      <c r="G8" s="3389" t="s">
        <v>2934</v>
      </c>
      <c r="H8" s="3390"/>
      <c r="I8" s="3389" t="s">
        <v>2934</v>
      </c>
      <c r="J8" s="3390"/>
      <c r="K8" s="513" t="s">
        <v>528</v>
      </c>
      <c r="L8" s="2131"/>
      <c r="M8" s="2130"/>
      <c r="N8" s="2130"/>
      <c r="O8" s="2132"/>
      <c r="P8" s="3381"/>
      <c r="Q8" s="3382"/>
      <c r="R8" s="3385"/>
      <c r="S8" s="3386"/>
      <c r="T8" s="3387"/>
      <c r="U8" s="3388"/>
      <c r="V8" s="3370"/>
      <c r="W8" s="3370"/>
      <c r="X8" s="1565"/>
      <c r="Y8" s="3387"/>
      <c r="Z8" s="3388"/>
      <c r="AA8" s="3374"/>
      <c r="AB8" s="3374"/>
      <c r="AC8" s="3374"/>
    </row>
    <row r="9" spans="1:30" s="1218" customFormat="1" ht="21" thickBot="1">
      <c r="A9" s="2888"/>
      <c r="B9" s="2895" t="s">
        <v>529</v>
      </c>
      <c r="C9" s="2887">
        <f>'数据-取费表'!B2</f>
        <v>43475</v>
      </c>
      <c r="D9" s="519">
        <v>100</v>
      </c>
      <c r="E9" s="520" t="str">
        <f>土地案例!L6</f>
        <v>2018-02-07</v>
      </c>
      <c r="F9" s="521">
        <f>SUMIF(72:72,YEAR(E9)&amp;"-"&amp;INT((MONTH(E9)+2)/3),73:73)</f>
        <v>98</v>
      </c>
      <c r="G9" s="522" t="str">
        <f>土地案例!L7</f>
        <v>2018-02-07</v>
      </c>
      <c r="H9" s="519">
        <f>SUMIF(72:72,YEAR(G9)&amp;"-"&amp;INT((MONTH(G9)+2)/3),73:73)</f>
        <v>98</v>
      </c>
      <c r="I9" s="522" t="str">
        <f>土地案例!L8</f>
        <v>2018-02-06</v>
      </c>
      <c r="J9" s="519">
        <f>SUMIF(72:72,YEAR(I9)&amp;"-"&amp;INT((MONTH(I9)+2)/3),73:73)</f>
        <v>98</v>
      </c>
      <c r="K9" s="523"/>
      <c r="L9" s="2133"/>
      <c r="M9" s="2130"/>
      <c r="N9" s="2130"/>
      <c r="O9" s="2134"/>
      <c r="P9" s="3400" t="s">
        <v>530</v>
      </c>
      <c r="Q9" s="3402"/>
      <c r="R9" s="1566" t="s">
        <v>8</v>
      </c>
      <c r="S9" s="1567">
        <f t="shared" ref="S9:S17" si="0">F9</f>
        <v>98</v>
      </c>
      <c r="T9" s="1566" t="s">
        <v>8</v>
      </c>
      <c r="U9" s="1567">
        <f t="shared" ref="U9:U17" si="1">H9</f>
        <v>98</v>
      </c>
      <c r="V9" s="1566" t="s">
        <v>8</v>
      </c>
      <c r="W9" s="1567">
        <f t="shared" ref="W9:W17" si="2">J9</f>
        <v>98</v>
      </c>
      <c r="X9" s="1568"/>
      <c r="Y9" s="3400" t="s">
        <v>530</v>
      </c>
      <c r="Z9" s="3401"/>
      <c r="AA9" s="1569">
        <f>D9/F9</f>
        <v>1.0204081632653061</v>
      </c>
      <c r="AB9" s="1569">
        <f>D9/H9</f>
        <v>1.0204081632653061</v>
      </c>
      <c r="AC9" s="1569">
        <f>D9/J9</f>
        <v>1.0204081632653061</v>
      </c>
    </row>
    <row r="10" spans="1:30" s="1218" customFormat="1" ht="21" thickBot="1">
      <c r="A10" s="2889"/>
      <c r="B10" s="289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3"/>
      <c r="M10" s="2130"/>
      <c r="N10" s="2130"/>
      <c r="O10" s="2134"/>
      <c r="P10" s="3400" t="s">
        <v>533</v>
      </c>
      <c r="Q10" s="3401"/>
      <c r="R10" s="1566" t="s">
        <v>8</v>
      </c>
      <c r="S10" s="1567">
        <f t="shared" si="0"/>
        <v>100</v>
      </c>
      <c r="T10" s="1566" t="s">
        <v>8</v>
      </c>
      <c r="U10" s="1567">
        <f t="shared" si="1"/>
        <v>100</v>
      </c>
      <c r="V10" s="1566" t="s">
        <v>8</v>
      </c>
      <c r="W10" s="1567">
        <f t="shared" si="2"/>
        <v>100</v>
      </c>
      <c r="X10" s="1568"/>
      <c r="Y10" s="3400" t="s">
        <v>533</v>
      </c>
      <c r="Z10" s="3401"/>
      <c r="AA10" s="1569">
        <f t="shared" ref="AA10:AA47" si="3">D10/F10</f>
        <v>1</v>
      </c>
      <c r="AB10" s="1569">
        <f t="shared" ref="AB10:AB47" si="4">D10/H10</f>
        <v>1</v>
      </c>
      <c r="AC10" s="1569">
        <f t="shared" ref="AC10:AC47" si="5">D10/J10</f>
        <v>1</v>
      </c>
    </row>
    <row r="11" spans="1:30" s="1218" customFormat="1" ht="20.25">
      <c r="A11" s="2890"/>
      <c r="B11" s="2897" t="s">
        <v>2756</v>
      </c>
      <c r="C11" s="2884"/>
      <c r="D11" s="253">
        <v>100</v>
      </c>
      <c r="E11" s="525"/>
      <c r="F11" s="253">
        <f>SUMIF(77:77,E11,78:78)-SUMIF(77:77,C11,78:78)+100</f>
        <v>100</v>
      </c>
      <c r="G11" s="525"/>
      <c r="H11" s="253">
        <f>SUMIF(77:77,G11,78:78)-SUMIF(77:77,C11,78:78)+100</f>
        <v>100</v>
      </c>
      <c r="I11" s="525"/>
      <c r="J11" s="253">
        <f>SUMIF(77:77,I11,78:78)-SUMIF(77:77,C11,78:78)+100</f>
        <v>100</v>
      </c>
      <c r="K11" s="523"/>
      <c r="L11" s="2133"/>
      <c r="M11" s="2130"/>
      <c r="N11" s="2130"/>
      <c r="O11" s="2135"/>
      <c r="P11" s="3369" t="s">
        <v>535</v>
      </c>
      <c r="Q11" s="1149" t="str">
        <f t="shared" ref="Q11:Q17" si="6">B11</f>
        <v>用途</v>
      </c>
      <c r="R11" s="1566" t="s">
        <v>8</v>
      </c>
      <c r="S11" s="1567">
        <f t="shared" si="0"/>
        <v>100</v>
      </c>
      <c r="T11" s="1566" t="s">
        <v>8</v>
      </c>
      <c r="U11" s="1567">
        <f t="shared" si="1"/>
        <v>100</v>
      </c>
      <c r="V11" s="1566" t="s">
        <v>8</v>
      </c>
      <c r="W11" s="1567">
        <f t="shared" si="2"/>
        <v>100</v>
      </c>
      <c r="X11" s="1568"/>
      <c r="Y11" s="3315" t="s">
        <v>536</v>
      </c>
      <c r="Z11" s="1148" t="str">
        <f t="shared" ref="Z11:Z17" si="7">Q11</f>
        <v>用途</v>
      </c>
      <c r="AA11" s="1569">
        <f t="shared" si="3"/>
        <v>1</v>
      </c>
      <c r="AB11" s="1569">
        <f t="shared" si="4"/>
        <v>1</v>
      </c>
      <c r="AC11" s="1569">
        <f t="shared" si="5"/>
        <v>1</v>
      </c>
    </row>
    <row r="12" spans="1:30" s="1336" customFormat="1" ht="27">
      <c r="A12" s="2891"/>
      <c r="B12" s="2896" t="s">
        <v>2757</v>
      </c>
      <c r="C12" s="908"/>
      <c r="D12" s="254">
        <v>100</v>
      </c>
      <c r="E12" s="528"/>
      <c r="F12" s="254">
        <f>ROUND(100/'数据-取费表'!G16,0)</f>
        <v>120</v>
      </c>
      <c r="G12" s="529"/>
      <c r="H12" s="254">
        <f>ROUND(100/'数据-取费表'!G16,0)</f>
        <v>120</v>
      </c>
      <c r="I12" s="529"/>
      <c r="J12" s="254">
        <f>ROUND(100/'数据-取费表'!G16,0)</f>
        <v>120</v>
      </c>
      <c r="K12" s="530"/>
      <c r="L12" s="2136"/>
      <c r="M12" s="2130"/>
      <c r="N12" s="2130"/>
      <c r="O12" s="2137"/>
      <c r="P12" s="3369"/>
      <c r="Q12" s="1149" t="str">
        <f t="shared" si="6"/>
        <v>土地使用年限（年）</v>
      </c>
      <c r="R12" s="1566" t="s">
        <v>8</v>
      </c>
      <c r="S12" s="1567">
        <f t="shared" si="0"/>
        <v>120</v>
      </c>
      <c r="T12" s="1566" t="s">
        <v>8</v>
      </c>
      <c r="U12" s="1567">
        <f t="shared" si="1"/>
        <v>120</v>
      </c>
      <c r="V12" s="1566" t="s">
        <v>8</v>
      </c>
      <c r="W12" s="1567">
        <f t="shared" si="2"/>
        <v>120</v>
      </c>
      <c r="X12" s="1568"/>
      <c r="Y12" s="3315"/>
      <c r="Z12" s="1148" t="str">
        <f t="shared" si="7"/>
        <v>土地使用年限（年）</v>
      </c>
      <c r="AA12" s="1569">
        <f t="shared" si="3"/>
        <v>0.83333333333333337</v>
      </c>
      <c r="AB12" s="1569">
        <f t="shared" si="4"/>
        <v>0.83333333333333337</v>
      </c>
      <c r="AC12" s="1569">
        <f t="shared" si="5"/>
        <v>0.83333333333333337</v>
      </c>
    </row>
    <row r="13" spans="1:30" ht="21" thickBot="1">
      <c r="A13" s="2892"/>
      <c r="B13" s="2896" t="s">
        <v>2758</v>
      </c>
      <c r="C13" s="533">
        <f>'数据-汇总表'!I6</f>
        <v>2.5299999999999998</v>
      </c>
      <c r="D13" s="254">
        <v>100</v>
      </c>
      <c r="E13" s="532">
        <v>2.5</v>
      </c>
      <c r="F13" s="254">
        <f>LOOKUP(E13,82:82,83:83)-LOOKUP(C13,82:82,83:83)+100</f>
        <v>100</v>
      </c>
      <c r="G13" s="533">
        <v>2.5</v>
      </c>
      <c r="H13" s="254">
        <f>LOOKUP(G13,82:82,83:83)-LOOKUP(C13,82:82,83:83)+100</f>
        <v>100</v>
      </c>
      <c r="I13" s="532">
        <v>2.5</v>
      </c>
      <c r="J13" s="254">
        <f>LOOKUP(I13,82:82,83:83)-LOOKUP(C13,82:82,83:83)+100</f>
        <v>100</v>
      </c>
      <c r="K13" s="534">
        <v>3</v>
      </c>
      <c r="L13" s="2138"/>
      <c r="M13" s="2130"/>
      <c r="N13" s="2130"/>
      <c r="O13" s="2139"/>
      <c r="P13" s="3369"/>
      <c r="Q13" s="1149" t="str">
        <f t="shared" si="6"/>
        <v>容积率</v>
      </c>
      <c r="R13" s="1566" t="s">
        <v>8</v>
      </c>
      <c r="S13" s="1567">
        <f t="shared" si="0"/>
        <v>100</v>
      </c>
      <c r="T13" s="1566" t="s">
        <v>8</v>
      </c>
      <c r="U13" s="1567">
        <f t="shared" si="1"/>
        <v>100</v>
      </c>
      <c r="V13" s="1566" t="s">
        <v>8</v>
      </c>
      <c r="W13" s="1567">
        <f t="shared" si="2"/>
        <v>100</v>
      </c>
      <c r="X13" s="1568"/>
      <c r="Y13" s="3315"/>
      <c r="Z13" s="1148" t="str">
        <f t="shared" si="7"/>
        <v>容积率</v>
      </c>
      <c r="AA13" s="1569">
        <f t="shared" si="3"/>
        <v>1</v>
      </c>
      <c r="AB13" s="1569">
        <f t="shared" si="4"/>
        <v>1</v>
      </c>
      <c r="AC13" s="1569">
        <f t="shared" si="5"/>
        <v>1</v>
      </c>
    </row>
    <row r="14" spans="1:30" s="1218" customFormat="1" ht="20.25" hidden="1">
      <c r="A14" s="2889"/>
      <c r="B14" s="2898" t="s">
        <v>2759</v>
      </c>
      <c r="C14" s="2885"/>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69"/>
      <c r="Q14" s="1149" t="str">
        <f t="shared" si="6"/>
        <v>配建</v>
      </c>
      <c r="R14" s="1566" t="s">
        <v>8</v>
      </c>
      <c r="S14" s="1567">
        <f t="shared" si="0"/>
        <v>100</v>
      </c>
      <c r="T14" s="1566" t="s">
        <v>8</v>
      </c>
      <c r="U14" s="1567">
        <f t="shared" si="1"/>
        <v>100</v>
      </c>
      <c r="V14" s="1566" t="s">
        <v>8</v>
      </c>
      <c r="W14" s="1567">
        <f t="shared" si="2"/>
        <v>100</v>
      </c>
      <c r="X14" s="1568"/>
      <c r="Y14" s="3315"/>
      <c r="Z14" s="1148" t="str">
        <f t="shared" si="7"/>
        <v>配建</v>
      </c>
      <c r="AA14" s="1569">
        <f>D14/F14</f>
        <v>1</v>
      </c>
      <c r="AB14" s="1569">
        <f>D14/H14</f>
        <v>1</v>
      </c>
      <c r="AC14" s="1569">
        <f>D14/J14</f>
        <v>1</v>
      </c>
    </row>
    <row r="15" spans="1:30" ht="20.25" hidden="1">
      <c r="A15" s="2893"/>
      <c r="B15" s="2899">
        <v>111</v>
      </c>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69"/>
      <c r="Q15" s="1149">
        <f t="shared" si="6"/>
        <v>111</v>
      </c>
      <c r="R15" s="1566" t="s">
        <v>8</v>
      </c>
      <c r="S15" s="1567">
        <f t="shared" si="0"/>
        <v>100</v>
      </c>
      <c r="T15" s="1566" t="s">
        <v>8</v>
      </c>
      <c r="U15" s="1567">
        <f t="shared" si="1"/>
        <v>100</v>
      </c>
      <c r="V15" s="1566" t="s">
        <v>8</v>
      </c>
      <c r="W15" s="1567">
        <f t="shared" si="2"/>
        <v>100</v>
      </c>
      <c r="X15" s="1568"/>
      <c r="Y15" s="3315"/>
      <c r="Z15" s="1148">
        <f t="shared" si="7"/>
        <v>111</v>
      </c>
      <c r="AA15" s="1569">
        <f>D15/F15</f>
        <v>1</v>
      </c>
      <c r="AB15" s="1569">
        <f>D15/H15</f>
        <v>1</v>
      </c>
      <c r="AC15" s="1569">
        <f>D15/J15</f>
        <v>1</v>
      </c>
    </row>
    <row r="16" spans="1:30" ht="21" hidden="1" thickBot="1">
      <c r="A16" s="2894"/>
      <c r="B16" s="2900">
        <v>111</v>
      </c>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69"/>
      <c r="Q16" s="1149">
        <f t="shared" si="6"/>
        <v>111</v>
      </c>
      <c r="R16" s="1566" t="s">
        <v>8</v>
      </c>
      <c r="S16" s="1567">
        <f t="shared" si="0"/>
        <v>100</v>
      </c>
      <c r="T16" s="1566" t="s">
        <v>8</v>
      </c>
      <c r="U16" s="1567">
        <f t="shared" si="1"/>
        <v>100</v>
      </c>
      <c r="V16" s="1566" t="s">
        <v>8</v>
      </c>
      <c r="W16" s="1567">
        <f t="shared" si="2"/>
        <v>100</v>
      </c>
      <c r="X16" s="1568"/>
      <c r="Y16" s="3315"/>
      <c r="Z16" s="1148">
        <f t="shared" si="7"/>
        <v>111</v>
      </c>
      <c r="AA16" s="1569">
        <f>D16/F16</f>
        <v>1</v>
      </c>
      <c r="AB16" s="1569">
        <f>D16/H16</f>
        <v>1</v>
      </c>
      <c r="AC16" s="1569">
        <f>D16/J16</f>
        <v>1</v>
      </c>
    </row>
    <row r="17" spans="1:29" ht="99.75">
      <c r="A17" s="2886"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0"/>
      <c r="M17" s="2130"/>
      <c r="N17" s="2130"/>
      <c r="O17" s="2139"/>
      <c r="P17" s="3403" t="s">
        <v>540</v>
      </c>
      <c r="Q17" s="1570" t="str">
        <f t="shared" si="6"/>
        <v>居住社区成熟度</v>
      </c>
      <c r="R17" s="1571" t="s">
        <v>8</v>
      </c>
      <c r="S17" s="1572">
        <f t="shared" si="0"/>
        <v>103</v>
      </c>
      <c r="T17" s="1571" t="s">
        <v>8</v>
      </c>
      <c r="U17" s="1572">
        <f t="shared" si="1"/>
        <v>103</v>
      </c>
      <c r="V17" s="1571" t="s">
        <v>8</v>
      </c>
      <c r="W17" s="1572">
        <f t="shared" si="2"/>
        <v>103</v>
      </c>
      <c r="X17" s="1565"/>
      <c r="Y17" s="3403" t="s">
        <v>540</v>
      </c>
      <c r="Z17" s="1573" t="str">
        <f t="shared" si="7"/>
        <v>居住社区成熟度</v>
      </c>
      <c r="AA17" s="1574">
        <f t="shared" si="3"/>
        <v>0.970873786407767</v>
      </c>
      <c r="AB17" s="1574">
        <f t="shared" si="4"/>
        <v>0.970873786407767</v>
      </c>
      <c r="AC17" s="1574">
        <f t="shared" si="5"/>
        <v>0.970873786407767</v>
      </c>
    </row>
    <row r="18" spans="1:29" ht="20.25">
      <c r="A18" s="531"/>
      <c r="B18" s="552"/>
      <c r="C18" s="553" t="s">
        <v>3156</v>
      </c>
      <c r="D18" s="556"/>
      <c r="E18" s="557" t="s">
        <v>3157</v>
      </c>
      <c r="F18" s="554"/>
      <c r="G18" s="557" t="s">
        <v>3157</v>
      </c>
      <c r="H18" s="558"/>
      <c r="I18" s="557" t="s">
        <v>3157</v>
      </c>
      <c r="J18" s="554"/>
      <c r="K18" s="530"/>
      <c r="L18" s="2140"/>
      <c r="M18" s="2130"/>
      <c r="N18" s="2130"/>
      <c r="O18" s="2139"/>
      <c r="P18" s="3404"/>
      <c r="Q18" s="1570"/>
      <c r="R18" s="1571"/>
      <c r="S18" s="1572"/>
      <c r="T18" s="1571"/>
      <c r="U18" s="1572"/>
      <c r="V18" s="1571"/>
      <c r="W18" s="1572"/>
      <c r="X18" s="1565"/>
      <c r="Y18" s="3404"/>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404"/>
      <c r="Q19" s="1570" t="str">
        <f>B19</f>
        <v>商业繁华度</v>
      </c>
      <c r="R19" s="1571" t="s">
        <v>8</v>
      </c>
      <c r="S19" s="1572">
        <f>F19</f>
        <v>100</v>
      </c>
      <c r="T19" s="1571" t="s">
        <v>8</v>
      </c>
      <c r="U19" s="1572">
        <f>H19</f>
        <v>100</v>
      </c>
      <c r="V19" s="1571" t="s">
        <v>8</v>
      </c>
      <c r="W19" s="1572">
        <f>J19</f>
        <v>100</v>
      </c>
      <c r="X19" s="1565"/>
      <c r="Y19" s="3404"/>
      <c r="Z19" s="1573" t="str">
        <f>Q19</f>
        <v>商业繁华度</v>
      </c>
      <c r="AA19" s="1574">
        <f t="shared" si="3"/>
        <v>1</v>
      </c>
      <c r="AB19" s="1574">
        <f t="shared" si="4"/>
        <v>1</v>
      </c>
      <c r="AC19" s="1574">
        <f t="shared" si="5"/>
        <v>1</v>
      </c>
    </row>
    <row r="20" spans="1:29" ht="20.25">
      <c r="A20" s="531"/>
      <c r="B20" s="565"/>
      <c r="C20" s="566" t="s">
        <v>3156</v>
      </c>
      <c r="D20" s="562"/>
      <c r="E20" s="566" t="s">
        <v>3156</v>
      </c>
      <c r="F20" s="558"/>
      <c r="G20" s="566" t="s">
        <v>3156</v>
      </c>
      <c r="H20" s="554"/>
      <c r="I20" s="566" t="s">
        <v>3156</v>
      </c>
      <c r="J20" s="554"/>
      <c r="K20" s="530"/>
      <c r="L20" s="2140"/>
      <c r="M20" s="2130"/>
      <c r="N20" s="2130"/>
      <c r="O20" s="2139"/>
      <c r="P20" s="3404"/>
      <c r="Q20" s="1570"/>
      <c r="R20" s="1571"/>
      <c r="S20" s="1572"/>
      <c r="T20" s="1571"/>
      <c r="U20" s="1572"/>
      <c r="V20" s="1571"/>
      <c r="W20" s="1572"/>
      <c r="X20" s="1565"/>
      <c r="Y20" s="3404"/>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4"/>
      <c r="Q21" s="1570" t="str">
        <f>B21</f>
        <v>办公集聚程度</v>
      </c>
      <c r="R21" s="1571" t="s">
        <v>8</v>
      </c>
      <c r="S21" s="1572">
        <f>F21</f>
        <v>100</v>
      </c>
      <c r="T21" s="1571" t="s">
        <v>8</v>
      </c>
      <c r="U21" s="1572">
        <f>H21</f>
        <v>100</v>
      </c>
      <c r="V21" s="1571" t="s">
        <v>8</v>
      </c>
      <c r="W21" s="1572">
        <f>J21</f>
        <v>100</v>
      </c>
      <c r="X21" s="1565"/>
      <c r="Y21" s="3404"/>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0"/>
      <c r="M22" s="2130"/>
      <c r="N22" s="2130"/>
      <c r="O22" s="2139"/>
      <c r="P22" s="3404"/>
      <c r="Q22" s="1570"/>
      <c r="R22" s="1571"/>
      <c r="S22" s="1572"/>
      <c r="T22" s="1571"/>
      <c r="U22" s="1572"/>
      <c r="V22" s="1571"/>
      <c r="W22" s="1572"/>
      <c r="X22" s="1565"/>
      <c r="Y22" s="3404"/>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04"/>
      <c r="Q23" s="1570" t="str">
        <f>B23</f>
        <v>交通便捷度</v>
      </c>
      <c r="R23" s="1571" t="s">
        <v>8</v>
      </c>
      <c r="S23" s="1572">
        <f>F23</f>
        <v>100</v>
      </c>
      <c r="T23" s="1571" t="s">
        <v>8</v>
      </c>
      <c r="U23" s="1572">
        <f>H23</f>
        <v>100</v>
      </c>
      <c r="V23" s="1571" t="s">
        <v>8</v>
      </c>
      <c r="W23" s="1572">
        <f>J23</f>
        <v>100</v>
      </c>
      <c r="X23" s="1565"/>
      <c r="Y23" s="3404"/>
      <c r="Z23" s="1573" t="str">
        <f>Q23</f>
        <v>交通便捷度</v>
      </c>
      <c r="AA23" s="1574">
        <f t="shared" si="3"/>
        <v>1</v>
      </c>
      <c r="AB23" s="1574">
        <f t="shared" si="4"/>
        <v>1</v>
      </c>
      <c r="AC23" s="1574">
        <f t="shared" si="5"/>
        <v>1</v>
      </c>
    </row>
    <row r="24" spans="1:29" ht="20.25">
      <c r="A24" s="531"/>
      <c r="B24" s="577"/>
      <c r="C24" s="553" t="s">
        <v>3156</v>
      </c>
      <c r="D24" s="556"/>
      <c r="E24" s="553" t="s">
        <v>3156</v>
      </c>
      <c r="F24" s="554"/>
      <c r="G24" s="553" t="s">
        <v>3156</v>
      </c>
      <c r="H24" s="554"/>
      <c r="I24" s="553" t="s">
        <v>3156</v>
      </c>
      <c r="J24" s="554"/>
      <c r="K24" s="530"/>
      <c r="L24" s="2140"/>
      <c r="M24" s="2130"/>
      <c r="N24" s="2130"/>
      <c r="O24" s="2139"/>
      <c r="P24" s="3404"/>
      <c r="Q24" s="1570"/>
      <c r="R24" s="1571"/>
      <c r="S24" s="1572"/>
      <c r="T24" s="1571"/>
      <c r="U24" s="1572"/>
      <c r="V24" s="1571"/>
      <c r="W24" s="1572"/>
      <c r="X24" s="1565"/>
      <c r="Y24" s="3404"/>
      <c r="Z24" s="1573"/>
      <c r="AA24" s="1574">
        <v>1</v>
      </c>
      <c r="AB24" s="1574">
        <v>1</v>
      </c>
      <c r="AC24" s="1574">
        <v>1</v>
      </c>
    </row>
    <row r="25" spans="1:29" ht="27">
      <c r="A25" s="514"/>
      <c r="B25" s="258" t="s">
        <v>544</v>
      </c>
      <c r="C25" s="572">
        <f>估价对象房地状况!C19</f>
        <v>0</v>
      </c>
      <c r="D25" s="562">
        <v>100</v>
      </c>
      <c r="E25" s="563"/>
      <c r="F25" s="564">
        <f>SUMIF(98:98,E26,99:99)-SUMIF(98:98,C26,99:99)+100</f>
        <v>103</v>
      </c>
      <c r="G25" s="561"/>
      <c r="H25" s="558">
        <f>SUMIF(98:98,G26,99:99)-SUMIF(98:98,C26,99:99)+100</f>
        <v>103</v>
      </c>
      <c r="I25" s="563"/>
      <c r="J25" s="558">
        <f>SUMIF(98:98,I26,99:99)-SUMIF(98:98,C26,99:99)+100</f>
        <v>103</v>
      </c>
      <c r="K25" s="534">
        <v>3</v>
      </c>
      <c r="L25" s="2140"/>
      <c r="M25" s="2130"/>
      <c r="N25" s="2130"/>
      <c r="O25" s="2139"/>
      <c r="P25" s="3404"/>
      <c r="Q25" s="1570" t="str">
        <f t="shared" ref="Q25:Q39" si="8">B25</f>
        <v>区域土地利用方向</v>
      </c>
      <c r="R25" s="1571" t="s">
        <v>8</v>
      </c>
      <c r="S25" s="1572">
        <f>F25</f>
        <v>103</v>
      </c>
      <c r="T25" s="1571" t="s">
        <v>8</v>
      </c>
      <c r="U25" s="1572">
        <f>H25</f>
        <v>103</v>
      </c>
      <c r="V25" s="1571" t="s">
        <v>8</v>
      </c>
      <c r="W25" s="1572">
        <f>J25</f>
        <v>103</v>
      </c>
      <c r="X25" s="1565"/>
      <c r="Y25" s="3404"/>
      <c r="Z25" s="1573" t="str">
        <f>Q25</f>
        <v>区域土地利用方向</v>
      </c>
      <c r="AA25" s="1574">
        <f t="shared" si="3"/>
        <v>0.970873786407767</v>
      </c>
      <c r="AB25" s="1574">
        <f t="shared" si="4"/>
        <v>0.970873786407767</v>
      </c>
      <c r="AC25" s="1574">
        <f t="shared" si="5"/>
        <v>0.970873786407767</v>
      </c>
    </row>
    <row r="26" spans="1:29" ht="20.25">
      <c r="A26" s="514"/>
      <c r="B26" s="1005"/>
      <c r="C26" s="553" t="s">
        <v>3156</v>
      </c>
      <c r="D26" s="556"/>
      <c r="E26" s="557" t="s">
        <v>3157</v>
      </c>
      <c r="F26" s="554"/>
      <c r="G26" s="557" t="s">
        <v>3157</v>
      </c>
      <c r="H26" s="554"/>
      <c r="I26" s="557" t="s">
        <v>3157</v>
      </c>
      <c r="J26" s="554"/>
      <c r="K26" s="530"/>
      <c r="L26" s="2140"/>
      <c r="M26" s="2130"/>
      <c r="N26" s="2130"/>
      <c r="O26" s="2139"/>
      <c r="P26" s="3404"/>
      <c r="Q26" s="1570"/>
      <c r="R26" s="1571"/>
      <c r="S26" s="1572"/>
      <c r="T26" s="1571"/>
      <c r="U26" s="1572"/>
      <c r="V26" s="1571"/>
      <c r="W26" s="1572"/>
      <c r="X26" s="1565"/>
      <c r="Y26" s="3404"/>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40"/>
      <c r="M27" s="2130"/>
      <c r="N27" s="2130"/>
      <c r="O27" s="2139"/>
      <c r="P27" s="3404"/>
      <c r="Q27" s="1570" t="str">
        <f t="shared" si="8"/>
        <v>自然及人文环境状况</v>
      </c>
      <c r="R27" s="1571" t="s">
        <v>8</v>
      </c>
      <c r="S27" s="1572">
        <f>F27</f>
        <v>103</v>
      </c>
      <c r="T27" s="1571" t="s">
        <v>8</v>
      </c>
      <c r="U27" s="1572">
        <f>H27</f>
        <v>103</v>
      </c>
      <c r="V27" s="1571" t="s">
        <v>8</v>
      </c>
      <c r="W27" s="1572">
        <f>J27</f>
        <v>103</v>
      </c>
      <c r="X27" s="1565"/>
      <c r="Y27" s="3404"/>
      <c r="Z27" s="1573" t="str">
        <f>Q27</f>
        <v>自然及人文环境状况</v>
      </c>
      <c r="AA27" s="1574">
        <f t="shared" si="3"/>
        <v>0.970873786407767</v>
      </c>
      <c r="AB27" s="1574">
        <f t="shared" si="4"/>
        <v>0.970873786407767</v>
      </c>
      <c r="AC27" s="1574">
        <f t="shared" si="5"/>
        <v>0.970873786407767</v>
      </c>
    </row>
    <row r="28" spans="1:29" ht="20.25">
      <c r="A28" s="514"/>
      <c r="B28" s="565"/>
      <c r="C28" s="553" t="s">
        <v>3156</v>
      </c>
      <c r="D28" s="556"/>
      <c r="E28" s="575" t="s">
        <v>3157</v>
      </c>
      <c r="F28" s="554"/>
      <c r="G28" s="575" t="s">
        <v>3157</v>
      </c>
      <c r="H28" s="554"/>
      <c r="I28" s="575" t="s">
        <v>3157</v>
      </c>
      <c r="J28" s="554"/>
      <c r="K28" s="530"/>
      <c r="L28" s="2140"/>
      <c r="M28" s="2130"/>
      <c r="N28" s="2130"/>
      <c r="O28" s="2139"/>
      <c r="P28" s="3404"/>
      <c r="Q28" s="1570"/>
      <c r="R28" s="1571"/>
      <c r="S28" s="1572"/>
      <c r="T28" s="1571"/>
      <c r="U28" s="1572"/>
      <c r="V28" s="1571"/>
      <c r="W28" s="1572"/>
      <c r="X28" s="1565"/>
      <c r="Y28" s="3404"/>
      <c r="Z28" s="1573"/>
      <c r="AA28" s="1574">
        <v>1</v>
      </c>
      <c r="AB28" s="1574">
        <v>1</v>
      </c>
      <c r="AC28" s="1574">
        <v>1</v>
      </c>
    </row>
    <row r="29" spans="1:29" s="1218" customFormat="1" ht="42.75">
      <c r="A29" s="576"/>
      <c r="B29" s="2568"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404"/>
      <c r="Q29" s="1149" t="str">
        <f t="shared" si="8"/>
        <v>公共配套设施</v>
      </c>
      <c r="R29" s="1566" t="s">
        <v>8</v>
      </c>
      <c r="S29" s="1567">
        <f>F29</f>
        <v>100</v>
      </c>
      <c r="T29" s="1566" t="s">
        <v>8</v>
      </c>
      <c r="U29" s="1567">
        <f>H29</f>
        <v>100</v>
      </c>
      <c r="V29" s="1566" t="s">
        <v>8</v>
      </c>
      <c r="W29" s="1567">
        <f>J29</f>
        <v>100</v>
      </c>
      <c r="X29" s="1568"/>
      <c r="Y29" s="3404"/>
      <c r="Z29" s="1148" t="str">
        <f>Q29</f>
        <v>公共配套设施</v>
      </c>
      <c r="AA29" s="1574">
        <f>D29/F29</f>
        <v>1</v>
      </c>
      <c r="AB29" s="1574">
        <f>D29/H29</f>
        <v>1</v>
      </c>
      <c r="AC29" s="1574">
        <f>D29/J29</f>
        <v>1</v>
      </c>
    </row>
    <row r="30" spans="1:29" s="1218" customFormat="1" ht="20.25">
      <c r="A30" s="576"/>
      <c r="B30" s="565"/>
      <c r="C30" s="578" t="s">
        <v>3156</v>
      </c>
      <c r="D30" s="556"/>
      <c r="E30" s="578" t="s">
        <v>3156</v>
      </c>
      <c r="F30" s="554"/>
      <c r="G30" s="578" t="s">
        <v>3156</v>
      </c>
      <c r="H30" s="554"/>
      <c r="I30" s="578" t="s">
        <v>3156</v>
      </c>
      <c r="J30" s="554"/>
      <c r="K30" s="530"/>
      <c r="L30" s="2133"/>
      <c r="M30" s="2130"/>
      <c r="N30" s="2130"/>
      <c r="O30" s="2135"/>
      <c r="P30" s="3404"/>
      <c r="Q30" s="1149"/>
      <c r="R30" s="1566"/>
      <c r="S30" s="1567"/>
      <c r="T30" s="1566"/>
      <c r="U30" s="1567"/>
      <c r="V30" s="1566"/>
      <c r="W30" s="1567"/>
      <c r="X30" s="1568"/>
      <c r="Y30" s="3404"/>
      <c r="Z30" s="1148"/>
      <c r="AA30" s="1574">
        <v>1</v>
      </c>
      <c r="AB30" s="1574">
        <v>1</v>
      </c>
      <c r="AC30" s="1574">
        <v>1</v>
      </c>
    </row>
    <row r="31" spans="1:29" s="1218" customFormat="1" ht="28.5">
      <c r="A31" s="576"/>
      <c r="B31" s="2568"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3"/>
      <c r="M31" s="2130"/>
      <c r="N31" s="2130"/>
      <c r="O31" s="2135"/>
      <c r="P31" s="3404"/>
      <c r="Q31" s="2555" t="str">
        <f t="shared" ref="Q31" si="9">B31</f>
        <v>基础设施水平</v>
      </c>
      <c r="R31" s="1566" t="s">
        <v>8</v>
      </c>
      <c r="S31" s="1567">
        <f>F31</f>
        <v>100</v>
      </c>
      <c r="T31" s="1566" t="s">
        <v>8</v>
      </c>
      <c r="U31" s="1567">
        <f>H31</f>
        <v>100</v>
      </c>
      <c r="V31" s="1566" t="s">
        <v>8</v>
      </c>
      <c r="W31" s="1567">
        <f>J31</f>
        <v>100</v>
      </c>
      <c r="X31" s="1568"/>
      <c r="Y31" s="3404"/>
      <c r="Z31" s="2552" t="str">
        <f>Q31</f>
        <v>基础设施水平</v>
      </c>
      <c r="AA31" s="1574">
        <f>D31/F31</f>
        <v>1</v>
      </c>
      <c r="AB31" s="1574">
        <f>D31/H31</f>
        <v>1</v>
      </c>
      <c r="AC31" s="1574">
        <f>D31/J31</f>
        <v>1</v>
      </c>
    </row>
    <row r="32" spans="1:29" s="1218" customFormat="1" ht="21" thickBot="1">
      <c r="A32" s="576"/>
      <c r="B32" s="565"/>
      <c r="C32" s="578" t="s">
        <v>3160</v>
      </c>
      <c r="D32" s="556"/>
      <c r="E32" s="578" t="s">
        <v>3160</v>
      </c>
      <c r="F32" s="554"/>
      <c r="G32" s="578" t="s">
        <v>3160</v>
      </c>
      <c r="H32" s="554"/>
      <c r="I32" s="578" t="s">
        <v>3160</v>
      </c>
      <c r="J32" s="554"/>
      <c r="K32" s="530"/>
      <c r="L32" s="2133"/>
      <c r="M32" s="2130"/>
      <c r="N32" s="2130"/>
      <c r="O32" s="2135"/>
      <c r="P32" s="3404"/>
      <c r="Q32" s="2555"/>
      <c r="R32" s="1566"/>
      <c r="S32" s="1567"/>
      <c r="T32" s="1566"/>
      <c r="U32" s="1567"/>
      <c r="V32" s="1566"/>
      <c r="W32" s="1567"/>
      <c r="X32" s="1568"/>
      <c r="Y32" s="3404"/>
      <c r="Z32" s="2552"/>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04"/>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4"/>
      <c r="Z33" s="1573" t="str">
        <f t="shared" ref="Z33:Z47" si="13">Q33</f>
        <v>临街状况</v>
      </c>
      <c r="AA33" s="1574">
        <f t="shared" si="3"/>
        <v>1</v>
      </c>
      <c r="AB33" s="1574">
        <f t="shared" si="4"/>
        <v>1</v>
      </c>
      <c r="AC33" s="1574">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0"/>
      <c r="M34" s="2130"/>
      <c r="N34" s="2130"/>
      <c r="O34" s="2139"/>
      <c r="P34" s="3404"/>
      <c r="Q34" s="1570" t="str">
        <f t="shared" si="8"/>
        <v>毗邻道路的类型与等级</v>
      </c>
      <c r="R34" s="1571" t="s">
        <v>8</v>
      </c>
      <c r="S34" s="1572">
        <f t="shared" si="10"/>
        <v>100</v>
      </c>
      <c r="T34" s="1571" t="s">
        <v>8</v>
      </c>
      <c r="U34" s="1572">
        <f t="shared" si="11"/>
        <v>100</v>
      </c>
      <c r="V34" s="1571" t="s">
        <v>8</v>
      </c>
      <c r="W34" s="1572">
        <f t="shared" si="12"/>
        <v>100</v>
      </c>
      <c r="X34" s="1565"/>
      <c r="Y34" s="3404"/>
      <c r="Z34" s="1573" t="str">
        <f t="shared" si="13"/>
        <v>毗邻道路的类型与等级</v>
      </c>
      <c r="AA34" s="1574">
        <f t="shared" si="3"/>
        <v>1</v>
      </c>
      <c r="AB34" s="1574">
        <f t="shared" si="4"/>
        <v>1</v>
      </c>
      <c r="AC34" s="1574">
        <f t="shared" si="5"/>
        <v>1</v>
      </c>
    </row>
    <row r="35" spans="1:29" ht="20.25" hidden="1">
      <c r="A35" s="531"/>
      <c r="B35" s="565"/>
      <c r="C35" s="553"/>
      <c r="D35" s="556"/>
      <c r="E35" s="575"/>
      <c r="F35" s="554"/>
      <c r="G35" s="553"/>
      <c r="H35" s="554"/>
      <c r="I35" s="575"/>
      <c r="J35" s="554"/>
      <c r="K35" s="580"/>
      <c r="L35" s="2140"/>
      <c r="M35" s="2130"/>
      <c r="N35" s="2130"/>
      <c r="O35" s="2139"/>
      <c r="P35" s="3404"/>
      <c r="Q35" s="1570"/>
      <c r="R35" s="1571"/>
      <c r="S35" s="1572"/>
      <c r="T35" s="1571"/>
      <c r="U35" s="1572"/>
      <c r="V35" s="1571"/>
      <c r="W35" s="1572"/>
      <c r="X35" s="1565"/>
      <c r="Y35" s="3404"/>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4"/>
      <c r="Q36" s="1570" t="str">
        <f t="shared" si="8"/>
        <v>土地级别</v>
      </c>
      <c r="R36" s="1571" t="s">
        <v>8</v>
      </c>
      <c r="S36" s="1572">
        <f t="shared" si="10"/>
        <v>100</v>
      </c>
      <c r="T36" s="1571" t="s">
        <v>8</v>
      </c>
      <c r="U36" s="1572">
        <f t="shared" si="11"/>
        <v>100</v>
      </c>
      <c r="V36" s="1571" t="s">
        <v>8</v>
      </c>
      <c r="W36" s="1572">
        <f t="shared" si="12"/>
        <v>100</v>
      </c>
      <c r="X36" s="1565"/>
      <c r="Y36" s="3404"/>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4"/>
      <c r="Q37" s="1570">
        <f t="shared" si="8"/>
        <v>111</v>
      </c>
      <c r="R37" s="1571" t="s">
        <v>8</v>
      </c>
      <c r="S37" s="1572">
        <f t="shared" si="10"/>
        <v>100</v>
      </c>
      <c r="T37" s="1571" t="s">
        <v>8</v>
      </c>
      <c r="U37" s="1572">
        <f t="shared" si="11"/>
        <v>100</v>
      </c>
      <c r="V37" s="1571" t="s">
        <v>8</v>
      </c>
      <c r="W37" s="1572">
        <f t="shared" si="12"/>
        <v>100</v>
      </c>
      <c r="X37" s="1565"/>
      <c r="Y37" s="3404"/>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5" t="s">
        <v>550</v>
      </c>
      <c r="Q38" s="1570">
        <f t="shared" si="8"/>
        <v>111</v>
      </c>
      <c r="R38" s="1571" t="s">
        <v>8</v>
      </c>
      <c r="S38" s="1572">
        <f t="shared" si="10"/>
        <v>100</v>
      </c>
      <c r="T38" s="1571" t="s">
        <v>8</v>
      </c>
      <c r="U38" s="1572">
        <f t="shared" si="11"/>
        <v>100</v>
      </c>
      <c r="V38" s="1571" t="s">
        <v>8</v>
      </c>
      <c r="W38" s="1572">
        <f t="shared" si="12"/>
        <v>100</v>
      </c>
      <c r="X38" s="1565"/>
      <c r="Y38" s="3406" t="s">
        <v>550</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6"/>
      <c r="Q39" s="1570">
        <f t="shared" si="8"/>
        <v>111</v>
      </c>
      <c r="R39" s="1575" t="s">
        <v>8</v>
      </c>
      <c r="S39" s="1576">
        <f t="shared" si="10"/>
        <v>100</v>
      </c>
      <c r="T39" s="1575" t="s">
        <v>8</v>
      </c>
      <c r="U39" s="1576">
        <f t="shared" si="11"/>
        <v>100</v>
      </c>
      <c r="V39" s="1575" t="s">
        <v>8</v>
      </c>
      <c r="W39" s="1576">
        <f t="shared" si="12"/>
        <v>100</v>
      </c>
      <c r="X39" s="1577"/>
      <c r="Y39" s="3406"/>
      <c r="Z39" s="1578">
        <f t="shared" si="13"/>
        <v>111</v>
      </c>
      <c r="AA39" s="1574">
        <f t="shared" si="3"/>
        <v>1</v>
      </c>
      <c r="AB39" s="1574">
        <f t="shared" si="4"/>
        <v>1</v>
      </c>
      <c r="AC39" s="1574">
        <f t="shared" si="5"/>
        <v>1</v>
      </c>
    </row>
    <row r="40" spans="1:29" ht="20.25">
      <c r="A40" s="2883" t="s">
        <v>2755</v>
      </c>
      <c r="B40" s="594" t="s">
        <v>552</v>
      </c>
      <c r="C40" s="595">
        <f>'数据-基础表'!A3</f>
        <v>88890.36</v>
      </c>
      <c r="D40" s="596">
        <v>100</v>
      </c>
      <c r="E40" s="595">
        <f>土地案例!I6</f>
        <v>68304.850000000006</v>
      </c>
      <c r="F40" s="596">
        <f>LOOKUP(E40,119:119,120:120)-LOOKUP(C40,119:119,120:120)+100</f>
        <v>100</v>
      </c>
      <c r="G40" s="595">
        <f>土地案例!I7</f>
        <v>28425.71</v>
      </c>
      <c r="H40" s="596">
        <f>LOOKUP(G40,119:119,120:120)-LOOKUP(C40,119:119,120:120)+100</f>
        <v>100</v>
      </c>
      <c r="I40" s="597">
        <f>土地案例!I8</f>
        <v>58410.58</v>
      </c>
      <c r="J40" s="596">
        <f>LOOKUP(I40,119:119,120:120)-LOOKUP(C40,119:119,120:120)+100</f>
        <v>100</v>
      </c>
      <c r="K40" s="580"/>
      <c r="L40" s="2140"/>
      <c r="M40" s="2130"/>
      <c r="N40" s="2130"/>
      <c r="O40" s="2139"/>
      <c r="P40" s="3406"/>
      <c r="Q40" s="1570" t="str">
        <f>B40</f>
        <v>宗地面积</v>
      </c>
      <c r="R40" s="1571" t="s">
        <v>8</v>
      </c>
      <c r="S40" s="1572">
        <f t="shared" si="10"/>
        <v>100</v>
      </c>
      <c r="T40" s="1571" t="s">
        <v>8</v>
      </c>
      <c r="U40" s="1572">
        <f t="shared" si="11"/>
        <v>100</v>
      </c>
      <c r="V40" s="1571" t="s">
        <v>8</v>
      </c>
      <c r="W40" s="1572">
        <f t="shared" si="12"/>
        <v>100</v>
      </c>
      <c r="X40" s="1565"/>
      <c r="Y40" s="3406"/>
      <c r="Z40" s="1573" t="str">
        <f t="shared" si="13"/>
        <v>宗地面积</v>
      </c>
      <c r="AA40" s="1574">
        <f t="shared" si="3"/>
        <v>1</v>
      </c>
      <c r="AB40" s="1574">
        <f t="shared" si="4"/>
        <v>1</v>
      </c>
      <c r="AC40" s="1574">
        <f t="shared" si="5"/>
        <v>1</v>
      </c>
    </row>
    <row r="41" spans="1:29" ht="20.25">
      <c r="A41" s="593"/>
      <c r="B41" s="526" t="s">
        <v>553</v>
      </c>
      <c r="C41" s="598" t="s">
        <v>3161</v>
      </c>
      <c r="D41" s="539">
        <v>100</v>
      </c>
      <c r="E41" s="598" t="s">
        <v>3161</v>
      </c>
      <c r="F41" s="539">
        <f>SUMIF(121:121,E41,122:122)-SUMIF(121:121,C41,122:122)+100</f>
        <v>100</v>
      </c>
      <c r="G41" s="598" t="s">
        <v>3161</v>
      </c>
      <c r="H41" s="539">
        <f>SUMIF(121:121,G41,122:122)-SUMIF(121:121,C41,122:122)+100</f>
        <v>100</v>
      </c>
      <c r="I41" s="598" t="s">
        <v>3161</v>
      </c>
      <c r="J41" s="539">
        <f>SUMIF(121:121,I41,122:122)-SUMIF(121:121,C41,122:122)+100</f>
        <v>100</v>
      </c>
      <c r="K41" s="583">
        <v>2</v>
      </c>
      <c r="L41" s="2140"/>
      <c r="M41" s="2130"/>
      <c r="N41" s="2130"/>
      <c r="O41" s="2139"/>
      <c r="P41" s="3406"/>
      <c r="Q41" s="1570" t="str">
        <f t="shared" ref="Q41:Q47" si="14">B41</f>
        <v>宗地形状</v>
      </c>
      <c r="R41" s="1571" t="s">
        <v>8</v>
      </c>
      <c r="S41" s="1572">
        <f t="shared" si="10"/>
        <v>100</v>
      </c>
      <c r="T41" s="1571" t="s">
        <v>8</v>
      </c>
      <c r="U41" s="1572">
        <f t="shared" si="11"/>
        <v>100</v>
      </c>
      <c r="V41" s="1571" t="s">
        <v>8</v>
      </c>
      <c r="W41" s="1572">
        <f t="shared" si="12"/>
        <v>100</v>
      </c>
      <c r="X41" s="1565"/>
      <c r="Y41" s="3406"/>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06"/>
      <c r="Q42" s="1570" t="str">
        <f t="shared" si="14"/>
        <v>临街宽度及深度</v>
      </c>
      <c r="R42" s="1571" t="s">
        <v>8</v>
      </c>
      <c r="S42" s="1572">
        <f t="shared" si="10"/>
        <v>100</v>
      </c>
      <c r="T42" s="1571" t="s">
        <v>8</v>
      </c>
      <c r="U42" s="1572">
        <f t="shared" si="11"/>
        <v>100</v>
      </c>
      <c r="V42" s="1571" t="s">
        <v>8</v>
      </c>
      <c r="W42" s="1572">
        <f t="shared" si="12"/>
        <v>100</v>
      </c>
      <c r="X42" s="1565"/>
      <c r="Y42" s="3406"/>
      <c r="Z42" s="1573" t="str">
        <f t="shared" si="13"/>
        <v>临街宽度及深度</v>
      </c>
      <c r="AA42" s="1574">
        <f t="shared" si="3"/>
        <v>1</v>
      </c>
      <c r="AB42" s="1574">
        <f t="shared" si="4"/>
        <v>1</v>
      </c>
      <c r="AC42" s="1574">
        <f t="shared" si="5"/>
        <v>1</v>
      </c>
    </row>
    <row r="43" spans="1:29" s="1218" customFormat="1" ht="20.25">
      <c r="A43" s="599"/>
      <c r="B43" s="1893" t="s">
        <v>2424</v>
      </c>
      <c r="C43" s="600" t="s">
        <v>3160</v>
      </c>
      <c r="D43" s="254">
        <v>100</v>
      </c>
      <c r="E43" s="600" t="s">
        <v>3160</v>
      </c>
      <c r="F43" s="539">
        <f>SUMIF(125:125,E43,126:126)-SUMIF(125:125,C43,126:126)+100</f>
        <v>100</v>
      </c>
      <c r="G43" s="600" t="s">
        <v>3160</v>
      </c>
      <c r="H43" s="539">
        <f>SUMIF(125:125,G43,126:126)-SUMIF(125:125,C43,126:126)+100</f>
        <v>100</v>
      </c>
      <c r="I43" s="600" t="s">
        <v>3160</v>
      </c>
      <c r="J43" s="539">
        <f>SUMIF(125:125,I43,126:126)-SUMIF(125:125,C43,126:126)+100</f>
        <v>100</v>
      </c>
      <c r="K43" s="583">
        <v>2</v>
      </c>
      <c r="L43" s="2133"/>
      <c r="M43" s="2130"/>
      <c r="N43" s="2130"/>
      <c r="O43" s="2135"/>
      <c r="P43" s="3406"/>
      <c r="Q43" s="1570" t="str">
        <f t="shared" si="14"/>
        <v>宗地开发程度</v>
      </c>
      <c r="R43" s="1566" t="s">
        <v>8</v>
      </c>
      <c r="S43" s="1567">
        <f t="shared" si="10"/>
        <v>100</v>
      </c>
      <c r="T43" s="1566" t="s">
        <v>8</v>
      </c>
      <c r="U43" s="1567">
        <f t="shared" si="11"/>
        <v>100</v>
      </c>
      <c r="V43" s="1566" t="s">
        <v>8</v>
      </c>
      <c r="W43" s="1567">
        <f t="shared" si="12"/>
        <v>100</v>
      </c>
      <c r="X43" s="1568"/>
      <c r="Y43" s="3406"/>
      <c r="Z43" s="1148" t="str">
        <f t="shared" si="13"/>
        <v>宗地开发程度</v>
      </c>
      <c r="AA43" s="1569">
        <f t="shared" si="3"/>
        <v>1</v>
      </c>
      <c r="AB43" s="1569">
        <f t="shared" si="4"/>
        <v>1</v>
      </c>
      <c r="AC43" s="1569">
        <f t="shared" si="5"/>
        <v>1</v>
      </c>
    </row>
    <row r="44" spans="1:29" ht="21" thickBot="1">
      <c r="A44" s="593"/>
      <c r="B44" s="526" t="s">
        <v>555</v>
      </c>
      <c r="C44" s="598" t="s">
        <v>3157</v>
      </c>
      <c r="D44" s="539">
        <v>100</v>
      </c>
      <c r="E44" s="598" t="s">
        <v>3157</v>
      </c>
      <c r="F44" s="539">
        <f>SUMIF(127:127,E44,128:128)-SUMIF(127:127,C44,128:128)+100</f>
        <v>100</v>
      </c>
      <c r="G44" s="598" t="s">
        <v>3157</v>
      </c>
      <c r="H44" s="539">
        <f>SUMIF(127:127,G44,128:128)-SUMIF(127:127,C44,128:128)+100</f>
        <v>100</v>
      </c>
      <c r="I44" s="598" t="s">
        <v>3157</v>
      </c>
      <c r="J44" s="539">
        <f>SUMIF(127:127,I44,128:128)-SUMIF(127:127,C44,128:128)+100</f>
        <v>100</v>
      </c>
      <c r="K44" s="583">
        <v>2</v>
      </c>
      <c r="L44" s="2140"/>
      <c r="M44" s="2130"/>
      <c r="N44" s="2130"/>
      <c r="O44" s="2139"/>
      <c r="P44" s="3406" t="s">
        <v>550</v>
      </c>
      <c r="Q44" s="1570" t="str">
        <f t="shared" si="14"/>
        <v>工程地质条件</v>
      </c>
      <c r="R44" s="1571" t="s">
        <v>8</v>
      </c>
      <c r="S44" s="1572">
        <f t="shared" si="10"/>
        <v>100</v>
      </c>
      <c r="T44" s="1571" t="s">
        <v>8</v>
      </c>
      <c r="U44" s="1572">
        <f t="shared" si="11"/>
        <v>100</v>
      </c>
      <c r="V44" s="1571" t="s">
        <v>8</v>
      </c>
      <c r="W44" s="1572">
        <f t="shared" si="12"/>
        <v>100</v>
      </c>
      <c r="X44" s="1565"/>
      <c r="Y44" s="3406"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6"/>
      <c r="Q45" s="1570">
        <f t="shared" si="14"/>
        <v>111</v>
      </c>
      <c r="R45" s="1571" t="s">
        <v>8</v>
      </c>
      <c r="S45" s="1572">
        <f t="shared" si="10"/>
        <v>100</v>
      </c>
      <c r="T45" s="1571" t="s">
        <v>8</v>
      </c>
      <c r="U45" s="1572">
        <f t="shared" si="11"/>
        <v>100</v>
      </c>
      <c r="V45" s="1571" t="s">
        <v>8</v>
      </c>
      <c r="W45" s="1572">
        <f t="shared" si="12"/>
        <v>100</v>
      </c>
      <c r="X45" s="1565"/>
      <c r="Y45" s="3406"/>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6"/>
      <c r="Q46" s="1570">
        <f t="shared" si="14"/>
        <v>111</v>
      </c>
      <c r="R46" s="1571" t="s">
        <v>8</v>
      </c>
      <c r="S46" s="1572">
        <f t="shared" si="10"/>
        <v>100</v>
      </c>
      <c r="T46" s="1571" t="s">
        <v>8</v>
      </c>
      <c r="U46" s="1572">
        <f t="shared" si="11"/>
        <v>100</v>
      </c>
      <c r="V46" s="1571" t="s">
        <v>8</v>
      </c>
      <c r="W46" s="1572">
        <f t="shared" si="12"/>
        <v>100</v>
      </c>
      <c r="X46" s="1565"/>
      <c r="Y46" s="3406"/>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6"/>
      <c r="Q47" s="1570">
        <f t="shared" si="14"/>
        <v>111</v>
      </c>
      <c r="R47" s="1575" t="s">
        <v>8</v>
      </c>
      <c r="S47" s="1576">
        <f t="shared" si="10"/>
        <v>100</v>
      </c>
      <c r="T47" s="1575" t="s">
        <v>8</v>
      </c>
      <c r="U47" s="1576">
        <f t="shared" si="11"/>
        <v>100</v>
      </c>
      <c r="V47" s="1575" t="s">
        <v>8</v>
      </c>
      <c r="W47" s="1576">
        <f t="shared" si="12"/>
        <v>100</v>
      </c>
      <c r="X47" s="1577"/>
      <c r="Y47" s="3406"/>
      <c r="Z47" s="1578">
        <f t="shared" si="13"/>
        <v>111</v>
      </c>
      <c r="AA47" s="1574">
        <f t="shared" si="3"/>
        <v>1</v>
      </c>
      <c r="AB47" s="1574">
        <f t="shared" si="4"/>
        <v>1</v>
      </c>
      <c r="AC47" s="1574">
        <f t="shared" si="5"/>
        <v>1</v>
      </c>
    </row>
    <row r="48" spans="1:29" ht="20.25">
      <c r="A48" s="606" t="s">
        <v>556</v>
      </c>
      <c r="B48" s="607" t="s">
        <v>3155</v>
      </c>
      <c r="C48" s="608" t="s">
        <v>1</v>
      </c>
      <c r="D48" s="609"/>
      <c r="E48" s="610">
        <f>土地案例!Q6</f>
        <v>3927.96</v>
      </c>
      <c r="F48" s="611"/>
      <c r="G48" s="612">
        <f>土地案例!Q7</f>
        <v>3534.9</v>
      </c>
      <c r="H48" s="613"/>
      <c r="I48" s="610">
        <f>土地案例!Q8</f>
        <v>3206.57</v>
      </c>
      <c r="J48" s="613"/>
      <c r="K48" s="1338"/>
      <c r="L48" s="2142"/>
      <c r="M48" s="2130"/>
      <c r="N48" s="2130"/>
      <c r="O48" s="2143"/>
      <c r="P48" s="3369" t="str">
        <f>A48</f>
        <v>成交单价</v>
      </c>
      <c r="Q48" s="3369"/>
      <c r="R48" s="3370">
        <f>E48</f>
        <v>3927.96</v>
      </c>
      <c r="S48" s="3370"/>
      <c r="T48" s="3370">
        <f>G48</f>
        <v>3534.9</v>
      </c>
      <c r="U48" s="3370"/>
      <c r="V48" s="3370">
        <f>I48</f>
        <v>3206.57</v>
      </c>
      <c r="W48" s="3370"/>
      <c r="X48" s="1557"/>
      <c r="Y48" s="1579"/>
      <c r="Z48" s="1557"/>
      <c r="AA48" s="1557"/>
      <c r="AB48" s="1557"/>
      <c r="AC48" s="1557"/>
    </row>
    <row r="49" spans="1:29" ht="21" thickBot="1">
      <c r="A49" s="614" t="s">
        <v>2693</v>
      </c>
      <c r="B49" s="615"/>
      <c r="C49" s="616">
        <f>R50</f>
        <v>2768</v>
      </c>
      <c r="D49" s="617"/>
      <c r="E49" s="616">
        <f>R49</f>
        <v>3057</v>
      </c>
      <c r="F49" s="618"/>
      <c r="G49" s="619">
        <f>T49</f>
        <v>2751</v>
      </c>
      <c r="H49" s="617"/>
      <c r="I49" s="616">
        <f>V49</f>
        <v>2495</v>
      </c>
      <c r="J49" s="617"/>
      <c r="K49" s="1339"/>
      <c r="L49" s="2142"/>
      <c r="M49" s="2130"/>
      <c r="N49" s="2130"/>
      <c r="O49" s="2143"/>
      <c r="P49" s="3369" t="str">
        <f>A49</f>
        <v>比较价格（元/平方米）</v>
      </c>
      <c r="Q49" s="3369"/>
      <c r="R49" s="3371">
        <f>ROUND(PRODUCT(R48,AA9:AA47),0)</f>
        <v>3057</v>
      </c>
      <c r="S49" s="3371"/>
      <c r="T49" s="3371">
        <f>ROUND(PRODUCT(T48,AB9:AB47),0)</f>
        <v>2751</v>
      </c>
      <c r="U49" s="3371"/>
      <c r="V49" s="3371">
        <f>ROUND(PRODUCT(V48,AC9:AC47),0)</f>
        <v>2495</v>
      </c>
      <c r="W49" s="3371"/>
      <c r="X49" s="1557"/>
      <c r="Y49" s="1557"/>
      <c r="Z49" s="1557"/>
      <c r="AA49" s="1557"/>
      <c r="AB49" s="1557"/>
      <c r="AC49" s="1557"/>
    </row>
    <row r="50" spans="1:29" ht="21" thickBot="1">
      <c r="A50" s="620" t="s">
        <v>2936</v>
      </c>
      <c r="B50" s="621"/>
      <c r="C50" s="622">
        <f>R50</f>
        <v>2768</v>
      </c>
      <c r="D50" s="622"/>
      <c r="E50" s="622"/>
      <c r="F50" s="622"/>
      <c r="G50" s="622"/>
      <c r="H50" s="622"/>
      <c r="I50" s="622"/>
      <c r="J50" s="622"/>
      <c r="K50" s="1340"/>
      <c r="L50" s="2142"/>
      <c r="M50" s="2130"/>
      <c r="N50" s="2130"/>
      <c r="O50" s="2143"/>
      <c r="P50" s="3366" t="str">
        <f>A50</f>
        <v>估价对象XX用房的比较价格（楼面单价，元/平方米）</v>
      </c>
      <c r="Q50" s="3367"/>
      <c r="R50" s="3368">
        <f>ROUND(AVERAGE(R49:V49),0)</f>
        <v>2768</v>
      </c>
      <c r="S50" s="3368"/>
      <c r="T50" s="3368"/>
      <c r="U50" s="3368"/>
      <c r="V50" s="3368"/>
      <c r="W50" s="3368"/>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0.2849067713444553</v>
      </c>
      <c r="F53" s="626" t="str">
        <f>IF(OR(E53&gt;=0.3,E53&lt;=-0.3),"超过30%","")</f>
        <v/>
      </c>
      <c r="G53" s="625">
        <f>IF(G48&lt;G49,G49/G48-1,G48/G49-1)</f>
        <v>0.28495092693565982</v>
      </c>
      <c r="H53" s="626" t="str">
        <f>IF(OR(G53&gt;=0.3,G53&lt;=-0.3),"超过30%","")</f>
        <v/>
      </c>
      <c r="I53" s="625">
        <f>IF(I48&lt;I49,I49/I48-1,I48/I49-1)</f>
        <v>0.28519839679358716</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0.11123227917121037</v>
      </c>
      <c r="F54" s="626" t="str">
        <f>IF(OR(E54&gt;=0.2,E54&lt;=-0.2),"超过20%","")</f>
        <v/>
      </c>
      <c r="G54" s="625">
        <f>IF(G49&lt;I49,I49/G49-1,G49/I49-1)</f>
        <v>0.1026052104208417</v>
      </c>
      <c r="H54" s="626" t="str">
        <f>IF(OR(G54&gt;=0.2,G54&lt;=-0.2),"超过20%","")</f>
        <v/>
      </c>
      <c r="I54" s="625">
        <f>IF(I49&lt;E49,E49/I49-1,I49/E49-1)</f>
        <v>0.22525050100200406</v>
      </c>
      <c r="J54" s="626" t="str">
        <f>IF(OR(I54&gt;=0.2,I54&lt;=-0.2),"超过20%","")</f>
        <v>超过20%</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0.11119409318509721</v>
      </c>
      <c r="F55" s="626" t="str">
        <f>IF(OR(E55&gt;=0.3,E55&lt;=-0.3),"超过30%","")</f>
        <v/>
      </c>
      <c r="G55" s="625">
        <f>IF(G48&lt;I48,I48/G48-1,G48/I48-1)</f>
        <v>0.10239289957805386</v>
      </c>
      <c r="H55" s="626" t="str">
        <f>IF(OR(G55&gt;=0.3,G55&lt;=-0.3),"超过30%","")</f>
        <v/>
      </c>
      <c r="I55" s="625">
        <f>IF(I48&lt;E48,E48/I48-1,I48/E48-1)</f>
        <v>0.2249724783803253</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395" t="s">
        <v>2282</v>
      </c>
      <c r="H57" s="3396"/>
      <c r="I57" s="1553" t="s">
        <v>1723</v>
      </c>
      <c r="J57" s="1553" t="str">
        <f>项目基本情况!F41</f>
        <v>广东省江门市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2768</v>
      </c>
      <c r="C58" s="634">
        <v>1</v>
      </c>
      <c r="D58" s="2226">
        <v>1</v>
      </c>
      <c r="E58" s="634">
        <f>'数据-汇总表'!E8+'数据-汇总表'!E9</f>
        <v>222437.94999999998</v>
      </c>
      <c r="F58" s="635">
        <f t="shared" ref="F58:F67" si="15">ROUND(B58*E58/10000,0)</f>
        <v>61571</v>
      </c>
      <c r="G58" s="3397"/>
      <c r="H58" s="3398"/>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399"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399"/>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399"/>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399"/>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74458</v>
      </c>
      <c r="F65" s="635">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296895.94999999995</v>
      </c>
      <c r="F68" s="643">
        <f>IF(B48="楼面地价",SUM(F58:F67),ROUND(C50*E68/10000,0))</f>
        <v>61571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2019-1-1</v>
      </c>
      <c r="D70" s="2775">
        <f>EDATE(C70,-3)</f>
        <v>43374</v>
      </c>
      <c r="E70" s="2775">
        <f t="shared" ref="E70:N70" si="18">EDATE(D70,-3)</f>
        <v>43282</v>
      </c>
      <c r="F70" s="2775">
        <f t="shared" si="18"/>
        <v>43191</v>
      </c>
      <c r="G70" s="2775">
        <f t="shared" si="18"/>
        <v>43101</v>
      </c>
      <c r="H70" s="2775">
        <f t="shared" si="18"/>
        <v>43009</v>
      </c>
      <c r="I70" s="2775">
        <f t="shared" si="18"/>
        <v>42917</v>
      </c>
      <c r="J70" s="2775">
        <f t="shared" si="18"/>
        <v>42826</v>
      </c>
      <c r="K70" s="2775">
        <f t="shared" si="18"/>
        <v>42736</v>
      </c>
      <c r="L70" s="2775">
        <f t="shared" si="18"/>
        <v>42644</v>
      </c>
      <c r="M70" s="2775">
        <f t="shared" si="18"/>
        <v>42552</v>
      </c>
      <c r="N70" s="2775">
        <f t="shared" si="18"/>
        <v>42461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8" customFormat="1" ht="27" customHeight="1">
      <c r="A73" s="2782" t="s">
        <v>2647</v>
      </c>
      <c r="B73" s="478" t="str">
        <f>"北京市平均增长率"&amp;TEXT(SUMIF(基准地价!N21:N25,A73,基准地价!P21:P25),"0.00%")</f>
        <v>北京市平均增长率2.09%</v>
      </c>
      <c r="C73" s="892">
        <v>100</v>
      </c>
      <c r="D73" s="729">
        <f>C73-1</f>
        <v>99</v>
      </c>
      <c r="E73" s="729">
        <f>D73</f>
        <v>99</v>
      </c>
      <c r="F73" s="729">
        <f>E73-1</f>
        <v>98</v>
      </c>
      <c r="G73" s="729">
        <f>F73</f>
        <v>98</v>
      </c>
      <c r="H73" s="729">
        <f>G73-1</f>
        <v>97</v>
      </c>
      <c r="I73" s="729">
        <f>H73</f>
        <v>97</v>
      </c>
      <c r="J73" s="729">
        <f>I73-1</f>
        <v>96</v>
      </c>
      <c r="K73" s="729">
        <f>J73</f>
        <v>96</v>
      </c>
      <c r="L73" s="729"/>
      <c r="M73" s="2768"/>
      <c r="N73" s="2769"/>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2646</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597"/>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2.5（含）-3</v>
      </c>
      <c r="I81" s="681" t="str">
        <f t="shared" si="20"/>
        <v>3（含）-3.5</v>
      </c>
      <c r="J81" s="681" t="str">
        <f t="shared" si="20"/>
        <v>3.5（含）-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f>C82+0.5</f>
        <v>0.5</v>
      </c>
      <c r="E82" s="540">
        <f t="shared" ref="E82:J82" si="21">D82+0.5</f>
        <v>1</v>
      </c>
      <c r="F82" s="540">
        <f t="shared" si="21"/>
        <v>1.5</v>
      </c>
      <c r="G82" s="540">
        <f t="shared" si="21"/>
        <v>2</v>
      </c>
      <c r="H82" s="540">
        <f t="shared" si="21"/>
        <v>2.5</v>
      </c>
      <c r="I82" s="540">
        <f t="shared" si="21"/>
        <v>3</v>
      </c>
      <c r="J82" s="540">
        <f t="shared" si="21"/>
        <v>3.5</v>
      </c>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74" t="s">
        <v>2550</v>
      </c>
      <c r="C104" s="2575" t="s">
        <v>2551</v>
      </c>
      <c r="D104" s="2575" t="s">
        <v>2552</v>
      </c>
      <c r="E104" s="2575" t="s">
        <v>2553</v>
      </c>
      <c r="F104" s="2575" t="s">
        <v>2554</v>
      </c>
      <c r="G104" s="2575"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687"/>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c r="A118" s="663" t="s">
        <v>551</v>
      </c>
      <c r="B118" s="664" t="s">
        <v>593</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066" t="str">
        <f t="shared" si="26"/>
        <v>(含)-</v>
      </c>
      <c r="K118" s="3066" t="str">
        <f t="shared" si="26"/>
        <v>(含)-</v>
      </c>
      <c r="L118" s="3067" t="str">
        <f t="shared" si="26"/>
        <v>(含)-</v>
      </c>
      <c r="M118" s="306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f>C119+100000</f>
        <v>100000</v>
      </c>
      <c r="E119" s="729"/>
      <c r="F119" s="729"/>
      <c r="G119" s="729"/>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95" t="s">
        <v>3162</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2425</v>
      </c>
      <c r="C125" s="1373" t="s">
        <v>3163</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96" t="s">
        <v>3164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1" sqref="M2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1">
        <f>MATCH(B1,'数据-取费表'!A6:A16,0)+5</f>
        <v>10</v>
      </c>
    </row>
    <row r="2" spans="1:31" s="2039" customFormat="1" ht="18" customHeight="1">
      <c r="A2" s="2099" t="s">
        <v>467</v>
      </c>
      <c r="B2" s="2103">
        <f ca="1">C36</f>
        <v>58064</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1940</v>
      </c>
      <c r="C3" s="2102"/>
      <c r="D3" s="2102"/>
      <c r="E3" s="2102"/>
      <c r="F3" s="2102"/>
      <c r="G3" s="2102"/>
      <c r="H3" s="2102"/>
      <c r="I3" s="2102"/>
      <c r="J3" s="2102"/>
      <c r="K3" s="2102"/>
    </row>
    <row r="4" spans="1:31" s="2039" customFormat="1" ht="18" customHeight="1">
      <c r="A4" s="425" t="s">
        <v>468</v>
      </c>
      <c r="B4" s="426">
        <f ca="1">ROUND(B2*10000/IF(B1="",'数据-汇总表'!D3,INDIRECT("'数据-取费表'!R"&amp;$K$1)),0)</f>
        <v>6532</v>
      </c>
      <c r="C4" s="427"/>
      <c r="D4" s="421"/>
      <c r="E4" s="421"/>
      <c r="F4" s="421"/>
      <c r="G4" s="421"/>
      <c r="H4" s="421"/>
      <c r="I4" s="421"/>
      <c r="J4" s="421"/>
      <c r="K4" s="421"/>
    </row>
    <row r="5" spans="1:31" s="2039" customFormat="1" ht="18" customHeight="1" thickBot="1">
      <c r="A5" s="428"/>
      <c r="B5" s="429">
        <f ca="1">ROUND(B2/(IF(B1="",'数据-汇总表'!D3,INDIRECT("'数据-取费表'!R"&amp;$K$1))/666.67),0)</f>
        <v>435</v>
      </c>
      <c r="C5" s="430" t="s">
        <v>469</v>
      </c>
      <c r="D5" s="421"/>
      <c r="E5" s="421"/>
      <c r="F5" s="421"/>
      <c r="G5" s="421"/>
      <c r="H5" s="421"/>
      <c r="I5" s="421"/>
      <c r="J5" s="421"/>
      <c r="K5" s="421"/>
    </row>
    <row r="6" spans="1:31" s="2109" customFormat="1" ht="16.5" customHeight="1">
      <c r="A6" s="2804" t="s">
        <v>1843</v>
      </c>
      <c r="B6" s="2805"/>
      <c r="C6" s="2806">
        <f ca="1">SUM(C10:K10)</f>
        <v>186435</v>
      </c>
      <c r="D6" s="2805"/>
      <c r="E6" s="2805"/>
      <c r="F6" s="2805"/>
      <c r="G6" s="2805"/>
      <c r="H6" s="2805"/>
      <c r="I6" s="2805"/>
      <c r="J6" s="2805"/>
      <c r="K6" s="2807"/>
    </row>
    <row r="7" spans="1:31" s="2111" customFormat="1" ht="15">
      <c r="A7" s="2808" t="s">
        <v>470</v>
      </c>
      <c r="B7" s="2809" t="s">
        <v>471</v>
      </c>
      <c r="C7" s="435" t="s">
        <v>3012</v>
      </c>
      <c r="D7" s="435" t="s">
        <v>3011</v>
      </c>
      <c r="E7" s="435" t="s">
        <v>3006</v>
      </c>
      <c r="F7" s="435" t="s">
        <v>35</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0">
        <f>'不动产比较法-住宅'!B3</f>
        <v>7116</v>
      </c>
      <c r="D8" s="2810"/>
      <c r="E8" s="2810">
        <f ca="1">不动产收益法!B3</f>
        <v>9243</v>
      </c>
      <c r="F8" s="2810">
        <f ca="1">'不动产收益法-地下车库'!B3</f>
        <v>2496</v>
      </c>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177455.55</v>
      </c>
      <c r="D9" s="440">
        <f>SUMIF('数据-汇总表'!$C19:$C33,'剩余法-待开发'!D7,'数据-汇总表'!$E19:$E33)</f>
        <v>0</v>
      </c>
      <c r="E9" s="440">
        <f>SUMIF('数据-汇总表'!$C19:$C33,'剩余法-待开发'!E7,'数据-汇总表'!$E19:$E33)</f>
        <v>44982.400000000001</v>
      </c>
      <c r="F9" s="440">
        <f>SUMIF('数据-汇总表'!$C19:$C33,'剩余法-待开发'!F7,'数据-汇总表'!$E19:$E33)</f>
        <v>74458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1848</v>
      </c>
      <c r="B10" s="2798" t="s">
        <v>474</v>
      </c>
      <c r="C10" s="3002">
        <f>'不动产比较法-住宅'!B2</f>
        <v>126277</v>
      </c>
      <c r="D10" s="3002">
        <f t="shared" ref="D10" si="0">ROUND(D8*D9/10000,0)</f>
        <v>0</v>
      </c>
      <c r="E10" s="3002">
        <f ca="1">不动产收益法!B2</f>
        <v>41576</v>
      </c>
      <c r="F10" s="3002">
        <f ca="1">'不动产收益法-地下车库'!B2</f>
        <v>18582</v>
      </c>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1844</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1849</v>
      </c>
      <c r="B13" s="2819" t="s">
        <v>479</v>
      </c>
      <c r="C13" s="449">
        <f ca="1">IF(B1="",'数据-取费表'!P16,INDIRECT("'数据-取费表'!p"&amp;$K$1)+INDIRECT("'数据-取费表'!t"&amp;$K$1))</f>
        <v>74476</v>
      </c>
      <c r="D13" s="2820"/>
      <c r="E13" s="2821"/>
      <c r="F13" s="2822"/>
      <c r="G13" s="2788"/>
      <c r="H13" s="2789"/>
      <c r="I13" s="2789"/>
      <c r="J13" s="2789"/>
      <c r="K13" s="2790"/>
    </row>
    <row r="14" spans="1:31" s="2114" customFormat="1" ht="13.5" customHeight="1">
      <c r="A14" s="2818" t="s">
        <v>1850</v>
      </c>
      <c r="B14" s="2819" t="s">
        <v>480</v>
      </c>
      <c r="C14" s="53">
        <f ca="1">ROUND(C13*F14,0)</f>
        <v>2234</v>
      </c>
      <c r="D14" s="2820"/>
      <c r="E14" s="2821"/>
      <c r="F14" s="2823">
        <f>'数据-取费表'!B33</f>
        <v>0.03</v>
      </c>
      <c r="G14" s="2788" t="s">
        <v>481</v>
      </c>
      <c r="H14" s="2789"/>
      <c r="I14" s="2789"/>
      <c r="J14" s="2789"/>
      <c r="K14" s="2790"/>
    </row>
    <row r="15" spans="1:31" s="2114" customFormat="1" ht="13.5" customHeight="1">
      <c r="A15" s="2818" t="s">
        <v>1851</v>
      </c>
      <c r="B15" s="2819" t="s">
        <v>482</v>
      </c>
      <c r="C15" s="53">
        <f ca="1">ROUND(IF(B1="",SUMIF('数据-取费表'!C:C,"住宅",'数据-取费表'!P:P)*F15,IF(INDIRECT("'数据-取费表'!c"&amp;$K$1)="住宅",INDIRECT("'数据-取费表'!P"&amp;$K$1)*F15,0)),0)</f>
        <v>1491</v>
      </c>
      <c r="D15" s="2820"/>
      <c r="E15" s="2821"/>
      <c r="F15" s="2823">
        <f>'数据-取费表'!B34</f>
        <v>0.03</v>
      </c>
      <c r="G15" s="2788" t="s">
        <v>483</v>
      </c>
      <c r="H15" s="2789"/>
      <c r="I15" s="2789"/>
      <c r="J15" s="2789"/>
      <c r="K15" s="2790"/>
    </row>
    <row r="16" spans="1:31" s="2115" customFormat="1" ht="13.5" customHeight="1">
      <c r="A16" s="2818" t="s">
        <v>1852</v>
      </c>
      <c r="B16" s="2819" t="s">
        <v>484</v>
      </c>
      <c r="C16" s="53">
        <f ca="1">ROUND(D16*E16/10000,0)</f>
        <v>5987</v>
      </c>
      <c r="D16" s="2820">
        <f ca="1">IF(B1="",'数据-汇总表'!E3,INDIRECT("'数据-取费表'!K"&amp;$K$1)+INDIRECT("'数据-取费表'!S"&amp;$K$1))</f>
        <v>299369.98</v>
      </c>
      <c r="E16" s="53">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1853</v>
      </c>
      <c r="B17" s="2819" t="s">
        <v>485</v>
      </c>
      <c r="C17" s="2824">
        <f ca="1">ROUND(C13*F17,0)</f>
        <v>1117</v>
      </c>
      <c r="D17" s="474"/>
      <c r="E17" s="2824"/>
      <c r="F17" s="2825">
        <f>'数据-取费表'!B36</f>
        <v>1.4999999999999999E-2</v>
      </c>
      <c r="G17" s="260" t="s">
        <v>486</v>
      </c>
      <c r="H17" s="2791"/>
      <c r="I17" s="2791"/>
      <c r="J17" s="2791"/>
      <c r="K17" s="278"/>
    </row>
    <row r="18" spans="1:14" s="2114" customFormat="1" ht="13.5" customHeight="1">
      <c r="A18" s="2826" t="s">
        <v>1854</v>
      </c>
      <c r="B18" s="2827" t="s">
        <v>487</v>
      </c>
      <c r="C18" s="2828">
        <f ca="1">SUM(C13:C17)</f>
        <v>85305</v>
      </c>
      <c r="D18" s="2829"/>
      <c r="E18" s="467"/>
      <c r="F18" s="467"/>
      <c r="G18" s="2792" t="s">
        <v>2430</v>
      </c>
      <c r="H18" s="2793"/>
      <c r="I18" s="2793"/>
      <c r="J18" s="2793"/>
      <c r="K18" s="2794"/>
    </row>
    <row r="19" spans="1:14" s="2114" customFormat="1" ht="13.5" customHeight="1">
      <c r="A19" s="2826" t="s">
        <v>1855</v>
      </c>
      <c r="B19" s="2827" t="s">
        <v>488</v>
      </c>
      <c r="C19" s="2784">
        <f ca="1">ROUND(D19*E19/10000,0)</f>
        <v>0</v>
      </c>
      <c r="D19" s="2830">
        <f ca="1">D16</f>
        <v>299369.98</v>
      </c>
      <c r="E19" s="2784">
        <f>'数据-取费表'!B32</f>
        <v>0</v>
      </c>
      <c r="F19" s="467"/>
      <c r="G19" s="2788" t="s">
        <v>489</v>
      </c>
      <c r="H19" s="2789"/>
      <c r="I19" s="2793"/>
      <c r="J19" s="2793"/>
      <c r="K19" s="2794"/>
    </row>
    <row r="20" spans="1:14" s="2114" customFormat="1" ht="13.5" customHeight="1">
      <c r="A20" s="2826" t="s">
        <v>1856</v>
      </c>
      <c r="B20" s="2827" t="s">
        <v>490</v>
      </c>
      <c r="C20" s="2784">
        <f ca="1">C21+C22-IF(B1="",'数据-取费表'!B29,IF(G20="已全部缴纳",C21+C22,H20))</f>
        <v>2095</v>
      </c>
      <c r="D20" s="2830"/>
      <c r="E20" s="2784"/>
      <c r="F20" s="2831"/>
      <c r="G20" s="3062"/>
      <c r="H20" s="2786"/>
      <c r="I20" s="2787" t="s">
        <v>2651</v>
      </c>
      <c r="J20" s="2793"/>
      <c r="K20" s="2794"/>
    </row>
    <row r="21" spans="1:14" s="2114" customFormat="1" ht="13.5" customHeight="1">
      <c r="A21" s="2818" t="s">
        <v>1857</v>
      </c>
      <c r="B21" s="2819" t="s">
        <v>491</v>
      </c>
      <c r="C21" s="53">
        <f ca="1">ROUND(D21*E21/10000,0)</f>
        <v>1242</v>
      </c>
      <c r="D21" s="2820">
        <f ca="1">IF(B1="",'数据-汇总表'!E5,IF(INDIRECT("'数据-取费表'!c"&amp;$K$1)="住宅",INDIRECT("'数据-取费表'!k"&amp;$K$1),0))</f>
        <v>177455.55</v>
      </c>
      <c r="E21" s="53">
        <f>'数据-取费表'!B27</f>
        <v>70</v>
      </c>
      <c r="F21" s="2823"/>
      <c r="G21" s="26"/>
      <c r="H21" s="51"/>
      <c r="I21" s="51"/>
      <c r="J21" s="51"/>
      <c r="K21" s="2795"/>
    </row>
    <row r="22" spans="1:14" s="2114" customFormat="1" ht="13.5" customHeight="1">
      <c r="A22" s="2818" t="s">
        <v>1858</v>
      </c>
      <c r="B22" s="2819" t="s">
        <v>492</v>
      </c>
      <c r="C22" s="53">
        <f ca="1">ROUND(D22*E22/10000,0)</f>
        <v>853</v>
      </c>
      <c r="D22" s="2820">
        <f ca="1">IF(B1="",'数据-汇总表'!E6,IF(INDIRECT("'数据-取费表'!c"&amp;$K$1)="住宅",INDIRECT("'数据-取费表'!s"&amp;$K$1),INDIRECT("'数据-取费表'!k"&amp;$K$1)+INDIRECT("'数据-取费表'!s"&amp;$K$1)))</f>
        <v>121914.43</v>
      </c>
      <c r="E22" s="53">
        <f>'数据-取费表'!B28</f>
        <v>70</v>
      </c>
      <c r="F22" s="2823"/>
      <c r="G22" s="26"/>
      <c r="H22" s="51"/>
      <c r="I22" s="51"/>
      <c r="J22" s="51"/>
      <c r="K22" s="2795"/>
    </row>
    <row r="23" spans="1:14" s="2114" customFormat="1" ht="13.5" customHeight="1">
      <c r="A23" s="2826" t="s">
        <v>1859</v>
      </c>
      <c r="B23" s="3008" t="s">
        <v>2834</v>
      </c>
      <c r="C23" s="2828">
        <f ca="1">ROUND((C18+C19+C20)*F23,0)</f>
        <v>1748</v>
      </c>
      <c r="D23" s="467"/>
      <c r="E23" s="467"/>
      <c r="F23" s="2832">
        <f>'数据-取费表'!B37</f>
        <v>0.02</v>
      </c>
      <c r="G23" s="2788" t="s">
        <v>2431</v>
      </c>
      <c r="H23" s="2789"/>
      <c r="I23" s="2789"/>
      <c r="J23" s="2789"/>
      <c r="K23" s="2790"/>
      <c r="L23" s="2116"/>
      <c r="M23" s="2116"/>
      <c r="N23" s="2116"/>
    </row>
    <row r="24" spans="1:14" s="2114" customFormat="1" ht="13.5" customHeight="1">
      <c r="A24" s="2826" t="s">
        <v>1860</v>
      </c>
      <c r="B24" s="3008" t="s">
        <v>2837</v>
      </c>
      <c r="C24" s="2828">
        <f ca="1">ROUND(C6*F24,0)</f>
        <v>2797</v>
      </c>
      <c r="D24" s="474"/>
      <c r="E24" s="472"/>
      <c r="F24" s="2832">
        <f>'数据-取费表'!B38</f>
        <v>1.4999999999999999E-2</v>
      </c>
      <c r="G24" s="2797" t="s">
        <v>499</v>
      </c>
      <c r="H24" s="2791"/>
      <c r="I24" s="2791"/>
      <c r="J24" s="2791"/>
      <c r="K24" s="278"/>
      <c r="L24" s="2116"/>
      <c r="M24" s="2116"/>
      <c r="N24" s="2116"/>
    </row>
    <row r="25" spans="1:14" s="2117" customFormat="1" ht="13.5" customHeight="1">
      <c r="A25" s="2826" t="s">
        <v>1861</v>
      </c>
      <c r="B25" s="3008" t="s">
        <v>2835</v>
      </c>
      <c r="C25" s="466">
        <f>ROUND(F25/(1+'数据-取费表'!C42),4)</f>
        <v>2.9000000000000001E-2</v>
      </c>
      <c r="D25" s="461" t="s">
        <v>2829</v>
      </c>
      <c r="E25" s="468"/>
      <c r="F25" s="2832">
        <f>'数据-取费表'!B48+'数据-取费表'!B49</f>
        <v>3.0499999999999999E-2</v>
      </c>
      <c r="G25" s="2796" t="s">
        <v>2290</v>
      </c>
      <c r="H25" s="2789"/>
      <c r="I25" s="2789"/>
      <c r="J25" s="2789"/>
      <c r="K25" s="2790"/>
    </row>
    <row r="26" spans="1:14" s="2116" customFormat="1" ht="13.5" customHeight="1">
      <c r="A26" s="2826" t="s">
        <v>1862</v>
      </c>
      <c r="B26" s="3009" t="s">
        <v>2836</v>
      </c>
      <c r="C26" s="2833">
        <f ca="1">C28</f>
        <v>5491</v>
      </c>
      <c r="D26" s="466">
        <f ca="1">C27</f>
        <v>0.12659999999999999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1857</v>
      </c>
      <c r="B27" s="2834" t="s">
        <v>496</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1858</v>
      </c>
      <c r="B28" s="2834" t="s">
        <v>2838</v>
      </c>
      <c r="C28" s="2836">
        <f ca="1">ROUND(IF('数据-取费表'!B22&lt;=1,(C18+C19+C20+C23+C24)*F26*'数据-取费表'!B24/2,(C18+C19+C20+C23+C24)*(POWER((1+F26),'数据-取费表'!B24/2)-1)),0)</f>
        <v>5491</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1863</v>
      </c>
      <c r="B29" s="2827" t="s">
        <v>497</v>
      </c>
      <c r="C29" s="2828">
        <f ca="1">ROUND(C6*F29/(1+'数据-取费表'!C42),0)</f>
        <v>9766</v>
      </c>
      <c r="D29" s="467"/>
      <c r="E29" s="467"/>
      <c r="F29" s="3010">
        <f>'数据-取费表'!B41</f>
        <v>5.5000000000000007E-2</v>
      </c>
      <c r="G29" s="2797" t="s">
        <v>498</v>
      </c>
      <c r="H29" s="2789"/>
      <c r="I29" s="2789"/>
      <c r="J29" s="2789"/>
      <c r="K29" s="2790"/>
    </row>
    <row r="30" spans="1:14" s="2119" customFormat="1" ht="13.5" customHeight="1">
      <c r="A30" s="1633" t="s">
        <v>1864</v>
      </c>
      <c r="B30" s="2838" t="s">
        <v>500</v>
      </c>
      <c r="C30" s="2833">
        <f ca="1">C31</f>
        <v>107202</v>
      </c>
      <c r="D30" s="476">
        <f ca="1">C32</f>
        <v>0.15559999999999999</v>
      </c>
      <c r="E30" s="468" t="s">
        <v>495</v>
      </c>
      <c r="F30" s="470"/>
      <c r="G30" s="2796" t="s">
        <v>2975</v>
      </c>
      <c r="H30" s="2789"/>
      <c r="I30" s="2789"/>
      <c r="J30" s="2789"/>
      <c r="K30" s="2790"/>
    </row>
    <row r="31" spans="1:14" s="2118" customFormat="1" ht="13.5" customHeight="1">
      <c r="A31" s="802" t="s">
        <v>1857</v>
      </c>
      <c r="B31" s="2834"/>
      <c r="C31" s="449">
        <f ca="1">C18+C19+C20+C23+C24+C26+C29</f>
        <v>107202</v>
      </c>
      <c r="D31" s="471"/>
      <c r="E31" s="472"/>
      <c r="F31" s="473"/>
      <c r="G31" s="260"/>
      <c r="H31" s="2791"/>
      <c r="I31" s="2791"/>
      <c r="J31" s="2791"/>
      <c r="K31" s="278"/>
    </row>
    <row r="32" spans="1:14" s="2118" customFormat="1" ht="13.5" customHeight="1">
      <c r="A32" s="802" t="s">
        <v>1858</v>
      </c>
      <c r="B32" s="2834"/>
      <c r="C32" s="53">
        <f ca="1">ROUND(C25+D26,4)</f>
        <v>0.15559999999999999</v>
      </c>
      <c r="D32" s="471"/>
      <c r="E32" s="472"/>
      <c r="F32" s="473"/>
      <c r="G32" s="260"/>
      <c r="H32" s="2791"/>
      <c r="I32" s="2791"/>
      <c r="J32" s="2791"/>
      <c r="K32" s="278"/>
    </row>
    <row r="33" spans="1:11" s="2120" customFormat="1" ht="13.5" customHeight="1">
      <c r="A33" s="3007" t="s">
        <v>2833</v>
      </c>
      <c r="B33" s="3005" t="s">
        <v>2831</v>
      </c>
      <c r="C33" s="477">
        <f ca="1">C35</f>
        <v>7356</v>
      </c>
      <c r="D33" s="466">
        <f ca="1">C34</f>
        <v>8.2299999999999998E-2</v>
      </c>
      <c r="E33" s="468" t="s">
        <v>495</v>
      </c>
      <c r="F33" s="478">
        <f ca="1">IF(B1="",'数据-取费表'!Q16,INDIRECT("'数据-取费表'!q"&amp;$K$1))</f>
        <v>0.08</v>
      </c>
      <c r="G33" s="2792"/>
      <c r="H33" s="2793"/>
      <c r="I33" s="2793"/>
      <c r="J33" s="2793"/>
      <c r="K33" s="2794"/>
    </row>
    <row r="34" spans="1:11" s="2121" customFormat="1" ht="13.5" customHeight="1">
      <c r="A34" s="374" t="s">
        <v>1857</v>
      </c>
      <c r="B34" s="2839" t="s">
        <v>501</v>
      </c>
      <c r="C34" s="471">
        <f ca="1">ROUND((1+C25)*F33,4)</f>
        <v>8.2299999999999998E-2</v>
      </c>
      <c r="D34" s="471"/>
      <c r="E34" s="472"/>
      <c r="F34" s="479"/>
      <c r="G34" s="260" t="s">
        <v>2291</v>
      </c>
      <c r="H34" s="2791"/>
      <c r="I34" s="2791"/>
      <c r="J34" s="2791"/>
      <c r="K34" s="278"/>
    </row>
    <row r="35" spans="1:11" s="2121" customFormat="1" ht="13.5" customHeight="1" thickBot="1">
      <c r="A35" s="1634" t="s">
        <v>1858</v>
      </c>
      <c r="B35" s="3006" t="s">
        <v>2839</v>
      </c>
      <c r="C35" s="1626">
        <f ca="1">ROUND((C18+C19+C20+C23+C24)*F33,0)</f>
        <v>7356</v>
      </c>
      <c r="D35" s="1627"/>
      <c r="E35" s="2840"/>
      <c r="F35" s="1628"/>
      <c r="G35" s="2798"/>
      <c r="H35" s="2799"/>
      <c r="I35" s="2799"/>
      <c r="J35" s="2799"/>
      <c r="K35" s="2800"/>
    </row>
    <row r="36" spans="1:11" s="2083" customFormat="1" ht="13.5" customHeight="1" thickBot="1">
      <c r="A36" s="283" t="s">
        <v>1845</v>
      </c>
      <c r="B36" s="2802"/>
      <c r="C36" s="2841">
        <f ca="1">ROUND((C6-C30-C33)/(1+D30+D33),0)</f>
        <v>58064</v>
      </c>
      <c r="D36" s="2802"/>
      <c r="E36" s="2802"/>
      <c r="F36" s="2802"/>
      <c r="G36" s="2801" t="s">
        <v>2840</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1" t="str">
        <f>项目基本情况!B1</f>
        <v>广东省江门市台山市台城板岗管理区北闸村门口洞出让国有建设用地使用权抵押价格预评估</v>
      </c>
      <c r="C37" s="3201"/>
      <c r="D37" s="3201"/>
      <c r="E37" s="3201"/>
      <c r="F37" s="3201"/>
      <c r="G37" s="3201"/>
      <c r="H37" s="3201"/>
      <c r="I37" s="3201"/>
    </row>
    <row r="38" spans="1:9">
      <c r="A38" s="1654"/>
      <c r="B38" s="1654"/>
    </row>
    <row r="39" spans="1:9">
      <c r="A39" s="1652" t="s">
        <v>1902</v>
      </c>
      <c r="B39" s="1652" t="s">
        <v>2047</v>
      </c>
    </row>
    <row r="40" spans="1:9">
      <c r="A40" s="1652"/>
      <c r="B40" s="1652" t="str">
        <f>项目基本情况!B5</f>
        <v>中诚信托有限责任公司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5"/>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74476</v>
      </c>
      <c r="D13" s="450"/>
      <c r="E13" s="364"/>
      <c r="F13" s="451"/>
      <c r="G13" s="443"/>
      <c r="H13" s="446"/>
      <c r="I13" s="446"/>
      <c r="J13" s="446"/>
      <c r="K13" s="447"/>
    </row>
    <row r="14" spans="1:41" s="2114" customFormat="1" ht="13.5" customHeight="1">
      <c r="A14" s="1631" t="s">
        <v>1850</v>
      </c>
      <c r="B14" s="448" t="s">
        <v>480</v>
      </c>
      <c r="C14" s="53">
        <f ca="1">ROUND(C13*F14,0)</f>
        <v>2234</v>
      </c>
      <c r="D14" s="450"/>
      <c r="E14" s="364"/>
      <c r="F14" s="452">
        <f>'数据-取费表'!B33</f>
        <v>0.03</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1491</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5987</v>
      </c>
      <c r="D16" s="450">
        <f ca="1">IF(B1="",'数据-汇总表'!E3,INDIRECT("'数据-取费表'!K"&amp;$K$1)+INDIRECT("'数据-取费表'!S"&amp;$K$1))</f>
        <v>299369.98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1117</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85305</v>
      </c>
      <c r="D18" s="460"/>
      <c r="E18" s="461"/>
      <c r="F18" s="461"/>
      <c r="G18" s="1325" t="s">
        <v>2432</v>
      </c>
      <c r="H18" s="446"/>
      <c r="I18" s="446"/>
      <c r="J18" s="446"/>
      <c r="K18" s="447"/>
    </row>
    <row r="19" spans="1:14" s="2117" customFormat="1" ht="13.5" customHeight="1">
      <c r="A19" s="1632" t="s">
        <v>1855</v>
      </c>
      <c r="B19" s="458" t="s">
        <v>493</v>
      </c>
      <c r="C19" s="459">
        <f ca="1">ROUND(C18*F19,0)</f>
        <v>1706</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3">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2" t="s">
        <v>1859</v>
      </c>
      <c r="B21" s="460" t="s">
        <v>494</v>
      </c>
      <c r="C21" s="469">
        <f ca="1">C22</f>
        <v>5197</v>
      </c>
      <c r="D21" s="466">
        <f ca="1">C23</f>
        <v>8.9999999999999998E-4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1849</v>
      </c>
      <c r="B22" s="1326" t="s">
        <v>2435</v>
      </c>
      <c r="C22" s="486">
        <f ca="1">ROUND(IF('数据-取费表'!B22&lt;=1,(C18+C19)*F21*'数据-取费表'!B20/2,(C18+C19)*(POWER((1+F21),'数据-取费表'!B20/2)-1)),0)</f>
        <v>5197</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6" t="s">
        <v>508</v>
      </c>
      <c r="C23" s="487">
        <f ca="1">ROUND(IF('数据-取费表'!B22&lt;=1,F20*F21*'数据-取费表'!B20/2,F20*(POWER((1+F21),'数据-取费表'!B20/2)-1)),4)</f>
        <v>8.9999999999999998E-4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5" t="s">
        <v>2832</v>
      </c>
      <c r="C24" s="477">
        <f ca="1">C25</f>
        <v>6961</v>
      </c>
      <c r="D24" s="488">
        <f ca="1">C26</f>
        <v>1.1999999999999999E-3</v>
      </c>
      <c r="E24" s="468" t="s">
        <v>507</v>
      </c>
      <c r="F24" s="478">
        <f ca="1">IF(B1="",'数据-取费表'!Q16,INDIRECT("'数据-取费表'!q"&amp;$K$1))</f>
        <v>0.08</v>
      </c>
      <c r="G24" s="443"/>
      <c r="H24" s="446"/>
      <c r="I24" s="446"/>
      <c r="J24" s="446"/>
      <c r="K24" s="447"/>
    </row>
    <row r="25" spans="1:14" s="2118" customFormat="1" ht="13.5" customHeight="1">
      <c r="A25" s="1631" t="s">
        <v>1849</v>
      </c>
      <c r="B25" s="1326" t="s">
        <v>2436</v>
      </c>
      <c r="C25" s="489">
        <f ca="1">ROUND((C18+C19)*F24,0)</f>
        <v>6961</v>
      </c>
      <c r="D25" s="471"/>
      <c r="E25" s="472"/>
      <c r="F25" s="479"/>
      <c r="G25" s="1324" t="s">
        <v>2433</v>
      </c>
      <c r="H25" s="456"/>
      <c r="I25" s="456"/>
      <c r="J25" s="456"/>
      <c r="K25" s="457"/>
    </row>
    <row r="26" spans="1:14" s="2118" customFormat="1" ht="13.5" customHeight="1">
      <c r="A26" s="1631" t="s">
        <v>1850</v>
      </c>
      <c r="B26" s="1326" t="s">
        <v>509</v>
      </c>
      <c r="C26" s="490">
        <f ca="1">ROUND(F20*F24,4)</f>
        <v>1.1999999999999999E-3</v>
      </c>
      <c r="D26" s="471"/>
      <c r="E26" s="480"/>
      <c r="F26" s="479"/>
      <c r="G26" s="1324" t="s">
        <v>510</v>
      </c>
      <c r="H26" s="456"/>
      <c r="I26" s="456"/>
      <c r="J26" s="456"/>
      <c r="K26" s="457"/>
    </row>
    <row r="27" spans="1:14" s="2118" customFormat="1" ht="13.5" customHeight="1">
      <c r="A27" s="1635" t="s">
        <v>1868</v>
      </c>
      <c r="B27" s="458" t="s">
        <v>511</v>
      </c>
      <c r="C27" s="3004">
        <f>ROUND(F27/(1+'数据-取费表'!C42),4)</f>
        <v>5.2400000000000002E-2</v>
      </c>
      <c r="D27" s="461" t="s">
        <v>2830</v>
      </c>
      <c r="E27" s="461"/>
      <c r="F27" s="465">
        <f>'数据-取费表'!B41</f>
        <v>5.5000000000000007E-2</v>
      </c>
      <c r="G27" s="1958" t="s">
        <v>2292</v>
      </c>
      <c r="H27" s="446"/>
      <c r="I27" s="446"/>
      <c r="J27" s="446"/>
      <c r="K27" s="447"/>
    </row>
    <row r="28" spans="1:14" s="2119" customFormat="1" ht="13.5" customHeight="1">
      <c r="A28" s="1635" t="s">
        <v>1869</v>
      </c>
      <c r="B28" s="475" t="s">
        <v>512</v>
      </c>
      <c r="C28" s="469">
        <f ca="1">ROUND((C18+C19+C21+C24)/(1-C20-D21-D24-C27),0)</f>
        <v>106576</v>
      </c>
      <c r="D28" s="476"/>
      <c r="E28" s="468"/>
      <c r="F28" s="470"/>
      <c r="G28" s="1325" t="s">
        <v>2434</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59" t="s">
        <v>1866</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75" t="s">
        <v>522</v>
      </c>
      <c r="D6" s="3376"/>
      <c r="E6" s="3409" t="s">
        <v>523</v>
      </c>
      <c r="F6" s="3410"/>
      <c r="G6" s="3375" t="s">
        <v>524</v>
      </c>
      <c r="H6" s="3376"/>
      <c r="I6" s="3375" t="s">
        <v>525</v>
      </c>
      <c r="J6" s="3376"/>
      <c r="K6" s="513" t="s">
        <v>526</v>
      </c>
      <c r="L6" s="2131"/>
      <c r="M6" s="2132"/>
      <c r="N6" s="2132"/>
      <c r="O6" s="2132"/>
      <c r="P6" s="3377" t="s">
        <v>527</v>
      </c>
      <c r="Q6" s="3378"/>
      <c r="R6" s="3383" t="s">
        <v>523</v>
      </c>
      <c r="S6" s="3384"/>
      <c r="T6" s="3383" t="s">
        <v>524</v>
      </c>
      <c r="U6" s="3384"/>
      <c r="V6" s="3370" t="s">
        <v>525</v>
      </c>
      <c r="W6" s="3370"/>
      <c r="X6" s="1565"/>
      <c r="Y6" s="3383" t="s">
        <v>527</v>
      </c>
      <c r="Z6" s="3384"/>
      <c r="AA6" s="3372" t="s">
        <v>523</v>
      </c>
      <c r="AB6" s="3373" t="s">
        <v>524</v>
      </c>
      <c r="AC6" s="3372" t="s">
        <v>525</v>
      </c>
    </row>
    <row r="7" spans="1:29" ht="15">
      <c r="A7" s="514"/>
      <c r="B7" s="515"/>
      <c r="C7" s="3391" t="s">
        <v>2930</v>
      </c>
      <c r="D7" s="3392"/>
      <c r="E7" s="3411" t="s">
        <v>2931</v>
      </c>
      <c r="F7" s="3412"/>
      <c r="G7" s="3391" t="s">
        <v>2932</v>
      </c>
      <c r="H7" s="3392"/>
      <c r="I7" s="3391" t="s">
        <v>2933</v>
      </c>
      <c r="J7" s="3392"/>
      <c r="K7" s="513"/>
      <c r="L7" s="2131"/>
      <c r="M7" s="2132"/>
      <c r="N7" s="2132"/>
      <c r="O7" s="2132"/>
      <c r="P7" s="3379"/>
      <c r="Q7" s="3380"/>
      <c r="R7" s="3385"/>
      <c r="S7" s="3386"/>
      <c r="T7" s="3385"/>
      <c r="U7" s="3386"/>
      <c r="V7" s="3370"/>
      <c r="W7" s="3370"/>
      <c r="X7" s="1565"/>
      <c r="Y7" s="3385"/>
      <c r="Z7" s="3386"/>
      <c r="AA7" s="3373"/>
      <c r="AB7" s="3373"/>
      <c r="AC7" s="3373"/>
    </row>
    <row r="8" spans="1:29" ht="15.75" thickBot="1">
      <c r="A8" s="516"/>
      <c r="B8" s="517"/>
      <c r="C8" s="3389" t="s">
        <v>2934</v>
      </c>
      <c r="D8" s="3390"/>
      <c r="E8" s="3407" t="s">
        <v>2934</v>
      </c>
      <c r="F8" s="3408"/>
      <c r="G8" s="3389" t="s">
        <v>2934</v>
      </c>
      <c r="H8" s="3390"/>
      <c r="I8" s="3389" t="s">
        <v>2934</v>
      </c>
      <c r="J8" s="3390"/>
      <c r="K8" s="513" t="s">
        <v>528</v>
      </c>
      <c r="L8" s="2131"/>
      <c r="M8" s="2132"/>
      <c r="N8" s="2132"/>
      <c r="O8" s="2132"/>
      <c r="P8" s="3381"/>
      <c r="Q8" s="3382"/>
      <c r="R8" s="3385"/>
      <c r="S8" s="3386"/>
      <c r="T8" s="3387"/>
      <c r="U8" s="3388"/>
      <c r="V8" s="3370"/>
      <c r="W8" s="3370"/>
      <c r="X8" s="1565"/>
      <c r="Y8" s="3387"/>
      <c r="Z8" s="3388"/>
      <c r="AA8" s="3374"/>
      <c r="AB8" s="3374"/>
      <c r="AC8" s="3374"/>
    </row>
    <row r="9" spans="1:29" s="1218" customFormat="1" ht="15.75" thickBot="1">
      <c r="A9" s="2888"/>
      <c r="B9" s="2895" t="s">
        <v>529</v>
      </c>
      <c r="C9" s="518">
        <f>'数据-取费表'!B2</f>
        <v>43475</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00" t="s">
        <v>530</v>
      </c>
      <c r="Q9" s="3402"/>
      <c r="R9" s="1566" t="s">
        <v>8</v>
      </c>
      <c r="S9" s="1567">
        <f t="shared" ref="S9:S17" si="0">F9</f>
        <v>0</v>
      </c>
      <c r="T9" s="1566" t="s">
        <v>8</v>
      </c>
      <c r="U9" s="1567">
        <f t="shared" ref="U9:U17" si="1">H9</f>
        <v>0</v>
      </c>
      <c r="V9" s="1566" t="s">
        <v>8</v>
      </c>
      <c r="W9" s="1567">
        <f t="shared" ref="W9:W17" si="2">J9</f>
        <v>0</v>
      </c>
      <c r="X9" s="1568"/>
      <c r="Y9" s="3400" t="s">
        <v>530</v>
      </c>
      <c r="Z9" s="3401"/>
      <c r="AA9" s="1569" t="e">
        <f>D9/F9</f>
        <v>#DIV/0!</v>
      </c>
      <c r="AB9" s="1569" t="e">
        <f>D9/H9</f>
        <v>#DIV/0!</v>
      </c>
      <c r="AC9" s="1569" t="e">
        <f>D9/J9</f>
        <v>#DIV/0!</v>
      </c>
    </row>
    <row r="10" spans="1:29" s="1218"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00" t="s">
        <v>533</v>
      </c>
      <c r="Q10" s="3401"/>
      <c r="R10" s="1566" t="s">
        <v>8</v>
      </c>
      <c r="S10" s="1567">
        <f t="shared" si="0"/>
        <v>0</v>
      </c>
      <c r="T10" s="1566" t="s">
        <v>8</v>
      </c>
      <c r="U10" s="1567">
        <f t="shared" si="1"/>
        <v>0</v>
      </c>
      <c r="V10" s="1566" t="s">
        <v>8</v>
      </c>
      <c r="W10" s="1567">
        <f t="shared" si="2"/>
        <v>0</v>
      </c>
      <c r="X10" s="1568"/>
      <c r="Y10" s="3400" t="s">
        <v>533</v>
      </c>
      <c r="Z10" s="3401"/>
      <c r="AA10" s="1569" t="e">
        <f t="shared" ref="AA10:AA42" si="3">D10/F10</f>
        <v>#DIV/0!</v>
      </c>
      <c r="AB10" s="1569" t="e">
        <f t="shared" ref="AB10:AB42" si="4">D10/H10</f>
        <v>#DIV/0!</v>
      </c>
      <c r="AC10" s="1569" t="e">
        <f t="shared" ref="AC10:AC42" si="5">D10/J10</f>
        <v>#DIV/0!</v>
      </c>
    </row>
    <row r="11" spans="1:29" s="1218" customFormat="1" ht="15">
      <c r="A11" s="2890"/>
      <c r="B11" s="2897"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69" t="s">
        <v>535</v>
      </c>
      <c r="Q11" s="1149" t="str">
        <f t="shared" ref="Q11:Q17" si="6">B11</f>
        <v>用途</v>
      </c>
      <c r="R11" s="1566" t="s">
        <v>8</v>
      </c>
      <c r="S11" s="1567">
        <f t="shared" si="0"/>
        <v>100</v>
      </c>
      <c r="T11" s="1566" t="s">
        <v>8</v>
      </c>
      <c r="U11" s="1567">
        <f t="shared" si="1"/>
        <v>100</v>
      </c>
      <c r="V11" s="1566" t="s">
        <v>8</v>
      </c>
      <c r="W11" s="1567">
        <f t="shared" si="2"/>
        <v>100</v>
      </c>
      <c r="X11" s="1568"/>
      <c r="Y11" s="3315" t="s">
        <v>536</v>
      </c>
      <c r="Z11" s="1148" t="str">
        <f t="shared" ref="Z11:Z17" si="7">Q11</f>
        <v>用途</v>
      </c>
      <c r="AA11" s="1569">
        <f t="shared" si="3"/>
        <v>1</v>
      </c>
      <c r="AB11" s="1569">
        <f t="shared" si="4"/>
        <v>1</v>
      </c>
      <c r="AC11" s="1569">
        <f t="shared" si="5"/>
        <v>1</v>
      </c>
    </row>
    <row r="12" spans="1:29" s="1336" customFormat="1" ht="27">
      <c r="A12" s="2891"/>
      <c r="B12" s="2896" t="s">
        <v>2757</v>
      </c>
      <c r="C12" s="527"/>
      <c r="D12" s="254">
        <v>100</v>
      </c>
      <c r="E12" s="527"/>
      <c r="F12" s="254">
        <f>ROUND(100/'数据-取费表'!G16,0)</f>
        <v>120</v>
      </c>
      <c r="G12" s="527"/>
      <c r="H12" s="254">
        <f>ROUND(100/'数据-取费表'!G16,0)</f>
        <v>120</v>
      </c>
      <c r="I12" s="527"/>
      <c r="J12" s="254">
        <f>ROUND(100/'数据-取费表'!G16,0)</f>
        <v>120</v>
      </c>
      <c r="K12" s="530"/>
      <c r="L12" s="2136"/>
      <c r="M12" s="2176"/>
      <c r="N12" s="2176"/>
      <c r="O12" s="2137"/>
      <c r="P12" s="3369"/>
      <c r="Q12" s="1149" t="str">
        <f t="shared" si="6"/>
        <v>土地使用年限（年）</v>
      </c>
      <c r="R12" s="1566" t="s">
        <v>8</v>
      </c>
      <c r="S12" s="1567">
        <f t="shared" si="0"/>
        <v>120</v>
      </c>
      <c r="T12" s="1566" t="s">
        <v>8</v>
      </c>
      <c r="U12" s="1567">
        <f t="shared" si="1"/>
        <v>120</v>
      </c>
      <c r="V12" s="1566" t="s">
        <v>8</v>
      </c>
      <c r="W12" s="1567">
        <f t="shared" si="2"/>
        <v>120</v>
      </c>
      <c r="X12" s="1568"/>
      <c r="Y12" s="3315"/>
      <c r="Z12" s="1148" t="str">
        <f t="shared" si="7"/>
        <v>土地使用年限（年）</v>
      </c>
      <c r="AA12" s="1569">
        <f t="shared" si="3"/>
        <v>0.83333333333333337</v>
      </c>
      <c r="AB12" s="1569">
        <f t="shared" si="4"/>
        <v>0.83333333333333337</v>
      </c>
      <c r="AC12" s="1569">
        <f t="shared" si="5"/>
        <v>0.83333333333333337</v>
      </c>
    </row>
    <row r="13" spans="1:29" ht="15">
      <c r="A13" s="2892"/>
      <c r="B13" s="289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69"/>
      <c r="Q13" s="1149" t="str">
        <f t="shared" si="6"/>
        <v>容积率</v>
      </c>
      <c r="R13" s="1566" t="s">
        <v>8</v>
      </c>
      <c r="S13" s="1567" t="e">
        <f t="shared" si="0"/>
        <v>#N/A</v>
      </c>
      <c r="T13" s="1566" t="s">
        <v>8</v>
      </c>
      <c r="U13" s="1567" t="e">
        <f t="shared" si="1"/>
        <v>#N/A</v>
      </c>
      <c r="V13" s="1566" t="s">
        <v>8</v>
      </c>
      <c r="W13" s="1567" t="e">
        <f t="shared" si="2"/>
        <v>#N/A</v>
      </c>
      <c r="X13" s="1568"/>
      <c r="Y13" s="3315"/>
      <c r="Z13" s="1148" t="str">
        <f t="shared" si="7"/>
        <v>容积率</v>
      </c>
      <c r="AA13" s="1569" t="e">
        <f t="shared" si="3"/>
        <v>#N/A</v>
      </c>
      <c r="AB13" s="1569" t="e">
        <f t="shared" si="4"/>
        <v>#N/A</v>
      </c>
      <c r="AC13" s="1569" t="e">
        <f t="shared" si="5"/>
        <v>#N/A</v>
      </c>
    </row>
    <row r="14" spans="1:29" s="1218"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69"/>
      <c r="Q14" s="1149">
        <f t="shared" si="6"/>
        <v>111</v>
      </c>
      <c r="R14" s="1566" t="s">
        <v>8</v>
      </c>
      <c r="S14" s="1567">
        <f t="shared" si="0"/>
        <v>100</v>
      </c>
      <c r="T14" s="1566" t="s">
        <v>8</v>
      </c>
      <c r="U14" s="1567">
        <f t="shared" si="1"/>
        <v>100</v>
      </c>
      <c r="V14" s="1566" t="s">
        <v>8</v>
      </c>
      <c r="W14" s="1567">
        <f t="shared" si="2"/>
        <v>100</v>
      </c>
      <c r="X14" s="1568"/>
      <c r="Y14" s="3315"/>
      <c r="Z14" s="1148">
        <f t="shared" si="7"/>
        <v>111</v>
      </c>
      <c r="AA14" s="1569">
        <f>D14/F14</f>
        <v>1</v>
      </c>
      <c r="AB14" s="1569">
        <f>D14/H14</f>
        <v>1</v>
      </c>
      <c r="AC14" s="1569">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69"/>
      <c r="Q15" s="1149">
        <f t="shared" si="6"/>
        <v>111</v>
      </c>
      <c r="R15" s="1566" t="s">
        <v>8</v>
      </c>
      <c r="S15" s="1567">
        <f t="shared" si="0"/>
        <v>100</v>
      </c>
      <c r="T15" s="1566" t="s">
        <v>8</v>
      </c>
      <c r="U15" s="1567">
        <f t="shared" si="1"/>
        <v>100</v>
      </c>
      <c r="V15" s="1566" t="s">
        <v>8</v>
      </c>
      <c r="W15" s="1567">
        <f t="shared" si="2"/>
        <v>100</v>
      </c>
      <c r="X15" s="1568"/>
      <c r="Y15" s="3315"/>
      <c r="Z15" s="1148">
        <f t="shared" si="7"/>
        <v>111</v>
      </c>
      <c r="AA15" s="1569">
        <f t="shared" si="3"/>
        <v>1</v>
      </c>
      <c r="AB15" s="1569">
        <f t="shared" si="4"/>
        <v>1</v>
      </c>
      <c r="AC15" s="1569">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69"/>
      <c r="Q16" s="1149">
        <f t="shared" si="6"/>
        <v>111</v>
      </c>
      <c r="R16" s="1566" t="s">
        <v>8</v>
      </c>
      <c r="S16" s="1567">
        <f t="shared" si="0"/>
        <v>100</v>
      </c>
      <c r="T16" s="1566" t="s">
        <v>8</v>
      </c>
      <c r="U16" s="1567">
        <f t="shared" si="1"/>
        <v>100</v>
      </c>
      <c r="V16" s="1566" t="s">
        <v>8</v>
      </c>
      <c r="W16" s="1567">
        <f t="shared" si="2"/>
        <v>100</v>
      </c>
      <c r="X16" s="1568"/>
      <c r="Y16" s="3315"/>
      <c r="Z16" s="1148">
        <f t="shared" si="7"/>
        <v>111</v>
      </c>
      <c r="AA16" s="1569">
        <f t="shared" si="3"/>
        <v>1</v>
      </c>
      <c r="AB16" s="1569">
        <f t="shared" si="4"/>
        <v>1</v>
      </c>
      <c r="AC16" s="1569">
        <f t="shared" si="5"/>
        <v>1</v>
      </c>
    </row>
    <row r="17" spans="1:29" ht="57">
      <c r="A17" s="2886"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3" t="s">
        <v>540</v>
      </c>
      <c r="Q17" s="1570" t="str">
        <f t="shared" si="6"/>
        <v>产业集聚程度</v>
      </c>
      <c r="R17" s="1571" t="s">
        <v>8</v>
      </c>
      <c r="S17" s="1572">
        <f t="shared" si="0"/>
        <v>100</v>
      </c>
      <c r="T17" s="1571" t="s">
        <v>8</v>
      </c>
      <c r="U17" s="1572">
        <f t="shared" si="1"/>
        <v>100</v>
      </c>
      <c r="V17" s="1571" t="s">
        <v>8</v>
      </c>
      <c r="W17" s="1572">
        <f t="shared" si="2"/>
        <v>100</v>
      </c>
      <c r="X17" s="1565"/>
      <c r="Y17" s="3403"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04"/>
      <c r="Q18" s="1570"/>
      <c r="R18" s="1571"/>
      <c r="S18" s="1572"/>
      <c r="T18" s="1571"/>
      <c r="U18" s="1572"/>
      <c r="V18" s="1571"/>
      <c r="W18" s="1572"/>
      <c r="X18" s="1565"/>
      <c r="Y18" s="3404"/>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4"/>
      <c r="Q19" s="1570" t="str">
        <f>B19</f>
        <v>交通便捷度</v>
      </c>
      <c r="R19" s="1571" t="s">
        <v>8</v>
      </c>
      <c r="S19" s="1572">
        <f>F19</f>
        <v>100</v>
      </c>
      <c r="T19" s="1571" t="s">
        <v>8</v>
      </c>
      <c r="U19" s="1572">
        <f>H19</f>
        <v>100</v>
      </c>
      <c r="V19" s="1571" t="s">
        <v>8</v>
      </c>
      <c r="W19" s="1572">
        <f>J19</f>
        <v>100</v>
      </c>
      <c r="X19" s="1565"/>
      <c r="Y19" s="3404"/>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04"/>
      <c r="Q21" s="1570" t="str">
        <f t="shared" ref="Q21:Q35" si="8">B21</f>
        <v>区域土地利用方向</v>
      </c>
      <c r="R21" s="1571" t="s">
        <v>8</v>
      </c>
      <c r="S21" s="1572">
        <f>F21</f>
        <v>100</v>
      </c>
      <c r="T21" s="1571" t="s">
        <v>8</v>
      </c>
      <c r="U21" s="1572">
        <f>H21</f>
        <v>100</v>
      </c>
      <c r="V21" s="1571" t="s">
        <v>8</v>
      </c>
      <c r="W21" s="1572">
        <f>J21</f>
        <v>100</v>
      </c>
      <c r="X21" s="1565"/>
      <c r="Y21" s="3404"/>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0"/>
      <c r="M22" s="2132"/>
      <c r="N22" s="2132"/>
      <c r="O22" s="2139"/>
      <c r="P22" s="3404"/>
      <c r="Q22" s="1570"/>
      <c r="R22" s="1571"/>
      <c r="S22" s="1572"/>
      <c r="T22" s="1571"/>
      <c r="U22" s="1572"/>
      <c r="V22" s="1571"/>
      <c r="W22" s="1572"/>
      <c r="X22" s="1565"/>
      <c r="Y22" s="3404"/>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4"/>
      <c r="Q23" s="1570" t="str">
        <f t="shared" si="8"/>
        <v>环境状况</v>
      </c>
      <c r="R23" s="1571" t="s">
        <v>8</v>
      </c>
      <c r="S23" s="1572">
        <f>F23</f>
        <v>100</v>
      </c>
      <c r="T23" s="1571" t="s">
        <v>8</v>
      </c>
      <c r="U23" s="1572">
        <f>H23</f>
        <v>100</v>
      </c>
      <c r="V23" s="1571" t="s">
        <v>8</v>
      </c>
      <c r="W23" s="1572">
        <f>J23</f>
        <v>100</v>
      </c>
      <c r="X23" s="1565"/>
      <c r="Y23" s="3404"/>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04"/>
      <c r="Q24" s="1570"/>
      <c r="R24" s="1571"/>
      <c r="S24" s="1572"/>
      <c r="T24" s="1571"/>
      <c r="U24" s="1572"/>
      <c r="V24" s="1571"/>
      <c r="W24" s="1572"/>
      <c r="X24" s="1565"/>
      <c r="Y24" s="3404"/>
      <c r="Z24" s="1573"/>
      <c r="AA24" s="1574">
        <v>1</v>
      </c>
      <c r="AB24" s="1574">
        <v>1</v>
      </c>
      <c r="AC24" s="1574">
        <v>1</v>
      </c>
    </row>
    <row r="25" spans="1:29" s="1218" customFormat="1" ht="42.75">
      <c r="A25" s="576"/>
      <c r="B25" s="2570"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4"/>
      <c r="Q25" s="1149" t="str">
        <f t="shared" si="8"/>
        <v>公共配套设施</v>
      </c>
      <c r="R25" s="1566" t="s">
        <v>8</v>
      </c>
      <c r="S25" s="1567">
        <f>F25</f>
        <v>100</v>
      </c>
      <c r="T25" s="1566" t="s">
        <v>8</v>
      </c>
      <c r="U25" s="1567">
        <f>H25</f>
        <v>100</v>
      </c>
      <c r="V25" s="1566" t="s">
        <v>8</v>
      </c>
      <c r="W25" s="1567">
        <f>J25</f>
        <v>100</v>
      </c>
      <c r="X25" s="1568"/>
      <c r="Y25" s="3404"/>
      <c r="Z25" s="1148" t="str">
        <f>Q25</f>
        <v>公共配套设施</v>
      </c>
      <c r="AA25" s="1574">
        <f>D25/F25</f>
        <v>1</v>
      </c>
      <c r="AB25" s="1574">
        <f>D25/H25</f>
        <v>1</v>
      </c>
      <c r="AC25" s="1574">
        <f>D25/J25</f>
        <v>1</v>
      </c>
    </row>
    <row r="26" spans="1:29" s="1218" customFormat="1" ht="15">
      <c r="A26" s="576"/>
      <c r="B26" s="594"/>
      <c r="C26" s="2569"/>
      <c r="D26" s="554"/>
      <c r="E26" s="553"/>
      <c r="F26" s="554"/>
      <c r="G26" s="553"/>
      <c r="H26" s="554"/>
      <c r="I26" s="575"/>
      <c r="J26" s="554"/>
      <c r="K26" s="530"/>
      <c r="L26" s="2133"/>
      <c r="M26" s="2134"/>
      <c r="N26" s="2134"/>
      <c r="O26" s="2135"/>
      <c r="P26" s="3404"/>
      <c r="Q26" s="1149"/>
      <c r="R26" s="1566"/>
      <c r="S26" s="1567"/>
      <c r="T26" s="1566"/>
      <c r="U26" s="1567"/>
      <c r="V26" s="1566"/>
      <c r="W26" s="1567"/>
      <c r="X26" s="1568"/>
      <c r="Y26" s="3404"/>
      <c r="Z26" s="1148"/>
      <c r="AA26" s="1569">
        <v>1</v>
      </c>
      <c r="AB26" s="1569">
        <v>1</v>
      </c>
      <c r="AC26" s="1569">
        <v>1</v>
      </c>
    </row>
    <row r="27" spans="1:29" s="1218" customFormat="1" ht="28.5">
      <c r="A27" s="576"/>
      <c r="B27" s="2570"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4"/>
      <c r="Q27" s="2555" t="str">
        <f t="shared" ref="Q27" si="9">B27</f>
        <v>基础设施水平</v>
      </c>
      <c r="R27" s="1566" t="s">
        <v>8</v>
      </c>
      <c r="S27" s="1567">
        <f>F27</f>
        <v>100</v>
      </c>
      <c r="T27" s="1566" t="s">
        <v>8</v>
      </c>
      <c r="U27" s="1567">
        <f>H27</f>
        <v>100</v>
      </c>
      <c r="V27" s="1566" t="s">
        <v>8</v>
      </c>
      <c r="W27" s="1567">
        <f>J27</f>
        <v>100</v>
      </c>
      <c r="X27" s="1568"/>
      <c r="Y27" s="3404"/>
      <c r="Z27" s="2552" t="str">
        <f>Q27</f>
        <v>基础设施水平</v>
      </c>
      <c r="AA27" s="1574">
        <f>D27/F27</f>
        <v>1</v>
      </c>
      <c r="AB27" s="1574">
        <f>D27/H27</f>
        <v>1</v>
      </c>
      <c r="AC27" s="1574">
        <f>D27/J27</f>
        <v>1</v>
      </c>
    </row>
    <row r="28" spans="1:29" s="1218" customFormat="1" ht="15">
      <c r="A28" s="576"/>
      <c r="B28" s="594"/>
      <c r="C28" s="2569"/>
      <c r="D28" s="554"/>
      <c r="E28" s="578"/>
      <c r="F28" s="554"/>
      <c r="G28" s="578"/>
      <c r="H28" s="554"/>
      <c r="I28" s="578"/>
      <c r="J28" s="554"/>
      <c r="K28" s="530"/>
      <c r="L28" s="2133"/>
      <c r="M28" s="2134"/>
      <c r="N28" s="2134"/>
      <c r="O28" s="2135"/>
      <c r="P28" s="3404"/>
      <c r="Q28" s="2555"/>
      <c r="R28" s="1566"/>
      <c r="S28" s="1567"/>
      <c r="T28" s="1566"/>
      <c r="U28" s="1567"/>
      <c r="V28" s="1566"/>
      <c r="W28" s="1567"/>
      <c r="X28" s="1568"/>
      <c r="Y28" s="3404"/>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4"/>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4"/>
      <c r="Z29" s="1573" t="str">
        <f t="shared" ref="Z29:Z42" si="13">Q29</f>
        <v>临街状况</v>
      </c>
      <c r="AA29" s="1574">
        <f t="shared" si="3"/>
        <v>1</v>
      </c>
      <c r="AB29" s="1574">
        <f t="shared" si="4"/>
        <v>1</v>
      </c>
      <c r="AC29" s="1574">
        <f t="shared" si="5"/>
        <v>1</v>
      </c>
    </row>
    <row r="30" spans="1:29" ht="27">
      <c r="A30" s="531"/>
      <c r="B30" s="920"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4"/>
      <c r="Q30" s="1570" t="str">
        <f t="shared" si="8"/>
        <v>毗邻道路的类型与等级</v>
      </c>
      <c r="R30" s="1571" t="s">
        <v>8</v>
      </c>
      <c r="S30" s="1572">
        <f t="shared" si="10"/>
        <v>100</v>
      </c>
      <c r="T30" s="1571" t="s">
        <v>8</v>
      </c>
      <c r="U30" s="1572">
        <f t="shared" si="11"/>
        <v>100</v>
      </c>
      <c r="V30" s="1571" t="s">
        <v>8</v>
      </c>
      <c r="W30" s="1572">
        <f t="shared" si="12"/>
        <v>100</v>
      </c>
      <c r="X30" s="1565"/>
      <c r="Y30" s="3404"/>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04"/>
      <c r="Q31" s="1570"/>
      <c r="R31" s="1571"/>
      <c r="S31" s="1572"/>
      <c r="T31" s="1571"/>
      <c r="U31" s="1572"/>
      <c r="V31" s="1571"/>
      <c r="W31" s="1572"/>
      <c r="X31" s="1565"/>
      <c r="Y31" s="3404"/>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4"/>
      <c r="Q32" s="1570" t="str">
        <f t="shared" si="8"/>
        <v>土地级别</v>
      </c>
      <c r="R32" s="1571" t="s">
        <v>8</v>
      </c>
      <c r="S32" s="1572">
        <f t="shared" si="10"/>
        <v>100</v>
      </c>
      <c r="T32" s="1571" t="s">
        <v>8</v>
      </c>
      <c r="U32" s="1572">
        <f t="shared" si="11"/>
        <v>100</v>
      </c>
      <c r="V32" s="1571" t="s">
        <v>8</v>
      </c>
      <c r="W32" s="1572">
        <f t="shared" si="12"/>
        <v>100</v>
      </c>
      <c r="X32" s="1565"/>
      <c r="Y32" s="3404"/>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4"/>
      <c r="Q33" s="1570">
        <f t="shared" si="8"/>
        <v>111</v>
      </c>
      <c r="R33" s="1571" t="s">
        <v>8</v>
      </c>
      <c r="S33" s="1572">
        <f t="shared" si="10"/>
        <v>100</v>
      </c>
      <c r="T33" s="1571" t="s">
        <v>8</v>
      </c>
      <c r="U33" s="1572">
        <f t="shared" si="11"/>
        <v>100</v>
      </c>
      <c r="V33" s="1571" t="s">
        <v>8</v>
      </c>
      <c r="W33" s="1572">
        <f t="shared" si="12"/>
        <v>100</v>
      </c>
      <c r="X33" s="1565"/>
      <c r="Y33" s="3404"/>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5" t="s">
        <v>550</v>
      </c>
      <c r="Q34" s="1570">
        <f t="shared" si="8"/>
        <v>111</v>
      </c>
      <c r="R34" s="1571" t="s">
        <v>8</v>
      </c>
      <c r="S34" s="1572">
        <f t="shared" si="10"/>
        <v>100</v>
      </c>
      <c r="T34" s="1571" t="s">
        <v>8</v>
      </c>
      <c r="U34" s="1572">
        <f t="shared" si="11"/>
        <v>100</v>
      </c>
      <c r="V34" s="1571" t="s">
        <v>8</v>
      </c>
      <c r="W34" s="1572">
        <f t="shared" si="12"/>
        <v>100</v>
      </c>
      <c r="X34" s="1565"/>
      <c r="Y34" s="3406" t="s">
        <v>550</v>
      </c>
      <c r="Z34" s="1573">
        <f t="shared" si="13"/>
        <v>111</v>
      </c>
      <c r="AA34" s="1574">
        <f t="shared" si="3"/>
        <v>1</v>
      </c>
      <c r="AB34" s="1574">
        <f t="shared" si="4"/>
        <v>1</v>
      </c>
      <c r="AC34" s="1574">
        <f t="shared" si="5"/>
        <v>1</v>
      </c>
    </row>
    <row r="35" spans="1:29" s="1337"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6"/>
      <c r="Q35" s="1570">
        <f t="shared" si="8"/>
        <v>111</v>
      </c>
      <c r="R35" s="1575" t="s">
        <v>8</v>
      </c>
      <c r="S35" s="1576">
        <f t="shared" si="10"/>
        <v>100</v>
      </c>
      <c r="T35" s="1575" t="s">
        <v>8</v>
      </c>
      <c r="U35" s="1576">
        <f t="shared" si="11"/>
        <v>100</v>
      </c>
      <c r="V35" s="1575" t="s">
        <v>8</v>
      </c>
      <c r="W35" s="1576">
        <f t="shared" si="12"/>
        <v>100</v>
      </c>
      <c r="X35" s="1577"/>
      <c r="Y35" s="3406"/>
      <c r="Z35" s="1578">
        <f t="shared" si="13"/>
        <v>111</v>
      </c>
      <c r="AA35" s="1574">
        <f t="shared" si="3"/>
        <v>1</v>
      </c>
      <c r="AB35" s="1574">
        <f t="shared" si="4"/>
        <v>1</v>
      </c>
      <c r="AC35" s="1574">
        <f t="shared" si="5"/>
        <v>1</v>
      </c>
    </row>
    <row r="36" spans="1:29" ht="15">
      <c r="A36" s="288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6"/>
      <c r="Q36" s="1570" t="str">
        <f>B36</f>
        <v>宗地面积</v>
      </c>
      <c r="R36" s="1571" t="s">
        <v>8</v>
      </c>
      <c r="S36" s="1572" t="e">
        <f t="shared" si="10"/>
        <v>#N/A</v>
      </c>
      <c r="T36" s="1571" t="s">
        <v>8</v>
      </c>
      <c r="U36" s="1572" t="e">
        <f t="shared" si="11"/>
        <v>#N/A</v>
      </c>
      <c r="V36" s="1571" t="s">
        <v>8</v>
      </c>
      <c r="W36" s="1572" t="e">
        <f t="shared" si="12"/>
        <v>#N/A</v>
      </c>
      <c r="X36" s="1565"/>
      <c r="Y36" s="3406"/>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6"/>
      <c r="Q37" s="1570" t="str">
        <f t="shared" ref="Q37:Q42" si="14">B37</f>
        <v>宗地形状</v>
      </c>
      <c r="R37" s="1571" t="s">
        <v>8</v>
      </c>
      <c r="S37" s="1572">
        <f t="shared" si="10"/>
        <v>100</v>
      </c>
      <c r="T37" s="1571" t="s">
        <v>8</v>
      </c>
      <c r="U37" s="1572">
        <f t="shared" si="11"/>
        <v>100</v>
      </c>
      <c r="V37" s="1571" t="s">
        <v>8</v>
      </c>
      <c r="W37" s="1572">
        <f t="shared" si="12"/>
        <v>100</v>
      </c>
      <c r="X37" s="1565"/>
      <c r="Y37" s="3406"/>
      <c r="Z37" s="1573" t="str">
        <f t="shared" si="13"/>
        <v>宗地形状</v>
      </c>
      <c r="AA37" s="1574">
        <f t="shared" si="3"/>
        <v>1</v>
      </c>
      <c r="AB37" s="1574">
        <f t="shared" si="4"/>
        <v>1</v>
      </c>
      <c r="AC37" s="1574">
        <f t="shared" si="5"/>
        <v>1</v>
      </c>
    </row>
    <row r="38" spans="1:29" s="1218"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6"/>
      <c r="Q38" s="1570" t="str">
        <f t="shared" si="14"/>
        <v>宗地开发程度</v>
      </c>
      <c r="R38" s="1566" t="s">
        <v>8</v>
      </c>
      <c r="S38" s="1567">
        <f t="shared" si="10"/>
        <v>100</v>
      </c>
      <c r="T38" s="1566" t="s">
        <v>8</v>
      </c>
      <c r="U38" s="1567">
        <f t="shared" si="11"/>
        <v>100</v>
      </c>
      <c r="V38" s="1566" t="s">
        <v>8</v>
      </c>
      <c r="W38" s="1567">
        <f t="shared" si="12"/>
        <v>100</v>
      </c>
      <c r="X38" s="1568"/>
      <c r="Y38" s="3406"/>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6" t="s">
        <v>601</v>
      </c>
      <c r="Q39" s="1570" t="str">
        <f t="shared" si="14"/>
        <v>工程地质条件</v>
      </c>
      <c r="R39" s="1571" t="s">
        <v>8</v>
      </c>
      <c r="S39" s="1572">
        <f t="shared" si="10"/>
        <v>100</v>
      </c>
      <c r="T39" s="1571" t="s">
        <v>8</v>
      </c>
      <c r="U39" s="1572">
        <f t="shared" si="11"/>
        <v>100</v>
      </c>
      <c r="V39" s="1571" t="s">
        <v>8</v>
      </c>
      <c r="W39" s="1572">
        <f t="shared" si="12"/>
        <v>100</v>
      </c>
      <c r="X39" s="1565"/>
      <c r="Y39" s="3406"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6"/>
      <c r="Q40" s="1570">
        <f t="shared" si="14"/>
        <v>111</v>
      </c>
      <c r="R40" s="1571" t="s">
        <v>8</v>
      </c>
      <c r="S40" s="1572">
        <f t="shared" si="10"/>
        <v>100</v>
      </c>
      <c r="T40" s="1571" t="s">
        <v>8</v>
      </c>
      <c r="U40" s="1572">
        <f t="shared" si="11"/>
        <v>100</v>
      </c>
      <c r="V40" s="1571" t="s">
        <v>8</v>
      </c>
      <c r="W40" s="1572">
        <f t="shared" si="12"/>
        <v>100</v>
      </c>
      <c r="X40" s="1565"/>
      <c r="Y40" s="3406"/>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6"/>
      <c r="Q41" s="1570">
        <f t="shared" si="14"/>
        <v>111</v>
      </c>
      <c r="R41" s="1571" t="s">
        <v>8</v>
      </c>
      <c r="S41" s="1572">
        <f t="shared" si="10"/>
        <v>100</v>
      </c>
      <c r="T41" s="1571" t="s">
        <v>8</v>
      </c>
      <c r="U41" s="1572">
        <f t="shared" si="11"/>
        <v>100</v>
      </c>
      <c r="V41" s="1571" t="s">
        <v>8</v>
      </c>
      <c r="W41" s="1572">
        <f t="shared" si="12"/>
        <v>100</v>
      </c>
      <c r="X41" s="1565"/>
      <c r="Y41" s="3406"/>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6"/>
      <c r="Q42" s="1570">
        <f t="shared" si="14"/>
        <v>111</v>
      </c>
      <c r="R42" s="1575" t="s">
        <v>8</v>
      </c>
      <c r="S42" s="1576">
        <f t="shared" si="10"/>
        <v>100</v>
      </c>
      <c r="T42" s="1575" t="s">
        <v>8</v>
      </c>
      <c r="U42" s="1576">
        <f t="shared" si="11"/>
        <v>100</v>
      </c>
      <c r="V42" s="1575" t="s">
        <v>8</v>
      </c>
      <c r="W42" s="1576">
        <f t="shared" si="12"/>
        <v>100</v>
      </c>
      <c r="X42" s="1577"/>
      <c r="Y42" s="3406"/>
      <c r="Z42" s="1578">
        <f t="shared" si="13"/>
        <v>111</v>
      </c>
      <c r="AA42" s="1574">
        <f t="shared" si="3"/>
        <v>1</v>
      </c>
      <c r="AB42" s="1574">
        <f t="shared" si="4"/>
        <v>1</v>
      </c>
      <c r="AC42" s="1574">
        <f t="shared" si="5"/>
        <v>1</v>
      </c>
    </row>
    <row r="43" spans="1:29" ht="15">
      <c r="A43" s="606" t="s">
        <v>556</v>
      </c>
      <c r="B43" s="607" t="s">
        <v>2935</v>
      </c>
      <c r="C43" s="608" t="s">
        <v>1</v>
      </c>
      <c r="D43" s="609"/>
      <c r="E43" s="610"/>
      <c r="F43" s="611"/>
      <c r="G43" s="612"/>
      <c r="H43" s="613"/>
      <c r="I43" s="610"/>
      <c r="J43" s="613"/>
      <c r="K43" s="1338"/>
      <c r="L43" s="2142"/>
      <c r="M43" s="2132"/>
      <c r="N43" s="2132"/>
      <c r="O43" s="2143"/>
      <c r="P43" s="3369" t="str">
        <f>A43</f>
        <v>成交单价</v>
      </c>
      <c r="Q43" s="3369"/>
      <c r="R43" s="3370">
        <f>E43</f>
        <v>0</v>
      </c>
      <c r="S43" s="3370"/>
      <c r="T43" s="3370">
        <f>G43</f>
        <v>0</v>
      </c>
      <c r="U43" s="3370"/>
      <c r="V43" s="3370">
        <f>I43</f>
        <v>0</v>
      </c>
      <c r="W43" s="3370"/>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39"/>
      <c r="L44" s="2142"/>
      <c r="M44" s="2132"/>
      <c r="N44" s="2132"/>
      <c r="O44" s="2143"/>
      <c r="P44" s="3369" t="str">
        <f>A44</f>
        <v>比较价格（元/平方米）</v>
      </c>
      <c r="Q44" s="3369"/>
      <c r="R44" s="3371" t="e">
        <f>ROUND(PRODUCT(R43,AA9:AA42),0)</f>
        <v>#DIV/0!</v>
      </c>
      <c r="S44" s="3371"/>
      <c r="T44" s="3371" t="e">
        <f>ROUND(PRODUCT(T43,AB9:AB42),0)</f>
        <v>#DIV/0!</v>
      </c>
      <c r="U44" s="3371"/>
      <c r="V44" s="3371" t="e">
        <f>ROUND(PRODUCT(V43,AC9:AC42),0)</f>
        <v>#DIV/0!</v>
      </c>
      <c r="W44" s="3371"/>
      <c r="X44" s="1557"/>
      <c r="Y44" s="1557"/>
      <c r="Z44" s="1557"/>
      <c r="AA44" s="1557"/>
      <c r="AB44" s="1557"/>
      <c r="AC44" s="1557"/>
    </row>
    <row r="45" spans="1:29" ht="15.75" thickBot="1">
      <c r="A45" s="620" t="s">
        <v>2936</v>
      </c>
      <c r="B45" s="621"/>
      <c r="C45" s="622" t="e">
        <f>R45</f>
        <v>#DIV/0!</v>
      </c>
      <c r="D45" s="622"/>
      <c r="E45" s="622"/>
      <c r="F45" s="622"/>
      <c r="G45" s="622"/>
      <c r="H45" s="622"/>
      <c r="I45" s="622"/>
      <c r="J45" s="622"/>
      <c r="K45" s="1340"/>
      <c r="L45" s="2142"/>
      <c r="M45" s="2132"/>
      <c r="N45" s="2132"/>
      <c r="O45" s="2143"/>
      <c r="P45" s="3366" t="str">
        <f>A45</f>
        <v>估价对象XX用房的比较价格（楼面单价，元/平方米）</v>
      </c>
      <c r="Q45" s="3367"/>
      <c r="R45" s="3368" t="e">
        <f>ROUND(AVERAGE(R44:V44),0)</f>
        <v>#DIV/0!</v>
      </c>
      <c r="S45" s="3368"/>
      <c r="T45" s="3368"/>
      <c r="U45" s="3368"/>
      <c r="V45" s="3368"/>
      <c r="W45" s="3368"/>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1725</v>
      </c>
      <c r="D52" s="2225" t="s">
        <v>2294</v>
      </c>
      <c r="E52" s="630" t="s">
        <v>562</v>
      </c>
      <c r="F52" s="1949" t="s">
        <v>563</v>
      </c>
      <c r="G52" s="3413" t="s">
        <v>2285</v>
      </c>
      <c r="H52" s="3414"/>
      <c r="I52" s="1950" t="s">
        <v>1946</v>
      </c>
      <c r="J52" s="1553" t="str">
        <f>项目基本情况!F41</f>
        <v>广东省江门市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222437.94999999998</v>
      </c>
      <c r="F53" s="1948" t="e">
        <f t="shared" ref="F53:F62" si="15">ROUND(B53*E53/10000,0)</f>
        <v>#DIV/0!</v>
      </c>
      <c r="G53" s="3415"/>
      <c r="H53" s="3416"/>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17"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17"/>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17"/>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17"/>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74458</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88890.36</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2019-1-1</v>
      </c>
      <c r="D65" s="2775">
        <f>EDATE(C65,-3)</f>
        <v>43374</v>
      </c>
      <c r="E65" s="2775">
        <f t="shared" ref="E65:N65" si="18">EDATE(D65,-3)</f>
        <v>43282</v>
      </c>
      <c r="F65" s="2775">
        <f t="shared" si="18"/>
        <v>43191</v>
      </c>
      <c r="G65" s="2775">
        <f t="shared" si="18"/>
        <v>43101</v>
      </c>
      <c r="H65" s="2775">
        <f t="shared" si="18"/>
        <v>43009</v>
      </c>
      <c r="I65" s="2775">
        <f t="shared" si="18"/>
        <v>42917</v>
      </c>
      <c r="J65" s="2775">
        <f t="shared" si="18"/>
        <v>42826</v>
      </c>
      <c r="K65" s="2775">
        <f t="shared" si="18"/>
        <v>42736</v>
      </c>
      <c r="L65" s="2775">
        <f t="shared" si="18"/>
        <v>42644</v>
      </c>
      <c r="M65" s="2775">
        <f t="shared" si="18"/>
        <v>42552</v>
      </c>
      <c r="N65" s="2775">
        <f t="shared" si="18"/>
        <v>42461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45" t="s">
        <v>2533</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2649</v>
      </c>
      <c r="B68" s="478" t="str">
        <f>"北京市平均增长率"&amp;TEXT(基准地价!P24,"0.00%")</f>
        <v>北京市平均增长率1.36%</v>
      </c>
      <c r="C68" s="892">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74" t="s">
        <v>2550</v>
      </c>
      <c r="C95" s="2575" t="s">
        <v>2551</v>
      </c>
      <c r="D95" s="2575" t="s">
        <v>2552</v>
      </c>
      <c r="E95" s="2575" t="s">
        <v>2553</v>
      </c>
      <c r="F95" s="2575" t="s">
        <v>2554</v>
      </c>
      <c r="G95" s="2575"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2" t="s">
        <v>2762</v>
      </c>
      <c r="S1" s="2912" t="s">
        <v>2763</v>
      </c>
      <c r="T1" s="2912" t="s">
        <v>2784</v>
      </c>
      <c r="U1" s="2912" t="s">
        <v>2785</v>
      </c>
      <c r="V1" s="2912" t="s">
        <v>2786</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2937</v>
      </c>
      <c r="G3" s="1037">
        <f>IF(F3="宗地容积率",'数据-汇总表'!I4,IF(F3="估价对象容积率",'数据-汇总表'!I6,'数据-汇总表'!I7))</f>
        <v>2.5299999999999998</v>
      </c>
      <c r="H3" s="1412" t="s">
        <v>929</v>
      </c>
      <c r="I3" s="1038">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094" t="e">
        <f>ROUND(IF(F16="增加",C6+C16,C6-C16),0)</f>
        <v>#DIV/0!</v>
      </c>
      <c r="E5" s="309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7"/>
      <c r="AE6" s="1417"/>
      <c r="AF6" s="1417"/>
      <c r="AG6" s="1417"/>
      <c r="AH6" s="1417"/>
      <c r="AI6" s="1417"/>
      <c r="AJ6" s="1418"/>
    </row>
    <row r="7" spans="1:39" ht="24">
      <c r="A7" s="3427" t="str">
        <f>IF(E2="商业",IF(C8="不临58条商业街","",2),"")</f>
        <v/>
      </c>
      <c r="B7" s="1425" t="s">
        <v>932</v>
      </c>
      <c r="C7" s="1041" t="e">
        <f>IF(C8="不临58条商业街",1,ROUND(1+(1.6*E8+1.2*E9+0.8*E10+0.4*E11)*C9,4))</f>
        <v>#DIV/0!</v>
      </c>
      <c r="D7" s="1426" t="s">
        <v>933</v>
      </c>
      <c r="E7" s="1042"/>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2765</v>
      </c>
      <c r="X7" s="2903">
        <f>G2</f>
        <v>0</v>
      </c>
      <c r="Y7" s="2903" t="s">
        <v>2766</v>
      </c>
      <c r="Z7" s="2904">
        <f>G3</f>
        <v>2.5299999999999998</v>
      </c>
      <c r="AA7" s="2190"/>
      <c r="AB7" s="2190"/>
      <c r="AC7" s="2191"/>
      <c r="AD7" s="2905"/>
      <c r="AE7" s="2905"/>
      <c r="AF7" s="2905"/>
      <c r="AG7" s="2905"/>
      <c r="AH7" s="2905"/>
      <c r="AI7" s="2905"/>
      <c r="AJ7" s="2906"/>
    </row>
    <row r="8" spans="1:39" ht="15">
      <c r="A8" s="3428"/>
      <c r="B8" s="1412" t="s">
        <v>934</v>
      </c>
      <c r="C8" s="1527"/>
      <c r="D8" s="1043" t="s">
        <v>935</v>
      </c>
      <c r="E8" s="1044"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19" t="s">
        <v>2783</v>
      </c>
      <c r="X8" s="3420"/>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28"/>
      <c r="B9" s="1412" t="s">
        <v>937</v>
      </c>
      <c r="C9" s="1045">
        <f>SUMIF(修正!C59:C119,C8,修正!E59:E119)</f>
        <v>0</v>
      </c>
      <c r="D9" s="1046" t="s">
        <v>938</v>
      </c>
      <c r="E9" s="1046"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18" t="s">
        <v>2779</v>
      </c>
      <c r="X9" s="2907" t="s">
        <v>2780</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8"/>
      <c r="B10" s="1412" t="s">
        <v>940</v>
      </c>
      <c r="C10" s="1046">
        <f>SUMIF(修正!C59:C119,C8,修正!F59:F119)</f>
        <v>0</v>
      </c>
      <c r="D10" s="1046" t="s">
        <v>941</v>
      </c>
      <c r="E10" s="1046"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1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8"/>
      <c r="B11" s="1433" t="s">
        <v>943</v>
      </c>
      <c r="C11" s="1047">
        <f>C10/4</f>
        <v>0</v>
      </c>
      <c r="D11" s="1047" t="s">
        <v>944</v>
      </c>
      <c r="E11" s="1047"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18" t="s">
        <v>2781</v>
      </c>
      <c r="X11" s="1046" t="s">
        <v>2766</v>
      </c>
      <c r="Y11" s="1651">
        <f>$G$3</f>
        <v>2.5299999999999998</v>
      </c>
      <c r="Z11" s="1651">
        <f t="shared" ref="Z11:AJ11" si="3">$G$3</f>
        <v>2.5299999999999998</v>
      </c>
      <c r="AA11" s="1651">
        <f t="shared" si="3"/>
        <v>2.5299999999999998</v>
      </c>
      <c r="AB11" s="1651">
        <f t="shared" si="3"/>
        <v>2.5299999999999998</v>
      </c>
      <c r="AC11" s="1651">
        <f t="shared" si="3"/>
        <v>2.5299999999999998</v>
      </c>
      <c r="AD11" s="1651">
        <f t="shared" si="3"/>
        <v>2.5299999999999998</v>
      </c>
      <c r="AE11" s="1651">
        <f t="shared" si="3"/>
        <v>2.5299999999999998</v>
      </c>
      <c r="AF11" s="1651">
        <f t="shared" si="3"/>
        <v>2.5299999999999998</v>
      </c>
      <c r="AG11" s="1651">
        <f t="shared" si="3"/>
        <v>2.5299999999999998</v>
      </c>
      <c r="AH11" s="1651">
        <f t="shared" si="3"/>
        <v>2.5299999999999998</v>
      </c>
      <c r="AI11" s="1651">
        <f t="shared" si="3"/>
        <v>2.5299999999999998</v>
      </c>
      <c r="AJ11" s="1651">
        <f t="shared" si="3"/>
        <v>2.5299999999999998</v>
      </c>
    </row>
    <row r="12" spans="1:39" ht="25.5" thickBot="1">
      <c r="A12" s="3427" t="s">
        <v>1872</v>
      </c>
      <c r="B12" s="1437" t="s">
        <v>946</v>
      </c>
      <c r="C12" s="1041">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18"/>
      <c r="X12" s="2910" t="s">
        <v>2782</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9"/>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13">
        <v>12</v>
      </c>
      <c r="S13" s="2902"/>
      <c r="T13" s="2913" t="e">
        <f t="shared" si="0"/>
        <v>#DIV/0!</v>
      </c>
      <c r="U13" s="2902"/>
      <c r="V13" s="2913" t="e">
        <f t="shared" si="1"/>
        <v>#DIV/0!</v>
      </c>
      <c r="W13" s="3418"/>
      <c r="X13" s="2910"/>
      <c r="Y13" s="2909">
        <f>(-0.163*(Y12^2)-0.59*Y12+7617)*(10^(-4))/Y11</f>
        <v>0.30106719367588936</v>
      </c>
      <c r="Z13" s="2909">
        <f t="shared" ref="Z13:AJ13" si="5">(-0.163*(Z12^2)-0.59*Z12+7617)*(10^(-4))/Z11</f>
        <v>0.30106719367588936</v>
      </c>
      <c r="AA13" s="2909">
        <f t="shared" si="5"/>
        <v>0.30106719367588936</v>
      </c>
      <c r="AB13" s="2909">
        <f t="shared" si="5"/>
        <v>0.30106719367588936</v>
      </c>
      <c r="AC13" s="2909">
        <f t="shared" si="5"/>
        <v>0.30106719367588936</v>
      </c>
      <c r="AD13" s="2909">
        <f t="shared" si="5"/>
        <v>0.30106719367588936</v>
      </c>
      <c r="AE13" s="2909">
        <f t="shared" si="5"/>
        <v>0.30106719367588936</v>
      </c>
      <c r="AF13" s="2909">
        <f t="shared" si="5"/>
        <v>0.30106719367588936</v>
      </c>
      <c r="AG13" s="2909">
        <f t="shared" si="5"/>
        <v>0.30106719367588936</v>
      </c>
      <c r="AH13" s="2909">
        <f t="shared" si="5"/>
        <v>0.30106719367588936</v>
      </c>
      <c r="AI13" s="2909">
        <f t="shared" si="5"/>
        <v>0.30106719367588936</v>
      </c>
      <c r="AJ13" s="2909">
        <f t="shared" si="5"/>
        <v>0.30106719367588936</v>
      </c>
    </row>
    <row r="14" spans="1:39" ht="12.75" customHeight="1" thickBot="1">
      <c r="A14" s="3429"/>
      <c r="B14" s="1449"/>
      <c r="C14" s="1450"/>
      <c r="D14" s="1451"/>
      <c r="E14" s="1451"/>
      <c r="F14" s="1452"/>
      <c r="G14" s="1453" t="s">
        <v>949</v>
      </c>
      <c r="H14" s="1454"/>
      <c r="I14" s="1455"/>
      <c r="J14" s="1456"/>
      <c r="K14" s="1399"/>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30"/>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13">
        <v>14</v>
      </c>
      <c r="S15" s="2902"/>
      <c r="T15" s="2913" t="e">
        <f t="shared" si="0"/>
        <v>#DIV/0!</v>
      </c>
      <c r="U15" s="2902"/>
      <c r="V15" s="2913" t="e">
        <f t="shared" si="1"/>
        <v>#DIV/0!</v>
      </c>
      <c r="W15" s="2187"/>
      <c r="X15" s="2187"/>
      <c r="Y15" s="2187"/>
      <c r="Z15" s="2187"/>
      <c r="AA15" s="2187"/>
      <c r="AB15" s="2187"/>
      <c r="AC15" s="2188"/>
    </row>
    <row r="16" spans="1:39" ht="24">
      <c r="A16" s="3427"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28"/>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8" t="s">
        <v>956</v>
      </c>
      <c r="C18" s="2749">
        <f>SUMIF(修正!C18:C39,E3,修正!E18:E39)</f>
        <v>0</v>
      </c>
      <c r="D18" s="2750"/>
      <c r="E18" s="2751"/>
      <c r="F18" s="2752"/>
      <c r="G18" s="2746"/>
      <c r="H18" s="2746"/>
      <c r="I18" s="2746"/>
      <c r="J18" s="2753"/>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43475</v>
      </c>
      <c r="H19" s="1473" t="s">
        <v>2938</v>
      </c>
      <c r="I19" s="2760" t="str">
        <f>IF(H19="季度增幅（自定义）",SUMIF(N21:N24,E2,O21:O24),"")</f>
        <v/>
      </c>
      <c r="J19" s="1469"/>
      <c r="K19" s="1479"/>
      <c r="L19" s="3013" t="s">
        <v>2841</v>
      </c>
      <c r="M19" s="3014">
        <f>ROUND(SUMIF(地价!B2:F2,E2,地价!B25:F25),0)</f>
        <v>0</v>
      </c>
      <c r="N19" s="2762" t="s">
        <v>1677</v>
      </c>
      <c r="O19" s="2761">
        <f>ROUNDDOWN(DATEDIF(E19,G19,"M")/3,0)</f>
        <v>20</v>
      </c>
      <c r="P19" s="1594"/>
      <c r="R19" s="2901"/>
      <c r="S19" s="2901"/>
      <c r="T19" s="2901"/>
      <c r="U19" s="2901"/>
      <c r="V19" s="2901"/>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4" t="s">
        <v>1837</v>
      </c>
      <c r="B20" s="2755" t="s">
        <v>972</v>
      </c>
      <c r="C20" s="2756" t="e">
        <f>ROUND(POWER(1+G20,J20-I20)*(POWER(1+G20,I20)-1)/(POWER(1+G20,J20)-1),4)</f>
        <v>#DIV/0!</v>
      </c>
      <c r="D20" s="2757" t="s">
        <v>973</v>
      </c>
      <c r="E20" s="3069">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79"/>
      <c r="L20" s="3015" t="s">
        <v>2842</v>
      </c>
      <c r="M20" s="3016">
        <f>ROUND(SUMPRODUCT((地价!A4:A25=YEAR(G19)&amp;"-"&amp;ROUNDUP(MONTH(G19)/3,0))*(地价!B2:F2=E2)*(地价!B4:F25)),0)</f>
        <v>0</v>
      </c>
      <c r="N20" s="2765" t="s">
        <v>2645</v>
      </c>
      <c r="O20" s="2763" t="s">
        <v>2644</v>
      </c>
      <c r="P20" s="2764" t="s">
        <v>2650</v>
      </c>
      <c r="R20" s="2901"/>
      <c r="S20" s="2901"/>
      <c r="T20" s="2901"/>
      <c r="U20" s="2901"/>
      <c r="V20" s="2901"/>
      <c r="W20" s="2193"/>
      <c r="X20" s="2193"/>
      <c r="Y20" s="2193"/>
      <c r="Z20" s="2193"/>
      <c r="AA20" s="2193"/>
      <c r="AB20" s="2193"/>
      <c r="AC20" s="2193"/>
      <c r="AD20" s="1470"/>
      <c r="AE20" s="1470"/>
      <c r="AF20" s="1470"/>
      <c r="AG20" s="1470"/>
      <c r="AH20" s="1470"/>
      <c r="AI20" s="1470"/>
    </row>
    <row r="21" spans="1:40" s="1419" customFormat="1" ht="14.25">
      <c r="A21" s="1640" t="s">
        <v>1838</v>
      </c>
      <c r="B21" s="1478" t="s">
        <v>2761</v>
      </c>
      <c r="C21" s="1156">
        <f>IF(B21="容积率修正",IF(G3&lt;=10,D22,J22),C23)</f>
        <v>0</v>
      </c>
      <c r="D21" s="1479"/>
      <c r="E21" s="1479"/>
      <c r="F21" s="1479"/>
      <c r="G21" s="1479"/>
      <c r="H21" s="1479"/>
      <c r="I21" s="1479"/>
      <c r="J21" s="1480"/>
      <c r="K21" s="1479"/>
      <c r="L21" s="1479"/>
      <c r="M21" s="1479"/>
      <c r="N21" s="1476" t="s">
        <v>976</v>
      </c>
      <c r="O21" s="1540"/>
      <c r="P21" s="2745">
        <f>SUMPRODUCT((地价!A3:A25=YEAR(G19)&amp;"-"&amp;ROUNDUP(MONTH(G19)/3,0))*(地价!AD2:AH2=N21)*(地价!AD3:AH25))</f>
        <v>1.46E-2</v>
      </c>
      <c r="R21" s="2901"/>
      <c r="S21" s="2901"/>
      <c r="T21" s="2901"/>
      <c r="U21" s="2901"/>
      <c r="V21" s="2901"/>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5">
        <f>SUMPRODUCT((地价!A3:A25=YEAR(G19)&amp;"-"&amp;ROUNDUP(MONTH(G19)/3,0))*(地价!AD2:AH2=N22)*(地价!AD3:AH25))</f>
        <v>1.46E-2</v>
      </c>
      <c r="R22" s="2901"/>
      <c r="S22" s="2901"/>
      <c r="T22" s="2901"/>
      <c r="U22" s="2901"/>
      <c r="V22" s="2901"/>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5">
        <f>SUMPRODUCT((地价!A3:A25=YEAR(G19)&amp;"-"&amp;ROUNDUP(MONTH(G19)/3,0))*(地价!AD2:AH2=N23)*(地价!AD3:AH25))</f>
        <v>2.29E-2</v>
      </c>
      <c r="R23" s="2901"/>
      <c r="S23" s="2901"/>
      <c r="T23" s="2901"/>
      <c r="U23" s="2901"/>
      <c r="V23" s="2901"/>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1.3599999999999999E-2</v>
      </c>
      <c r="R24" s="2901"/>
      <c r="S24" s="2901"/>
      <c r="T24" s="2901"/>
      <c r="U24" s="2901"/>
      <c r="V24" s="2901"/>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3" t="s">
        <v>2648</v>
      </c>
      <c r="O25" s="2193"/>
      <c r="P25" s="1539">
        <f>SUMPRODUCT((地价!A3:A25=YEAR(G19)&amp;"-"&amp;ROUNDUP(MONTH(G19)/3,0))*(地价!AD2:AH2=N25)*(地价!AD3:AH25))</f>
        <v>2.0899999999999998E-2</v>
      </c>
      <c r="R25" s="2901"/>
      <c r="S25" s="2901"/>
      <c r="T25" s="2901"/>
      <c r="U25" s="2901"/>
      <c r="V25" s="2901"/>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01"/>
      <c r="S26" s="2901"/>
      <c r="T26" s="2901"/>
      <c r="U26" s="2901"/>
      <c r="V26" s="2901"/>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01"/>
      <c r="S27" s="2901"/>
      <c r="T27" s="2901"/>
      <c r="U27" s="2901"/>
      <c r="V27" s="2901"/>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1"/>
      <c r="S28" s="2901"/>
      <c r="T28" s="2901"/>
      <c r="U28" s="2901"/>
      <c r="V28" s="2901"/>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01"/>
      <c r="S29" s="2901"/>
      <c r="T29" s="2901"/>
      <c r="U29" s="2901"/>
      <c r="V29" s="2901"/>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3"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4"/>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4"/>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5"/>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2" t="s">
        <v>2991</v>
      </c>
      <c r="C41" s="838" t="e">
        <f>ROUND(POWER(1+E41,H41-G41)*(POWER(1+E41,G41)-1)/(POWER(1+E41,H41)-1),4)</f>
        <v>#DIV/0!</v>
      </c>
      <c r="D41" s="377" t="s">
        <v>2989</v>
      </c>
      <c r="E41" s="3171">
        <f>G20</f>
        <v>0</v>
      </c>
      <c r="F41" s="377" t="s">
        <v>2990</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385" t="s">
        <v>1010</v>
      </c>
      <c r="C46" s="2407" t="s">
        <v>1011</v>
      </c>
      <c r="D46" s="2408" t="s">
        <v>1012</v>
      </c>
      <c r="E46" s="2409" t="s">
        <v>1014</v>
      </c>
      <c r="F46" s="2410" t="s">
        <v>2251</v>
      </c>
      <c r="G46" s="2408" t="s">
        <v>1015</v>
      </c>
      <c r="H46" s="2391" t="s">
        <v>2418</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1021</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1022</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71" t="s">
        <v>2940</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70" t="s">
        <v>2939</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385"/>
      <c r="C57" s="2407" t="s">
        <v>1011</v>
      </c>
      <c r="D57" s="2408" t="s">
        <v>1012</v>
      </c>
      <c r="E57" s="2409" t="s">
        <v>1014</v>
      </c>
      <c r="F57" s="2410" t="s">
        <v>2252</v>
      </c>
      <c r="G57" s="2408" t="s">
        <v>1015</v>
      </c>
      <c r="H57" s="2391" t="s">
        <v>2418</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1031</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1022</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71" t="s">
        <v>2941</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70" t="s">
        <v>2939</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385"/>
      <c r="C68" s="2407" t="s">
        <v>1011</v>
      </c>
      <c r="D68" s="2408" t="s">
        <v>1012</v>
      </c>
      <c r="E68" s="2409" t="s">
        <v>1014</v>
      </c>
      <c r="F68" s="2410" t="s">
        <v>2253</v>
      </c>
      <c r="G68" s="2408" t="s">
        <v>1015</v>
      </c>
      <c r="H68" s="2391" t="s">
        <v>2418</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1033</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1034</v>
      </c>
      <c r="B70" s="2385" t="str">
        <f>估价对象房地状况!C18</f>
        <v>估价对象周边道路状况、公共交通通达情况、停车便捷程度，综合评价交通便捷度较好</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385">
        <f>估价对象房地状况!C19</f>
        <v>0</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385">
        <f>估价对象房地状况!C24</f>
        <v>0</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386" t="str">
        <f>估价对象房地状况!C21</f>
        <v>估价对象所在区域公共配套设施齐备情况</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386" t="str">
        <f>估价对象房地状况!C22</f>
        <v>估价对象所在区域基础设施水平</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70" t="s">
        <v>2939</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1029</v>
      </c>
      <c r="B76" s="2388" t="str">
        <f>估价对象房地状况!C20</f>
        <v>区域自然环境：；人文环境；综合评价环境状况一般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4"/>
      <c r="K78" s="1064"/>
      <c r="L78" s="1064"/>
      <c r="M78" s="1064"/>
      <c r="N78" s="1064"/>
      <c r="AC78" s="1403"/>
      <c r="AD78" s="1402"/>
      <c r="AJ78" s="1401"/>
      <c r="AN78" s="1402"/>
    </row>
    <row r="79" spans="1:40" ht="24">
      <c r="A79" s="1065" t="s">
        <v>1009</v>
      </c>
      <c r="B79" s="2385"/>
      <c r="C79" s="2407" t="s">
        <v>1011</v>
      </c>
      <c r="D79" s="2408" t="s">
        <v>1012</v>
      </c>
      <c r="E79" s="2409" t="s">
        <v>1014</v>
      </c>
      <c r="F79" s="2410" t="s">
        <v>2254</v>
      </c>
      <c r="G79" s="2408" t="s">
        <v>1015</v>
      </c>
      <c r="H79" s="2391" t="s">
        <v>2418</v>
      </c>
      <c r="I79" s="2408" t="s">
        <v>1013</v>
      </c>
      <c r="J79" s="2411" t="s">
        <v>1016</v>
      </c>
      <c r="K79" s="2411" t="s">
        <v>1017</v>
      </c>
      <c r="L79" s="2411" t="s">
        <v>1018</v>
      </c>
      <c r="M79" s="2411" t="s">
        <v>1019</v>
      </c>
      <c r="N79" s="2411" t="s">
        <v>1020</v>
      </c>
      <c r="AC79" s="1403"/>
      <c r="AD79" s="1402"/>
      <c r="AJ79" s="1401"/>
      <c r="AN79" s="1402"/>
    </row>
    <row r="80" spans="1:40" ht="36">
      <c r="A80" s="1065" t="s">
        <v>1038</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5" t="s">
        <v>1034</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5" t="s">
        <v>1027</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5" t="s">
        <v>1028</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5" t="s">
        <v>1026</v>
      </c>
      <c r="B86" s="3070" t="s">
        <v>2939</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31" t="s">
        <v>1634</v>
      </c>
      <c r="B90" s="3431"/>
      <c r="C90" s="3431"/>
      <c r="D90" s="3431"/>
      <c r="E90" s="3431"/>
      <c r="F90" s="3431"/>
      <c r="G90" s="3431"/>
      <c r="H90" s="3431"/>
      <c r="I90" s="3431"/>
      <c r="J90" s="3431"/>
      <c r="K90" s="2427"/>
      <c r="L90" s="2427"/>
      <c r="M90" s="2427"/>
      <c r="N90" s="2427"/>
    </row>
    <row r="91" spans="1:40">
      <c r="A91" s="3432" t="s">
        <v>1444</v>
      </c>
      <c r="B91" s="3432" t="s">
        <v>1635</v>
      </c>
      <c r="C91" s="1138" t="s">
        <v>1636</v>
      </c>
      <c r="D91" s="1139"/>
      <c r="E91" s="1139"/>
      <c r="F91" s="1139"/>
      <c r="G91" s="1139"/>
      <c r="H91" s="1139"/>
      <c r="I91" s="1139"/>
      <c r="J91" s="1140"/>
      <c r="K91" s="1132"/>
      <c r="L91" s="1132"/>
      <c r="M91" s="1132"/>
      <c r="N91" s="1132"/>
    </row>
    <row r="92" spans="1:40">
      <c r="A92" s="3432"/>
      <c r="B92" s="3432"/>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2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1" t="s">
        <v>1638</v>
      </c>
      <c r="B101" s="1145" t="s">
        <v>906</v>
      </c>
      <c r="C101" s="1146">
        <f>$G$3</f>
        <v>2.5299999999999998</v>
      </c>
      <c r="D101" s="1146">
        <f t="shared" ref="D101:N101" si="31">$G$3</f>
        <v>2.5299999999999998</v>
      </c>
      <c r="E101" s="1146">
        <f t="shared" si="31"/>
        <v>2.5299999999999998</v>
      </c>
      <c r="F101" s="1146">
        <f t="shared" si="31"/>
        <v>2.5299999999999998</v>
      </c>
      <c r="G101" s="1146">
        <f t="shared" si="31"/>
        <v>2.5299999999999998</v>
      </c>
      <c r="H101" s="1146">
        <f t="shared" si="31"/>
        <v>2.5299999999999998</v>
      </c>
      <c r="I101" s="1146">
        <f t="shared" si="31"/>
        <v>2.5299999999999998</v>
      </c>
      <c r="J101" s="1146">
        <f t="shared" si="31"/>
        <v>2.5299999999999998</v>
      </c>
      <c r="K101" s="1146">
        <f t="shared" si="31"/>
        <v>2.5299999999999998</v>
      </c>
      <c r="L101" s="1146">
        <f t="shared" si="31"/>
        <v>2.5299999999999998</v>
      </c>
      <c r="M101" s="1146">
        <f t="shared" si="31"/>
        <v>2.5299999999999998</v>
      </c>
      <c r="N101" s="1146">
        <f t="shared" si="31"/>
        <v>2.5299999999999998</v>
      </c>
    </row>
    <row r="102" spans="1:14">
      <c r="A102" s="3422"/>
      <c r="B102" s="1141">
        <v>1</v>
      </c>
      <c r="C102" s="1142">
        <f>1.9362/C101</f>
        <v>0.7652964426877471</v>
      </c>
      <c r="D102" s="1142">
        <f>1.9362/D101</f>
        <v>0.7652964426877471</v>
      </c>
      <c r="E102" s="1142">
        <f>1.8629/E101</f>
        <v>0.73632411067193682</v>
      </c>
      <c r="F102" s="1142">
        <f>1.8629/F101</f>
        <v>0.73632411067193682</v>
      </c>
      <c r="G102" s="1142">
        <f>1.8629/G101</f>
        <v>0.73632411067193682</v>
      </c>
      <c r="H102" s="1142">
        <f>1.8629/H101</f>
        <v>0.73632411067193682</v>
      </c>
      <c r="I102" s="1142">
        <f>1.8629/I101</f>
        <v>0.73632411067193682</v>
      </c>
      <c r="J102" s="1142">
        <f>1.942/J101</f>
        <v>0.76758893280632412</v>
      </c>
      <c r="K102" s="1142">
        <f>1.942/K101</f>
        <v>0.76758893280632412</v>
      </c>
      <c r="L102" s="1142">
        <f>1.942/L101</f>
        <v>0.76758893280632412</v>
      </c>
      <c r="M102" s="1142">
        <f>1.942/M101</f>
        <v>0.76758893280632412</v>
      </c>
      <c r="N102" s="1142">
        <f>1.942/N101</f>
        <v>0.76758893280632412</v>
      </c>
    </row>
    <row r="103" spans="1:14">
      <c r="A103" s="3422"/>
      <c r="B103" s="1141">
        <v>2</v>
      </c>
      <c r="C103" s="1142">
        <f>1.4198/C101</f>
        <v>0.56118577075098819</v>
      </c>
      <c r="D103" s="1142">
        <f>1.4198/D101</f>
        <v>0.56118577075098819</v>
      </c>
      <c r="E103" s="1142">
        <f>1.3372/E101</f>
        <v>0.52853754940711462</v>
      </c>
      <c r="F103" s="1142">
        <f>1.3372/F101</f>
        <v>0.52853754940711462</v>
      </c>
      <c r="G103" s="1142">
        <f>1.3372/G101</f>
        <v>0.52853754940711462</v>
      </c>
      <c r="H103" s="1142">
        <f>1.3372/H101</f>
        <v>0.52853754940711462</v>
      </c>
      <c r="I103" s="1142">
        <f>1.3372/I101</f>
        <v>0.52853754940711462</v>
      </c>
      <c r="J103" s="1142">
        <f>1.2799/J101</f>
        <v>0.50588932806324116</v>
      </c>
      <c r="K103" s="1142">
        <f>1.2799/K101</f>
        <v>0.50588932806324116</v>
      </c>
      <c r="L103" s="1142">
        <f>1.2799/L101</f>
        <v>0.50588932806324116</v>
      </c>
      <c r="M103" s="1142">
        <f>1.2799/M101</f>
        <v>0.50588932806324116</v>
      </c>
      <c r="N103" s="1142">
        <f>1.2799/N101</f>
        <v>0.50588932806324116</v>
      </c>
    </row>
    <row r="104" spans="1:14">
      <c r="A104" s="3422"/>
      <c r="B104" s="1141">
        <v>3</v>
      </c>
      <c r="C104" s="1142">
        <f>1.1594/C101</f>
        <v>0.45826086956521744</v>
      </c>
      <c r="D104" s="1142">
        <f>1.1594/D101</f>
        <v>0.45826086956521744</v>
      </c>
      <c r="E104" s="1142">
        <f>1.0788/E101</f>
        <v>0.42640316205533602</v>
      </c>
      <c r="F104" s="1142">
        <f>1.0788/F101</f>
        <v>0.42640316205533602</v>
      </c>
      <c r="G104" s="1142">
        <f>1.0788/G101</f>
        <v>0.42640316205533602</v>
      </c>
      <c r="H104" s="1142">
        <f>1.0788/H101</f>
        <v>0.42640316205533602</v>
      </c>
      <c r="I104" s="1142">
        <f>1.0788/I101</f>
        <v>0.42640316205533602</v>
      </c>
      <c r="J104" s="1142">
        <f>1.0072/J101</f>
        <v>0.39810276679841905</v>
      </c>
      <c r="K104" s="1142">
        <f>1.0072/K101</f>
        <v>0.39810276679841905</v>
      </c>
      <c r="L104" s="1142">
        <f>1.0072/L101</f>
        <v>0.39810276679841905</v>
      </c>
      <c r="M104" s="1142">
        <f>1.0072/M101</f>
        <v>0.39810276679841905</v>
      </c>
      <c r="N104" s="1142">
        <f>1.0072/N101</f>
        <v>0.39810276679841905</v>
      </c>
    </row>
    <row r="105" spans="1:14">
      <c r="A105" s="3422"/>
      <c r="B105" s="1141">
        <v>4</v>
      </c>
      <c r="C105" s="1142">
        <f>0.9622/C101</f>
        <v>0.38031620553359691</v>
      </c>
      <c r="D105" s="1142">
        <f>0.9622/D101</f>
        <v>0.38031620553359691</v>
      </c>
      <c r="E105" s="1142">
        <f>0.8656/E101</f>
        <v>0.3421343873517787</v>
      </c>
      <c r="F105" s="1142">
        <f>0.8656/F101</f>
        <v>0.3421343873517787</v>
      </c>
      <c r="G105" s="1142">
        <f>0.8656/G101</f>
        <v>0.3421343873517787</v>
      </c>
      <c r="H105" s="1142">
        <f>0.8656/H101</f>
        <v>0.3421343873517787</v>
      </c>
      <c r="I105" s="1142">
        <f>0.8656/I101</f>
        <v>0.3421343873517787</v>
      </c>
      <c r="J105" s="1142">
        <f>0.7525/J101</f>
        <v>0.2974308300395257</v>
      </c>
      <c r="K105" s="1142">
        <f>0.7525/K101</f>
        <v>0.2974308300395257</v>
      </c>
      <c r="L105" s="1142">
        <f>0.7525/L101</f>
        <v>0.2974308300395257</v>
      </c>
      <c r="M105" s="1142">
        <f>0.7525/M101</f>
        <v>0.2974308300395257</v>
      </c>
      <c r="N105" s="1142">
        <f>0.7525/N101</f>
        <v>0.2974308300395257</v>
      </c>
    </row>
    <row r="106" spans="1:14">
      <c r="A106" s="3422"/>
      <c r="B106" s="1141">
        <v>5</v>
      </c>
      <c r="C106" s="1142">
        <f>0.8417/C101</f>
        <v>0.33268774703557313</v>
      </c>
      <c r="D106" s="1142">
        <f>0.8417/D101</f>
        <v>0.33268774703557313</v>
      </c>
      <c r="E106" s="1142">
        <f>0.7371/E101</f>
        <v>0.29134387351778657</v>
      </c>
      <c r="F106" s="1142">
        <f>0.7371/F101</f>
        <v>0.29134387351778657</v>
      </c>
      <c r="G106" s="1142">
        <f>0.7371/G101</f>
        <v>0.29134387351778657</v>
      </c>
      <c r="H106" s="1142">
        <f>0.7371/H101</f>
        <v>0.29134387351778657</v>
      </c>
      <c r="I106" s="1142">
        <f>0.7371/I101</f>
        <v>0.29134387351778657</v>
      </c>
      <c r="J106" s="1142">
        <f>0.5659/J101</f>
        <v>0.22367588932806323</v>
      </c>
      <c r="K106" s="1142">
        <f>0.5659/K101</f>
        <v>0.22367588932806323</v>
      </c>
      <c r="L106" s="1142">
        <f>0.5659/L101</f>
        <v>0.22367588932806323</v>
      </c>
      <c r="M106" s="1142">
        <f>0.5659/M101</f>
        <v>0.22367588932806323</v>
      </c>
      <c r="N106" s="1142">
        <f>0.5659/N101</f>
        <v>0.22367588932806323</v>
      </c>
    </row>
    <row r="107" spans="1:14">
      <c r="A107" s="3422"/>
      <c r="B107" s="1141">
        <v>6</v>
      </c>
      <c r="C107" s="1142">
        <f>0.7608/C101</f>
        <v>0.30071146245059294</v>
      </c>
      <c r="D107" s="1142">
        <f>0.7608/D101</f>
        <v>0.30071146245059294</v>
      </c>
      <c r="E107" s="1142">
        <f>0.6482/E101</f>
        <v>0.25620553359683795</v>
      </c>
      <c r="F107" s="1142">
        <f>0.6482/F101</f>
        <v>0.25620553359683795</v>
      </c>
      <c r="G107" s="1142">
        <f>0.6482/G101</f>
        <v>0.25620553359683795</v>
      </c>
      <c r="H107" s="1142">
        <f>0.6482/H101</f>
        <v>0.25620553359683795</v>
      </c>
      <c r="I107" s="1142">
        <f>0.6482/I101</f>
        <v>0.25620553359683795</v>
      </c>
      <c r="J107" s="1142">
        <f>0.4525/J101</f>
        <v>0.17885375494071148</v>
      </c>
      <c r="K107" s="1142">
        <f>0.4525/K101</f>
        <v>0.17885375494071148</v>
      </c>
      <c r="L107" s="1142">
        <f>0.4525/L101</f>
        <v>0.17885375494071148</v>
      </c>
      <c r="M107" s="1142">
        <f>0.4525/M101</f>
        <v>0.17885375494071148</v>
      </c>
      <c r="N107" s="1142">
        <f>0.4525/N101</f>
        <v>0.17885375494071148</v>
      </c>
    </row>
    <row r="108" spans="1:14">
      <c r="A108" s="3422"/>
      <c r="B108" s="342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3"/>
      <c r="B109" s="3425"/>
      <c r="C109" s="1144">
        <f>(-0.163*(C108^2)-0.59*C108+7617)*(10^(-4))/C101</f>
        <v>0.30046830039525696</v>
      </c>
      <c r="D109" s="1144">
        <f>(-0.163*(D108^2)-0.59*D108+7617)*(10^(-4))/D101</f>
        <v>0.30046830039525696</v>
      </c>
      <c r="E109" s="1144">
        <f>(-0.161*(E108^2)-7.509*E108+6533)*(10^(-4))/E101</f>
        <v>0.25543968379446641</v>
      </c>
      <c r="F109" s="1144">
        <f>(-0.161*(F108^2)-7.509*F108+6533)*(10^(-4))/F101</f>
        <v>0.25543968379446641</v>
      </c>
      <c r="G109" s="1144">
        <f>(-0.161*(G108^2)-7.509*G108+6533)*(10^(-4))/G101</f>
        <v>0.25543968379446641</v>
      </c>
      <c r="H109" s="1144">
        <f>(-0.161*(H108^2)-7.509*H108+6533)*(10^(-4))/H101</f>
        <v>0.25543968379446641</v>
      </c>
      <c r="I109" s="1144">
        <f>(-0.161*(I108^2)-7.509*I108+6533)*(10^(-4))/I101</f>
        <v>0.25543968379446641</v>
      </c>
      <c r="J109" s="1144">
        <f>(-0.214*(J108^2)-21.991*J108+4665)*(10^(-4))/J101</f>
        <v>0.17689233201581031</v>
      </c>
      <c r="K109" s="1144">
        <f>(-0.214*(K108^2)-21.991*K108+4665)*(10^(-4))/K101</f>
        <v>0.17689233201581031</v>
      </c>
      <c r="L109" s="1144">
        <f>(-0.214*(L108^2)-21.991*L108+4665)*(10^(-4))/L101</f>
        <v>0.17689233201581031</v>
      </c>
      <c r="M109" s="1144">
        <f>(-0.214*(M108^2)-21.991*M108+4665)*(10^(-4))/M101</f>
        <v>0.17689233201581031</v>
      </c>
      <c r="N109" s="1144">
        <f>(-0.214*(N108^2)-21.991*N108+4665)*(10^(-4))/N101</f>
        <v>0.17689233201581031</v>
      </c>
    </row>
    <row r="110" spans="1:14">
      <c r="A110" s="3426" t="s">
        <v>1640</v>
      </c>
      <c r="B110" s="3426"/>
      <c r="C110" s="3426"/>
      <c r="D110" s="3426"/>
      <c r="E110" s="3426"/>
      <c r="F110" s="3426"/>
      <c r="G110" s="3426"/>
      <c r="H110" s="3426"/>
      <c r="I110" s="3426"/>
      <c r="J110" s="3426"/>
      <c r="K110" s="2425"/>
      <c r="L110" s="2425"/>
      <c r="M110" s="2425"/>
      <c r="N110" s="2425"/>
    </row>
    <row r="112" spans="1:14" ht="12.75" thickBot="1"/>
    <row r="113" spans="1:13" ht="25.5" thickBot="1">
      <c r="A113" s="1014" t="s">
        <v>896</v>
      </c>
      <c r="B113" s="2428">
        <f>G3</f>
        <v>2.5299999999999998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0.90969999999999995</v>
      </c>
      <c r="C115" s="1028">
        <f>B115</f>
        <v>0.90969999999999995</v>
      </c>
      <c r="D115" s="1028">
        <f>ROUND(0.8331-0.0109*B113,4)</f>
        <v>0.80549999999999999</v>
      </c>
      <c r="E115" s="1028">
        <f>D115</f>
        <v>0.80549999999999999</v>
      </c>
      <c r="F115" s="1028">
        <f>E115</f>
        <v>0.80549999999999999</v>
      </c>
      <c r="G115" s="1028">
        <f>F115</f>
        <v>0.80549999999999999</v>
      </c>
      <c r="H115" s="1028">
        <f>G115</f>
        <v>0.80549999999999999</v>
      </c>
      <c r="I115" s="1028">
        <f>ROUND(0.689-0.0155*B113,4)</f>
        <v>0.64980000000000004</v>
      </c>
      <c r="J115" s="1028">
        <f t="shared" ref="J115:M118" si="33">I115</f>
        <v>0.64980000000000004</v>
      </c>
      <c r="K115" s="1028">
        <f t="shared" si="33"/>
        <v>0.64980000000000004</v>
      </c>
      <c r="L115" s="1028">
        <f t="shared" si="33"/>
        <v>0.64980000000000004</v>
      </c>
      <c r="M115" s="1029">
        <f t="shared" si="33"/>
        <v>0.64980000000000004</v>
      </c>
    </row>
    <row r="116" spans="1:13" ht="12.75">
      <c r="A116" s="1027" t="s">
        <v>901</v>
      </c>
      <c r="B116" s="1028">
        <f>ROUND(0.949-0.012*B113,4)</f>
        <v>0.91859999999999997</v>
      </c>
      <c r="C116" s="1028">
        <f>B116</f>
        <v>0.91859999999999997</v>
      </c>
      <c r="D116" s="1028">
        <f>ROUND(0.8567-0.013*B113,4)</f>
        <v>0.82379999999999998</v>
      </c>
      <c r="E116" s="1028">
        <f t="shared" ref="E116:H117" si="34">D116</f>
        <v>0.82379999999999998</v>
      </c>
      <c r="F116" s="1028">
        <f t="shared" si="34"/>
        <v>0.82379999999999998</v>
      </c>
      <c r="G116" s="1028">
        <f t="shared" si="34"/>
        <v>0.82379999999999998</v>
      </c>
      <c r="H116" s="1028">
        <f t="shared" si="34"/>
        <v>0.82379999999999998</v>
      </c>
      <c r="I116" s="1028">
        <f>ROUND(0.7694-0.014*B113,4)</f>
        <v>0.73399999999999999</v>
      </c>
      <c r="J116" s="1028">
        <f t="shared" si="33"/>
        <v>0.73399999999999999</v>
      </c>
      <c r="K116" s="1028">
        <f t="shared" si="33"/>
        <v>0.73399999999999999</v>
      </c>
      <c r="L116" s="1028">
        <f t="shared" si="33"/>
        <v>0.73399999999999999</v>
      </c>
      <c r="M116" s="1029">
        <f t="shared" si="33"/>
        <v>0.73399999999999999</v>
      </c>
    </row>
    <row r="117" spans="1:13" ht="12.75">
      <c r="A117" s="1030" t="s">
        <v>902</v>
      </c>
      <c r="B117" s="1028">
        <f>ROUND(0.8808-0.006*B113,4)</f>
        <v>0.86560000000000004</v>
      </c>
      <c r="C117" s="1028">
        <f>B117</f>
        <v>0.86560000000000004</v>
      </c>
      <c r="D117" s="1028">
        <f>ROUND(0.8748-0.008*B113,4)</f>
        <v>0.85460000000000003</v>
      </c>
      <c r="E117" s="1028">
        <f t="shared" si="34"/>
        <v>0.85460000000000003</v>
      </c>
      <c r="F117" s="1028">
        <f t="shared" si="34"/>
        <v>0.85460000000000003</v>
      </c>
      <c r="G117" s="1028">
        <f t="shared" si="34"/>
        <v>0.85460000000000003</v>
      </c>
      <c r="H117" s="1028">
        <f t="shared" si="34"/>
        <v>0.85460000000000003</v>
      </c>
      <c r="I117" s="1028">
        <f>ROUND(0.7412-0.0095*B113,4)</f>
        <v>0.71719999999999995</v>
      </c>
      <c r="J117" s="1028">
        <f t="shared" si="33"/>
        <v>0.71719999999999995</v>
      </c>
      <c r="K117" s="1028">
        <f t="shared" si="33"/>
        <v>0.71719999999999995</v>
      </c>
      <c r="L117" s="1028">
        <f t="shared" si="33"/>
        <v>0.71719999999999995</v>
      </c>
      <c r="M117" s="1029">
        <f t="shared" si="33"/>
        <v>0.71719999999999995</v>
      </c>
    </row>
    <row r="118" spans="1:13" ht="13.5" thickBot="1">
      <c r="A118" s="1031" t="s">
        <v>903</v>
      </c>
      <c r="B118" s="1032">
        <f>ROUND(0.7275-0.01*B113,4)</f>
        <v>0.70220000000000005</v>
      </c>
      <c r="C118" s="1032">
        <f>B118</f>
        <v>0.70220000000000005</v>
      </c>
      <c r="D118" s="1032">
        <f>ROUND(0.7043-0.012*B113,4)</f>
        <v>0.67390000000000005</v>
      </c>
      <c r="E118" s="1032">
        <f>D118</f>
        <v>0.67390000000000005</v>
      </c>
      <c r="F118" s="1032">
        <f>E118</f>
        <v>0.67390000000000005</v>
      </c>
      <c r="G118" s="1032">
        <f>ROUND(0.6299-0.0122*B113,4)</f>
        <v>0.59899999999999998</v>
      </c>
      <c r="H118" s="1032">
        <f>G118</f>
        <v>0.59899999999999998</v>
      </c>
      <c r="I118" s="1032">
        <f>ROUND(0.5667-0.0136*B113,4)</f>
        <v>0.5323</v>
      </c>
      <c r="J118" s="1032">
        <f t="shared" si="33"/>
        <v>0.5323</v>
      </c>
      <c r="K118" s="1032">
        <f t="shared" si="33"/>
        <v>0.5323</v>
      </c>
      <c r="L118" s="1032">
        <f t="shared" si="33"/>
        <v>0.5323</v>
      </c>
      <c r="M118" s="1033">
        <f t="shared" si="33"/>
        <v>0.5323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32" t="s">
        <v>1008</v>
      </c>
      <c r="B18" s="1152" t="s">
        <v>1447</v>
      </c>
      <c r="C18" s="1129" t="s">
        <v>1448</v>
      </c>
      <c r="D18" s="1130"/>
      <c r="E18" s="1152">
        <v>1</v>
      </c>
      <c r="F18" s="1131" t="s">
        <v>1449</v>
      </c>
      <c r="G18" s="1132"/>
      <c r="H18" s="1103"/>
      <c r="I18" s="1103"/>
    </row>
    <row r="19" spans="1:9" s="1597" customFormat="1" ht="19.5" customHeight="1">
      <c r="A19" s="3432"/>
      <c r="B19" s="3432" t="s">
        <v>1450</v>
      </c>
      <c r="C19" s="1129" t="s">
        <v>1451</v>
      </c>
      <c r="D19" s="1130"/>
      <c r="E19" s="1152">
        <v>0.9</v>
      </c>
      <c r="F19" s="1131" t="s">
        <v>1452</v>
      </c>
      <c r="G19" s="1132"/>
      <c r="H19" s="1103"/>
      <c r="I19" s="1103"/>
    </row>
    <row r="20" spans="1:9" s="1597" customFormat="1" ht="19.5" customHeight="1">
      <c r="A20" s="3432"/>
      <c r="B20" s="3432"/>
      <c r="C20" s="1129" t="s">
        <v>1453</v>
      </c>
      <c r="D20" s="1130"/>
      <c r="E20" s="1152">
        <v>1.1000000000000001</v>
      </c>
      <c r="F20" s="1131" t="s">
        <v>1454</v>
      </c>
      <c r="G20" s="1132"/>
      <c r="H20" s="1103"/>
      <c r="I20" s="1103"/>
    </row>
    <row r="21" spans="1:9" s="1597" customFormat="1" ht="19.5" customHeight="1">
      <c r="A21" s="3432"/>
      <c r="B21" s="3432"/>
      <c r="C21" s="1129" t="s">
        <v>1455</v>
      </c>
      <c r="D21" s="1130"/>
      <c r="E21" s="1152">
        <v>0.8</v>
      </c>
      <c r="F21" s="1131" t="s">
        <v>1456</v>
      </c>
      <c r="G21" s="1132"/>
      <c r="H21" s="1103"/>
      <c r="I21" s="1103"/>
    </row>
    <row r="22" spans="1:9" s="1597" customFormat="1" ht="19.5" customHeight="1">
      <c r="A22" s="3432"/>
      <c r="B22" s="3432"/>
      <c r="C22" s="1129" t="s">
        <v>1457</v>
      </c>
      <c r="D22" s="1130"/>
      <c r="E22" s="1152">
        <v>0.5</v>
      </c>
      <c r="F22" s="1131"/>
      <c r="G22" s="1132"/>
      <c r="H22" s="1103"/>
      <c r="I22" s="1103"/>
    </row>
    <row r="23" spans="1:9" s="1597" customFormat="1" ht="19.5" customHeight="1">
      <c r="A23" s="3432" t="s">
        <v>1030</v>
      </c>
      <c r="B23" s="1152" t="s">
        <v>1447</v>
      </c>
      <c r="C23" s="1129" t="s">
        <v>1458</v>
      </c>
      <c r="D23" s="1130"/>
      <c r="E23" s="1152">
        <v>1</v>
      </c>
      <c r="F23" s="1131" t="s">
        <v>1459</v>
      </c>
      <c r="G23" s="1132"/>
      <c r="H23" s="1103"/>
      <c r="I23" s="1103"/>
    </row>
    <row r="24" spans="1:9" s="1597" customFormat="1" ht="19.5" customHeight="1">
      <c r="A24" s="3432"/>
      <c r="B24" s="3432" t="s">
        <v>1450</v>
      </c>
      <c r="C24" s="1129" t="s">
        <v>1460</v>
      </c>
      <c r="D24" s="1130"/>
      <c r="E24" s="1152">
        <v>0.5</v>
      </c>
      <c r="F24" s="1131"/>
      <c r="G24" s="1132"/>
      <c r="H24" s="1103"/>
      <c r="I24" s="1103"/>
    </row>
    <row r="25" spans="1:9" s="1597" customFormat="1" ht="19.5" customHeight="1">
      <c r="A25" s="3432"/>
      <c r="B25" s="3432"/>
      <c r="C25" s="1129" t="s">
        <v>1461</v>
      </c>
      <c r="D25" s="1130"/>
      <c r="E25" s="1152">
        <v>1.1000000000000001</v>
      </c>
      <c r="F25" s="1131"/>
      <c r="G25" s="1132"/>
      <c r="H25" s="1103"/>
      <c r="I25" s="1103"/>
    </row>
    <row r="26" spans="1:9" s="1597" customFormat="1" ht="19.5" customHeight="1">
      <c r="A26" s="3432"/>
      <c r="B26" s="3432"/>
      <c r="C26" s="1129" t="s">
        <v>1462</v>
      </c>
      <c r="D26" s="1130"/>
      <c r="E26" s="1152">
        <v>1.1000000000000001</v>
      </c>
      <c r="F26" s="1131"/>
      <c r="G26" s="1132"/>
      <c r="H26" s="1103"/>
      <c r="I26" s="1103"/>
    </row>
    <row r="27" spans="1:9" s="1597" customFormat="1" ht="19.5" customHeight="1">
      <c r="A27" s="3432"/>
      <c r="B27" s="3432"/>
      <c r="C27" s="1129" t="s">
        <v>1463</v>
      </c>
      <c r="D27" s="1130"/>
      <c r="E27" s="1152">
        <v>0.9</v>
      </c>
      <c r="F27" s="1131" t="s">
        <v>1464</v>
      </c>
      <c r="G27" s="1132"/>
      <c r="H27" s="1103"/>
      <c r="I27" s="1103"/>
    </row>
    <row r="28" spans="1:9" s="1597" customFormat="1" ht="19.5" customHeight="1">
      <c r="A28" s="3432"/>
      <c r="B28" s="3432"/>
      <c r="C28" s="1129" t="s">
        <v>1465</v>
      </c>
      <c r="D28" s="1130"/>
      <c r="E28" s="1152">
        <v>0.9</v>
      </c>
      <c r="F28" s="1131" t="s">
        <v>1466</v>
      </c>
      <c r="G28" s="1132"/>
      <c r="H28" s="1103"/>
      <c r="I28" s="1103"/>
    </row>
    <row r="29" spans="1:9" s="1597" customFormat="1" ht="19.5" customHeight="1">
      <c r="A29" s="3432"/>
      <c r="B29" s="3432"/>
      <c r="C29" s="1129" t="s">
        <v>1467</v>
      </c>
      <c r="D29" s="1130"/>
      <c r="E29" s="1152">
        <v>0.9</v>
      </c>
      <c r="F29" s="1131" t="s">
        <v>1468</v>
      </c>
      <c r="G29" s="1132"/>
      <c r="H29" s="1103"/>
      <c r="I29" s="1103"/>
    </row>
    <row r="30" spans="1:9" s="1597" customFormat="1" ht="19.5" customHeight="1">
      <c r="A30" s="3432"/>
      <c r="B30" s="3432"/>
      <c r="C30" s="1129" t="s">
        <v>1469</v>
      </c>
      <c r="D30" s="1130"/>
      <c r="E30" s="1152">
        <v>0.9</v>
      </c>
      <c r="F30" s="1131" t="s">
        <v>1470</v>
      </c>
      <c r="G30" s="1132"/>
      <c r="H30" s="1103"/>
      <c r="I30" s="1103"/>
    </row>
    <row r="31" spans="1:9" s="1597" customFormat="1" ht="19.5" customHeight="1">
      <c r="A31" s="3432"/>
      <c r="B31" s="3432"/>
      <c r="C31" s="1129" t="s">
        <v>1471</v>
      </c>
      <c r="D31" s="1130"/>
      <c r="E31" s="1152">
        <v>0.8</v>
      </c>
      <c r="F31" s="1131" t="s">
        <v>1472</v>
      </c>
      <c r="G31" s="1132"/>
      <c r="H31" s="1103"/>
      <c r="I31" s="1103"/>
    </row>
    <row r="32" spans="1:9" s="1597" customFormat="1" ht="19.5" customHeight="1">
      <c r="A32" s="3432"/>
      <c r="B32" s="3432"/>
      <c r="C32" s="1129" t="s">
        <v>1473</v>
      </c>
      <c r="D32" s="1130"/>
      <c r="E32" s="1152">
        <v>0.8</v>
      </c>
      <c r="F32" s="1131" t="s">
        <v>1474</v>
      </c>
      <c r="G32" s="1132"/>
      <c r="H32" s="1103"/>
      <c r="I32" s="1103"/>
    </row>
    <row r="33" spans="1:9" s="1597" customFormat="1" ht="19.5" customHeight="1">
      <c r="A33" s="3432" t="s">
        <v>1475</v>
      </c>
      <c r="B33" s="1152" t="s">
        <v>1447</v>
      </c>
      <c r="C33" s="1129" t="s">
        <v>1476</v>
      </c>
      <c r="D33" s="1130"/>
      <c r="E33" s="1152">
        <v>1</v>
      </c>
      <c r="F33" s="1131" t="s">
        <v>1477</v>
      </c>
      <c r="G33" s="1132"/>
      <c r="H33" s="1103"/>
      <c r="I33" s="1103"/>
    </row>
    <row r="34" spans="1:9" s="1597" customFormat="1" ht="19.5" customHeight="1">
      <c r="A34" s="3432"/>
      <c r="B34" s="1152" t="s">
        <v>1450</v>
      </c>
      <c r="C34" s="1129" t="s">
        <v>1478</v>
      </c>
      <c r="D34" s="1130"/>
      <c r="E34" s="1152">
        <v>1.5</v>
      </c>
      <c r="F34" s="1131" t="s">
        <v>1479</v>
      </c>
      <c r="G34" s="1132"/>
      <c r="H34" s="1103"/>
      <c r="I34" s="1103"/>
    </row>
    <row r="35" spans="1:9" s="1597" customFormat="1" ht="19.5" customHeight="1">
      <c r="A35" s="3432" t="s">
        <v>1433</v>
      </c>
      <c r="B35" s="1152" t="s">
        <v>1447</v>
      </c>
      <c r="C35" s="1129" t="s">
        <v>1480</v>
      </c>
      <c r="D35" s="1130"/>
      <c r="E35" s="1152">
        <v>1</v>
      </c>
      <c r="F35" s="1131" t="s">
        <v>1481</v>
      </c>
      <c r="G35" s="1132"/>
      <c r="H35" s="1103"/>
      <c r="I35" s="1103"/>
    </row>
    <row r="36" spans="1:9" s="1597" customFormat="1" ht="19.5" customHeight="1">
      <c r="A36" s="3432"/>
      <c r="B36" s="3432" t="s">
        <v>1450</v>
      </c>
      <c r="C36" s="1129" t="s">
        <v>1482</v>
      </c>
      <c r="D36" s="1130"/>
      <c r="E36" s="1152">
        <v>1</v>
      </c>
      <c r="F36" s="1131" t="s">
        <v>1483</v>
      </c>
      <c r="G36" s="1132"/>
      <c r="H36" s="1103"/>
      <c r="I36" s="1103"/>
    </row>
    <row r="37" spans="1:9" s="1597" customFormat="1" ht="19.5" customHeight="1">
      <c r="A37" s="3432"/>
      <c r="B37" s="3432"/>
      <c r="C37" s="1129" t="s">
        <v>1484</v>
      </c>
      <c r="D37" s="1130"/>
      <c r="E37" s="1152">
        <v>1.5</v>
      </c>
      <c r="F37" s="1131" t="s">
        <v>1485</v>
      </c>
      <c r="G37" s="1132"/>
      <c r="H37" s="1103"/>
      <c r="I37" s="1103"/>
    </row>
    <row r="38" spans="1:9" s="1597" customFormat="1" ht="19.5" customHeight="1">
      <c r="A38" s="3432"/>
      <c r="B38" s="3432"/>
      <c r="C38" s="1129" t="s">
        <v>1486</v>
      </c>
      <c r="D38" s="1130"/>
      <c r="E38" s="1152">
        <v>1</v>
      </c>
      <c r="F38" s="1131" t="s">
        <v>1487</v>
      </c>
      <c r="G38" s="1132"/>
      <c r="H38" s="1103"/>
      <c r="I38" s="1103"/>
    </row>
    <row r="39" spans="1:9" s="1597" customFormat="1" ht="19.5" customHeight="1">
      <c r="A39" s="3432"/>
      <c r="B39" s="3432"/>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2" t="s">
        <v>1502</v>
      </c>
      <c r="C61" s="1066" t="s">
        <v>1503</v>
      </c>
      <c r="D61" s="1066" t="s">
        <v>1504</v>
      </c>
      <c r="E61" s="1137">
        <v>0.5</v>
      </c>
      <c r="F61" s="1152">
        <v>80</v>
      </c>
      <c r="H61" s="1103">
        <f>SUMIF(C59:C119,基准地价!C8,E59:E119)</f>
        <v>0</v>
      </c>
    </row>
    <row r="62" spans="1:8" s="1103" customFormat="1" ht="24">
      <c r="A62" s="1152">
        <v>2</v>
      </c>
      <c r="B62" s="3432"/>
      <c r="C62" s="1066" t="s">
        <v>1505</v>
      </c>
      <c r="D62" s="1066" t="s">
        <v>1506</v>
      </c>
      <c r="E62" s="1137">
        <v>0.5</v>
      </c>
      <c r="F62" s="1152">
        <v>80</v>
      </c>
    </row>
    <row r="63" spans="1:8" s="1103" customFormat="1" ht="36">
      <c r="A63" s="1152">
        <v>3</v>
      </c>
      <c r="B63" s="3432"/>
      <c r="C63" s="1066" t="s">
        <v>1507</v>
      </c>
      <c r="D63" s="1066" t="s">
        <v>1508</v>
      </c>
      <c r="E63" s="1137">
        <v>0.5</v>
      </c>
      <c r="F63" s="1152">
        <v>80</v>
      </c>
    </row>
    <row r="64" spans="1:8" s="1103" customFormat="1" ht="36">
      <c r="A64" s="1152">
        <v>4</v>
      </c>
      <c r="B64" s="3432"/>
      <c r="C64" s="1066" t="s">
        <v>1509</v>
      </c>
      <c r="D64" s="1066" t="s">
        <v>1510</v>
      </c>
      <c r="E64" s="1137">
        <v>0.4</v>
      </c>
      <c r="F64" s="1152">
        <v>60</v>
      </c>
    </row>
    <row r="65" spans="1:6" s="1103" customFormat="1" ht="36">
      <c r="A65" s="1152">
        <v>5</v>
      </c>
      <c r="B65" s="3432"/>
      <c r="C65" s="1066" t="s">
        <v>1511</v>
      </c>
      <c r="D65" s="1066" t="s">
        <v>1512</v>
      </c>
      <c r="E65" s="1137">
        <v>0.2</v>
      </c>
      <c r="F65" s="1152">
        <v>30</v>
      </c>
    </row>
    <row r="66" spans="1:6" s="1103" customFormat="1" ht="36">
      <c r="A66" s="1152">
        <v>6</v>
      </c>
      <c r="B66" s="3432"/>
      <c r="C66" s="1066" t="s">
        <v>1513</v>
      </c>
      <c r="D66" s="1066" t="s">
        <v>1514</v>
      </c>
      <c r="E66" s="1137">
        <v>0.3</v>
      </c>
      <c r="F66" s="1152">
        <v>50</v>
      </c>
    </row>
    <row r="67" spans="1:6" s="1103" customFormat="1" ht="36">
      <c r="A67" s="1152">
        <v>7</v>
      </c>
      <c r="B67" s="3432"/>
      <c r="C67" s="1066" t="s">
        <v>1515</v>
      </c>
      <c r="D67" s="1066" t="s">
        <v>1516</v>
      </c>
      <c r="E67" s="1137">
        <v>0.2</v>
      </c>
      <c r="F67" s="1152">
        <v>30</v>
      </c>
    </row>
    <row r="68" spans="1:6" s="1103" customFormat="1" ht="36">
      <c r="A68" s="1152">
        <v>8</v>
      </c>
      <c r="B68" s="3432"/>
      <c r="C68" s="1066" t="s">
        <v>1517</v>
      </c>
      <c r="D68" s="1066" t="s">
        <v>1518</v>
      </c>
      <c r="E68" s="1137">
        <v>0.2</v>
      </c>
      <c r="F68" s="1152">
        <v>30</v>
      </c>
    </row>
    <row r="69" spans="1:6" s="1103" customFormat="1" ht="36">
      <c r="A69" s="1152">
        <v>9</v>
      </c>
      <c r="B69" s="3432"/>
      <c r="C69" s="1066" t="s">
        <v>1519</v>
      </c>
      <c r="D69" s="1066" t="s">
        <v>1520</v>
      </c>
      <c r="E69" s="1137">
        <v>0.2</v>
      </c>
      <c r="F69" s="1152">
        <v>30</v>
      </c>
    </row>
    <row r="70" spans="1:6" s="1103" customFormat="1" ht="48">
      <c r="A70" s="1152">
        <v>10</v>
      </c>
      <c r="B70" s="3432"/>
      <c r="C70" s="1066" t="s">
        <v>1521</v>
      </c>
      <c r="D70" s="1066" t="s">
        <v>1522</v>
      </c>
      <c r="E70" s="1137">
        <v>0.2</v>
      </c>
      <c r="F70" s="1152">
        <v>30</v>
      </c>
    </row>
    <row r="71" spans="1:6" s="1103" customFormat="1" ht="48">
      <c r="A71" s="1152">
        <v>11</v>
      </c>
      <c r="B71" s="3432"/>
      <c r="C71" s="1066" t="s">
        <v>1523</v>
      </c>
      <c r="D71" s="1066" t="s">
        <v>1524</v>
      </c>
      <c r="E71" s="1137">
        <v>0.2</v>
      </c>
      <c r="F71" s="1152">
        <v>30</v>
      </c>
    </row>
    <row r="72" spans="1:6" s="1103" customFormat="1" ht="36">
      <c r="A72" s="1152">
        <v>12</v>
      </c>
      <c r="B72" s="3432"/>
      <c r="C72" s="1066" t="s">
        <v>1525</v>
      </c>
      <c r="D72" s="1066" t="s">
        <v>1526</v>
      </c>
      <c r="E72" s="1137">
        <v>0.5</v>
      </c>
      <c r="F72" s="1152">
        <v>80</v>
      </c>
    </row>
    <row r="73" spans="1:6" s="1103" customFormat="1" ht="24">
      <c r="A73" s="1152">
        <v>13</v>
      </c>
      <c r="B73" s="3432"/>
      <c r="C73" s="1066" t="s">
        <v>1527</v>
      </c>
      <c r="D73" s="1066" t="s">
        <v>1528</v>
      </c>
      <c r="E73" s="1137">
        <v>0.4</v>
      </c>
      <c r="F73" s="1152">
        <v>60</v>
      </c>
    </row>
    <row r="74" spans="1:6" s="1103" customFormat="1" ht="24">
      <c r="A74" s="1152">
        <v>14</v>
      </c>
      <c r="B74" s="3432"/>
      <c r="C74" s="1066" t="s">
        <v>1529</v>
      </c>
      <c r="D74" s="1066" t="s">
        <v>1530</v>
      </c>
      <c r="E74" s="1137">
        <v>0.2</v>
      </c>
      <c r="F74" s="1152">
        <v>30</v>
      </c>
    </row>
    <row r="75" spans="1:6" s="1103" customFormat="1" ht="24">
      <c r="A75" s="1152">
        <v>15</v>
      </c>
      <c r="B75" s="3432"/>
      <c r="C75" s="1066" t="s">
        <v>1531</v>
      </c>
      <c r="D75" s="1066" t="s">
        <v>1532</v>
      </c>
      <c r="E75" s="1137">
        <v>0.2</v>
      </c>
      <c r="F75" s="1152">
        <v>30</v>
      </c>
    </row>
    <row r="76" spans="1:6" s="1103" customFormat="1" ht="24">
      <c r="A76" s="1152">
        <v>16</v>
      </c>
      <c r="B76" s="3432" t="s">
        <v>1533</v>
      </c>
      <c r="C76" s="1066" t="s">
        <v>1534</v>
      </c>
      <c r="D76" s="1066" t="s">
        <v>1535</v>
      </c>
      <c r="E76" s="1137">
        <v>0.5</v>
      </c>
      <c r="F76" s="1152">
        <v>80</v>
      </c>
    </row>
    <row r="77" spans="1:6" s="1103" customFormat="1" ht="24">
      <c r="A77" s="1152">
        <v>17</v>
      </c>
      <c r="B77" s="3432"/>
      <c r="C77" s="1066" t="s">
        <v>1536</v>
      </c>
      <c r="D77" s="1066" t="s">
        <v>1537</v>
      </c>
      <c r="E77" s="1137">
        <v>0.5</v>
      </c>
      <c r="F77" s="1152">
        <v>80</v>
      </c>
    </row>
    <row r="78" spans="1:6" s="1103" customFormat="1" ht="24">
      <c r="A78" s="1152">
        <v>18</v>
      </c>
      <c r="B78" s="3432"/>
      <c r="C78" s="1066" t="s">
        <v>1538</v>
      </c>
      <c r="D78" s="1066" t="s">
        <v>1539</v>
      </c>
      <c r="E78" s="1137">
        <v>0.2</v>
      </c>
      <c r="F78" s="1152">
        <v>30</v>
      </c>
    </row>
    <row r="79" spans="1:6" s="1103" customFormat="1" ht="24">
      <c r="A79" s="1152">
        <v>19</v>
      </c>
      <c r="B79" s="3432"/>
      <c r="C79" s="1066" t="s">
        <v>1540</v>
      </c>
      <c r="D79" s="1066" t="s">
        <v>1541</v>
      </c>
      <c r="E79" s="1137">
        <v>0.5</v>
      </c>
      <c r="F79" s="1152">
        <v>80</v>
      </c>
    </row>
    <row r="80" spans="1:6" s="1103" customFormat="1" ht="36">
      <c r="A80" s="1152">
        <v>20</v>
      </c>
      <c r="B80" s="3432"/>
      <c r="C80" s="1066" t="s">
        <v>1542</v>
      </c>
      <c r="D80" s="1066" t="s">
        <v>1543</v>
      </c>
      <c r="E80" s="1137">
        <v>0.2</v>
      </c>
      <c r="F80" s="1152">
        <v>30</v>
      </c>
    </row>
    <row r="81" spans="1:6" s="1103" customFormat="1" ht="36">
      <c r="A81" s="1152">
        <v>21</v>
      </c>
      <c r="B81" s="3432"/>
      <c r="C81" s="1066" t="s">
        <v>1544</v>
      </c>
      <c r="D81" s="1066" t="s">
        <v>1545</v>
      </c>
      <c r="E81" s="1137">
        <v>0.2</v>
      </c>
      <c r="F81" s="1152">
        <v>30</v>
      </c>
    </row>
    <row r="82" spans="1:6" s="1103" customFormat="1" ht="48">
      <c r="A82" s="1152">
        <v>22</v>
      </c>
      <c r="B82" s="3432"/>
      <c r="C82" s="1066" t="s">
        <v>1546</v>
      </c>
      <c r="D82" s="1066" t="s">
        <v>1547</v>
      </c>
      <c r="E82" s="1137">
        <v>0.2</v>
      </c>
      <c r="F82" s="1152">
        <v>30</v>
      </c>
    </row>
    <row r="83" spans="1:6" s="1103" customFormat="1" ht="48">
      <c r="A83" s="1152">
        <v>23</v>
      </c>
      <c r="B83" s="3432"/>
      <c r="C83" s="1066" t="s">
        <v>1548</v>
      </c>
      <c r="D83" s="1066" t="s">
        <v>1549</v>
      </c>
      <c r="E83" s="1137">
        <v>0.2</v>
      </c>
      <c r="F83" s="1152">
        <v>30</v>
      </c>
    </row>
    <row r="84" spans="1:6" s="1103" customFormat="1" ht="36">
      <c r="A84" s="1152">
        <v>24</v>
      </c>
      <c r="B84" s="3432"/>
      <c r="C84" s="1066" t="s">
        <v>1550</v>
      </c>
      <c r="D84" s="1066" t="s">
        <v>1551</v>
      </c>
      <c r="E84" s="1137">
        <v>0.2</v>
      </c>
      <c r="F84" s="1152">
        <v>30</v>
      </c>
    </row>
    <row r="85" spans="1:6" s="1103" customFormat="1" ht="36">
      <c r="A85" s="1152">
        <v>25</v>
      </c>
      <c r="B85" s="3432"/>
      <c r="C85" s="1066" t="s">
        <v>1552</v>
      </c>
      <c r="D85" s="1066" t="s">
        <v>1553</v>
      </c>
      <c r="E85" s="1137">
        <v>0.5</v>
      </c>
      <c r="F85" s="1152">
        <v>80</v>
      </c>
    </row>
    <row r="86" spans="1:6" s="1103" customFormat="1" ht="36">
      <c r="A86" s="1152">
        <v>26</v>
      </c>
      <c r="B86" s="3432"/>
      <c r="C86" s="1066" t="s">
        <v>1554</v>
      </c>
      <c r="D86" s="1066" t="s">
        <v>1555</v>
      </c>
      <c r="E86" s="1137">
        <v>0.2</v>
      </c>
      <c r="F86" s="1152">
        <v>30</v>
      </c>
    </row>
    <row r="87" spans="1:6" s="1103" customFormat="1" ht="36">
      <c r="A87" s="1152">
        <v>27</v>
      </c>
      <c r="B87" s="3432"/>
      <c r="C87" s="1066" t="s">
        <v>1556</v>
      </c>
      <c r="D87" s="1066" t="s">
        <v>1557</v>
      </c>
      <c r="E87" s="1137">
        <v>0.2</v>
      </c>
      <c r="F87" s="1152">
        <v>30</v>
      </c>
    </row>
    <row r="88" spans="1:6" s="1103" customFormat="1" ht="36">
      <c r="A88" s="1152">
        <v>28</v>
      </c>
      <c r="B88" s="3432"/>
      <c r="C88" s="1066" t="s">
        <v>1558</v>
      </c>
      <c r="D88" s="1066" t="s">
        <v>1559</v>
      </c>
      <c r="E88" s="1137">
        <v>0.2</v>
      </c>
      <c r="F88" s="1152">
        <v>30</v>
      </c>
    </row>
    <row r="89" spans="1:6" s="1103" customFormat="1" ht="24">
      <c r="A89" s="1152">
        <v>29</v>
      </c>
      <c r="B89" s="3432"/>
      <c r="C89" s="1066" t="s">
        <v>1560</v>
      </c>
      <c r="D89" s="1066" t="s">
        <v>1561</v>
      </c>
      <c r="E89" s="1137">
        <v>0.2</v>
      </c>
      <c r="F89" s="1152">
        <v>30</v>
      </c>
    </row>
    <row r="90" spans="1:6" s="1103" customFormat="1" ht="24">
      <c r="A90" s="1152">
        <v>30</v>
      </c>
      <c r="B90" s="3432"/>
      <c r="C90" s="1066" t="s">
        <v>1562</v>
      </c>
      <c r="D90" s="1066" t="s">
        <v>1563</v>
      </c>
      <c r="E90" s="1137">
        <v>0.2</v>
      </c>
      <c r="F90" s="1152">
        <v>30</v>
      </c>
    </row>
    <row r="91" spans="1:6" s="1103" customFormat="1" ht="36">
      <c r="A91" s="1152">
        <v>31</v>
      </c>
      <c r="B91" s="3432"/>
      <c r="C91" s="1066" t="s">
        <v>1564</v>
      </c>
      <c r="D91" s="1066" t="s">
        <v>1565</v>
      </c>
      <c r="E91" s="1137">
        <v>0.2</v>
      </c>
      <c r="F91" s="1152">
        <v>30</v>
      </c>
    </row>
    <row r="92" spans="1:6" s="1103" customFormat="1" ht="24">
      <c r="A92" s="1152">
        <v>32</v>
      </c>
      <c r="B92" s="3432" t="s">
        <v>1566</v>
      </c>
      <c r="C92" s="1152" t="s">
        <v>1567</v>
      </c>
      <c r="D92" s="1066" t="s">
        <v>1568</v>
      </c>
      <c r="E92" s="1137">
        <v>0.2</v>
      </c>
      <c r="F92" s="1152">
        <v>30</v>
      </c>
    </row>
    <row r="93" spans="1:6" s="1103" customFormat="1" ht="36">
      <c r="A93" s="1152">
        <v>33</v>
      </c>
      <c r="B93" s="3432"/>
      <c r="C93" s="1152" t="s">
        <v>1569</v>
      </c>
      <c r="D93" s="1066" t="s">
        <v>1570</v>
      </c>
      <c r="E93" s="1137">
        <v>0.2</v>
      </c>
      <c r="F93" s="1152">
        <v>30</v>
      </c>
    </row>
    <row r="94" spans="1:6" s="1103" customFormat="1" ht="48">
      <c r="A94" s="1152">
        <v>34</v>
      </c>
      <c r="B94" s="3432"/>
      <c r="C94" s="1152" t="s">
        <v>1571</v>
      </c>
      <c r="D94" s="1066" t="s">
        <v>1572</v>
      </c>
      <c r="E94" s="1137">
        <v>0.2</v>
      </c>
      <c r="F94" s="1152">
        <v>30</v>
      </c>
    </row>
    <row r="95" spans="1:6" s="1103" customFormat="1" ht="36">
      <c r="A95" s="1152">
        <v>35</v>
      </c>
      <c r="B95" s="3432"/>
      <c r="C95" s="1152" t="s">
        <v>1573</v>
      </c>
      <c r="D95" s="1066" t="s">
        <v>1574</v>
      </c>
      <c r="E95" s="1137">
        <v>0.2</v>
      </c>
      <c r="F95" s="1152">
        <v>30</v>
      </c>
    </row>
    <row r="96" spans="1:6" s="1103" customFormat="1" ht="48">
      <c r="A96" s="1152">
        <v>36</v>
      </c>
      <c r="B96" s="3432"/>
      <c r="C96" s="1066" t="s">
        <v>1575</v>
      </c>
      <c r="D96" s="1066" t="s">
        <v>1576</v>
      </c>
      <c r="E96" s="1137">
        <v>0.2</v>
      </c>
      <c r="F96" s="1152">
        <v>30</v>
      </c>
    </row>
    <row r="97" spans="1:6" s="1103" customFormat="1" ht="36">
      <c r="A97" s="1152">
        <v>37</v>
      </c>
      <c r="B97" s="3432"/>
      <c r="C97" s="1152" t="s">
        <v>1577</v>
      </c>
      <c r="D97" s="1066" t="s">
        <v>1578</v>
      </c>
      <c r="E97" s="1137">
        <v>0.2</v>
      </c>
      <c r="F97" s="1152">
        <v>30</v>
      </c>
    </row>
    <row r="98" spans="1:6" s="1103" customFormat="1" ht="36">
      <c r="A98" s="1152">
        <v>38</v>
      </c>
      <c r="B98" s="3432"/>
      <c r="C98" s="1152" t="s">
        <v>1579</v>
      </c>
      <c r="D98" s="1066" t="s">
        <v>1580</v>
      </c>
      <c r="E98" s="1137">
        <v>0.2</v>
      </c>
      <c r="F98" s="1152">
        <v>30</v>
      </c>
    </row>
    <row r="99" spans="1:6" s="1103" customFormat="1" ht="36">
      <c r="A99" s="1152">
        <v>39</v>
      </c>
      <c r="B99" s="3432" t="s">
        <v>1581</v>
      </c>
      <c r="C99" s="1152" t="s">
        <v>1582</v>
      </c>
      <c r="D99" s="1066" t="s">
        <v>1583</v>
      </c>
      <c r="E99" s="1137">
        <v>0.3</v>
      </c>
      <c r="F99" s="1152">
        <v>50</v>
      </c>
    </row>
    <row r="100" spans="1:6" s="1103" customFormat="1" ht="24">
      <c r="A100" s="1152">
        <v>40</v>
      </c>
      <c r="B100" s="3432"/>
      <c r="C100" s="1152" t="s">
        <v>1584</v>
      </c>
      <c r="D100" s="1066" t="s">
        <v>1585</v>
      </c>
      <c r="E100" s="1137">
        <v>0.2</v>
      </c>
      <c r="F100" s="1152">
        <v>30</v>
      </c>
    </row>
    <row r="101" spans="1:6" s="1103" customFormat="1" ht="36">
      <c r="A101" s="1152">
        <v>41</v>
      </c>
      <c r="B101" s="3432"/>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2" t="s">
        <v>1596</v>
      </c>
      <c r="C105" s="1152" t="s">
        <v>1597</v>
      </c>
      <c r="D105" s="1066" t="s">
        <v>1598</v>
      </c>
      <c r="E105" s="1137">
        <v>0.2</v>
      </c>
      <c r="F105" s="1152">
        <v>30</v>
      </c>
    </row>
    <row r="106" spans="1:6" s="1103" customFormat="1" ht="36">
      <c r="A106" s="1152">
        <v>46</v>
      </c>
      <c r="B106" s="3432"/>
      <c r="C106" s="1152" t="s">
        <v>1599</v>
      </c>
      <c r="D106" s="1066" t="s">
        <v>1600</v>
      </c>
      <c r="E106" s="1137">
        <v>0.2</v>
      </c>
      <c r="F106" s="1152">
        <v>30</v>
      </c>
    </row>
    <row r="107" spans="1:6" s="1103" customFormat="1" ht="36">
      <c r="A107" s="1152">
        <v>47</v>
      </c>
      <c r="B107" s="3432" t="s">
        <v>1601</v>
      </c>
      <c r="C107" s="1152" t="s">
        <v>1602</v>
      </c>
      <c r="D107" s="1066" t="s">
        <v>1603</v>
      </c>
      <c r="E107" s="1137">
        <v>0.3</v>
      </c>
      <c r="F107" s="1152">
        <v>50</v>
      </c>
    </row>
    <row r="108" spans="1:6" s="1103" customFormat="1" ht="36">
      <c r="A108" s="1152">
        <v>48</v>
      </c>
      <c r="B108" s="3432"/>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2" t="s">
        <v>1612</v>
      </c>
      <c r="C111" s="1152" t="s">
        <v>1613</v>
      </c>
      <c r="D111" s="1066" t="s">
        <v>1614</v>
      </c>
      <c r="E111" s="1137">
        <v>0.2</v>
      </c>
      <c r="F111" s="1152">
        <v>30</v>
      </c>
    </row>
    <row r="112" spans="1:6" s="1103" customFormat="1" ht="24">
      <c r="A112" s="1152">
        <v>52</v>
      </c>
      <c r="B112" s="3432"/>
      <c r="C112" s="1152" t="s">
        <v>1615</v>
      </c>
      <c r="D112" s="1066" t="s">
        <v>1616</v>
      </c>
      <c r="E112" s="1137">
        <v>0.2</v>
      </c>
      <c r="F112" s="1152">
        <v>30</v>
      </c>
    </row>
    <row r="113" spans="1:14" s="1103" customFormat="1" ht="24">
      <c r="A113" s="1152">
        <v>53</v>
      </c>
      <c r="B113" s="3432"/>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2" t="s">
        <v>1625</v>
      </c>
      <c r="C116" s="1152" t="s">
        <v>1626</v>
      </c>
      <c r="D116" s="1066" t="s">
        <v>1627</v>
      </c>
      <c r="E116" s="1137">
        <v>0.2</v>
      </c>
      <c r="F116" s="1152">
        <v>30</v>
      </c>
    </row>
    <row r="117" spans="1:14" ht="36">
      <c r="A117" s="1152">
        <v>57</v>
      </c>
      <c r="B117" s="3432"/>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31" t="s">
        <v>1634</v>
      </c>
      <c r="B121" s="3431"/>
      <c r="C121" s="3431"/>
      <c r="D121" s="3431"/>
      <c r="E121" s="3431"/>
      <c r="F121" s="3431"/>
      <c r="G121" s="3431"/>
      <c r="H121" s="3431"/>
      <c r="I121" s="3431"/>
      <c r="J121" s="343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6" t="s">
        <v>1040</v>
      </c>
      <c r="B1" s="3436"/>
      <c r="C1" s="3436"/>
      <c r="D1" s="3436"/>
      <c r="E1" s="3436"/>
      <c r="F1" s="343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7" t="s">
        <v>1053</v>
      </c>
      <c r="B2" s="3437"/>
      <c r="C2" s="3437"/>
      <c r="D2" s="3437"/>
      <c r="E2" s="3437"/>
      <c r="F2" s="343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0" t="s">
        <v>2080</v>
      </c>
      <c r="B1" s="3440"/>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2952</v>
      </c>
      <c r="B1" s="3079"/>
      <c r="C1" s="3079"/>
      <c r="D1" s="3079"/>
      <c r="E1" s="3079"/>
      <c r="F1" s="3079"/>
    </row>
    <row r="2" spans="1:6" ht="14.25">
      <c r="A2" s="3080" t="s">
        <v>2947</v>
      </c>
      <c r="B2" s="3081" t="e">
        <f ca="1">SUMIF(B7:B14,"&lt;&gt;#ref!",B7:B14)</f>
        <v>#DIV/0!</v>
      </c>
      <c r="C2" s="3080" t="s">
        <v>2948</v>
      </c>
      <c r="D2" s="3079"/>
      <c r="E2" s="3079"/>
      <c r="F2" s="3079"/>
    </row>
    <row r="3" spans="1:6" ht="14.25">
      <c r="A3" s="3080" t="s">
        <v>2980</v>
      </c>
      <c r="B3" s="3081" t="e">
        <f ca="1">ROUND(B2*10000/E3,0)</f>
        <v>#DIV/0!</v>
      </c>
      <c r="C3" s="3080" t="s">
        <v>2079</v>
      </c>
      <c r="D3" s="3080" t="s">
        <v>2949</v>
      </c>
      <c r="E3" s="3081">
        <f ca="1">SUMIF(E7:E14,"&lt;&gt;#ref!",E7:E14)</f>
        <v>0</v>
      </c>
      <c r="F3" s="3079"/>
    </row>
    <row r="4" spans="1:6" ht="14.25">
      <c r="A4" s="3080" t="s">
        <v>2956</v>
      </c>
      <c r="B4" s="3081" t="e">
        <f ca="1">ROUND(B2*10000/E4,0)</f>
        <v>#DIV/0!</v>
      </c>
      <c r="C4" s="3080" t="s">
        <v>2079</v>
      </c>
      <c r="D4" s="3080" t="s">
        <v>2957</v>
      </c>
      <c r="E4" s="3081">
        <f ca="1">SUMIF(F7:F14,"&lt;&gt;#ref!",F7:F14)</f>
        <v>0</v>
      </c>
      <c r="F4" s="3079"/>
    </row>
    <row r="5" spans="1:6" ht="14.25">
      <c r="A5" s="3082"/>
      <c r="B5" s="1879"/>
      <c r="C5" s="1879"/>
      <c r="D5" s="1879"/>
      <c r="E5" s="1879"/>
      <c r="F5" s="3079"/>
    </row>
    <row r="6" spans="1:6" ht="28.5">
      <c r="A6" s="3083" t="s">
        <v>2953</v>
      </c>
      <c r="B6" s="3080" t="s">
        <v>2950</v>
      </c>
      <c r="C6" s="3081"/>
      <c r="D6" s="1879"/>
      <c r="E6" s="3080" t="s">
        <v>2951</v>
      </c>
      <c r="F6" s="3080" t="s">
        <v>2955</v>
      </c>
    </row>
    <row r="7" spans="1:6" ht="14.25">
      <c r="A7" s="259" t="s">
        <v>2954</v>
      </c>
      <c r="B7" s="3084" t="e">
        <f ca="1">SUMIF(INDIRECT("'"&amp;A7&amp;"'"&amp;"!A:A"),"总价",INDIRECT("'"&amp;A7&amp;"'"&amp;"!B:B"))</f>
        <v>#DIV/0!</v>
      </c>
      <c r="C7" s="3080" t="s">
        <v>2948</v>
      </c>
      <c r="D7" s="1879"/>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2948</v>
      </c>
      <c r="D8" s="1879"/>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2948</v>
      </c>
      <c r="D9" s="1879"/>
      <c r="E9" s="3085" t="e">
        <f t="shared" ca="1" si="1"/>
        <v>#REF!</v>
      </c>
      <c r="F9" s="3085" t="e">
        <f t="shared" ca="1" si="2"/>
        <v>#REF!</v>
      </c>
    </row>
    <row r="10" spans="1:6" ht="14.25">
      <c r="A10" s="259"/>
      <c r="B10" s="3084" t="e">
        <f t="shared" ca="1" si="0"/>
        <v>#REF!</v>
      </c>
      <c r="C10" s="3080" t="s">
        <v>2948</v>
      </c>
      <c r="D10" s="1879"/>
      <c r="E10" s="3085" t="e">
        <f t="shared" ca="1" si="1"/>
        <v>#REF!</v>
      </c>
      <c r="F10" s="3085" t="e">
        <f t="shared" ca="1" si="2"/>
        <v>#REF!</v>
      </c>
    </row>
    <row r="11" spans="1:6" ht="14.25">
      <c r="A11" s="259"/>
      <c r="B11" s="3084" t="e">
        <f t="shared" ca="1" si="0"/>
        <v>#REF!</v>
      </c>
      <c r="C11" s="3080" t="s">
        <v>2948</v>
      </c>
      <c r="D11" s="1879"/>
      <c r="E11" s="3085" t="e">
        <f t="shared" ca="1" si="1"/>
        <v>#REF!</v>
      </c>
      <c r="F11" s="3085" t="e">
        <f t="shared" ca="1" si="2"/>
        <v>#REF!</v>
      </c>
    </row>
    <row r="12" spans="1:6" ht="14.25">
      <c r="A12" s="259"/>
      <c r="B12" s="3084" t="e">
        <f t="shared" ca="1" si="0"/>
        <v>#REF!</v>
      </c>
      <c r="C12" s="3080" t="s">
        <v>2948</v>
      </c>
      <c r="D12" s="1879"/>
      <c r="E12" s="3085" t="e">
        <f t="shared" ca="1" si="1"/>
        <v>#REF!</v>
      </c>
      <c r="F12" s="3085" t="e">
        <f t="shared" ca="1" si="2"/>
        <v>#REF!</v>
      </c>
    </row>
    <row r="13" spans="1:6" ht="14.25">
      <c r="A13" s="259"/>
      <c r="B13" s="3084" t="e">
        <f t="shared" ca="1" si="0"/>
        <v>#REF!</v>
      </c>
      <c r="C13" s="3080" t="s">
        <v>2948</v>
      </c>
      <c r="D13" s="1879"/>
      <c r="E13" s="3085" t="e">
        <f t="shared" ca="1" si="1"/>
        <v>#REF!</v>
      </c>
      <c r="F13" s="3085" t="e">
        <f t="shared" ca="1" si="2"/>
        <v>#REF!</v>
      </c>
    </row>
    <row r="14" spans="1:6" ht="14.25">
      <c r="A14" s="3078"/>
      <c r="B14" s="3084" t="e">
        <f t="shared" ca="1" si="0"/>
        <v>#REF!</v>
      </c>
      <c r="C14" s="3080" t="s">
        <v>2948</v>
      </c>
      <c r="D14" s="1879"/>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2374</v>
      </c>
      <c r="F1" s="2365">
        <f ca="1">J54</f>
        <v>-2.5</v>
      </c>
      <c r="G1" s="773">
        <f>MATCH(C1,'数据-取费表'!A6:A16,0)+5</f>
        <v>10</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5" t="s">
        <v>695</v>
      </c>
      <c r="I3" s="2055"/>
      <c r="J3" s="2055"/>
      <c r="K3" s="2056"/>
      <c r="L3" s="2055"/>
      <c r="M3" s="2055"/>
    </row>
    <row r="4" spans="1:25" ht="18" customHeight="1">
      <c r="A4" s="1644" t="s">
        <v>696</v>
      </c>
      <c r="B4" s="1350">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3" t="s">
        <v>2461</v>
      </c>
      <c r="E7" s="2467"/>
      <c r="F7" s="2468"/>
      <c r="G7" s="1590"/>
      <c r="H7" s="780">
        <v>1</v>
      </c>
      <c r="I7" s="781" t="s">
        <v>2458</v>
      </c>
      <c r="J7" s="53">
        <f ca="1">J8+J12+J14</f>
        <v>0</v>
      </c>
      <c r="K7" s="2473" t="s">
        <v>2461</v>
      </c>
      <c r="L7" s="2467"/>
      <c r="M7" s="2468"/>
    </row>
    <row r="8" spans="1:25" ht="18" customHeight="1">
      <c r="A8" s="1828" t="s">
        <v>1825</v>
      </c>
      <c r="B8" s="3442" t="s">
        <v>2463</v>
      </c>
      <c r="C8" s="1823">
        <f ca="1">ROUND(F8*F10*F9*(1-F11)/10000,0)</f>
        <v>0</v>
      </c>
      <c r="D8" s="1820" t="s">
        <v>2534</v>
      </c>
      <c r="E8" s="61" t="s">
        <v>637</v>
      </c>
      <c r="F8" s="784">
        <f ca="1">INDIRECT("'数据-取费表'!u"&amp;$G$1)</f>
        <v>0</v>
      </c>
      <c r="G8" s="1590"/>
      <c r="H8" s="2481" t="s">
        <v>1825</v>
      </c>
      <c r="I8" s="3442" t="s">
        <v>2463</v>
      </c>
      <c r="J8" s="782">
        <f ca="1">ROUND(M8*M10*M9*(1-M11)/10000,0)</f>
        <v>0</v>
      </c>
      <c r="K8" s="340" t="s">
        <v>2534</v>
      </c>
      <c r="L8" s="783" t="s">
        <v>1739</v>
      </c>
      <c r="M8" s="784">
        <f ca="1">INDIRECT("'数据-取费表'!z"&amp;$G$1)</f>
        <v>0</v>
      </c>
    </row>
    <row r="9" spans="1:25" ht="18" customHeight="1">
      <c r="A9" s="2477"/>
      <c r="B9" s="3443"/>
      <c r="C9" s="1824"/>
      <c r="D9" s="1821"/>
      <c r="E9" s="61" t="s">
        <v>638</v>
      </c>
      <c r="F9" s="784">
        <f ca="1">IF(INDIRECT("'数据-取费表'!ah"&amp;$G$1)="",INDIRECT("'数据-取费表'!k"&amp;$G$1),INDIRECT("'数据-取费表'!ah"&amp;$G$1))</f>
        <v>0</v>
      </c>
      <c r="G9" s="1590"/>
      <c r="H9" s="2466"/>
      <c r="I9" s="3443"/>
      <c r="J9" s="787"/>
      <c r="K9" s="788"/>
      <c r="L9" s="783" t="s">
        <v>1740</v>
      </c>
      <c r="M9" s="784">
        <f ca="1">F9</f>
        <v>0</v>
      </c>
    </row>
    <row r="10" spans="1:25" ht="18" customHeight="1">
      <c r="A10" s="2470"/>
      <c r="B10" s="3444"/>
      <c r="C10" s="1824"/>
      <c r="D10" s="1821"/>
      <c r="E10" s="61" t="s">
        <v>639</v>
      </c>
      <c r="F10" s="784">
        <f ca="1">INDIRECT("'数据-取费表'!ai"&amp;$G$1)</f>
        <v>0</v>
      </c>
      <c r="G10" s="1590"/>
      <c r="H10" s="2466"/>
      <c r="I10" s="3444"/>
      <c r="J10" s="787"/>
      <c r="K10" s="788"/>
      <c r="L10" s="783" t="s">
        <v>1741</v>
      </c>
      <c r="M10" s="784">
        <f ca="1">INDIRECT("'数据-取费表'!ai"&amp;$G$1)</f>
        <v>0</v>
      </c>
    </row>
    <row r="11" spans="1:25" ht="18" customHeight="1">
      <c r="A11" s="785"/>
      <c r="B11" s="3445"/>
      <c r="C11" s="1824"/>
      <c r="D11" s="1821"/>
      <c r="E11" s="61" t="s">
        <v>640</v>
      </c>
      <c r="F11" s="793">
        <f ca="1">INDIRECT("'数据-取费表'!w"&amp;$G$1)</f>
        <v>0</v>
      </c>
      <c r="G11" s="1590"/>
      <c r="H11" s="2482"/>
      <c r="I11" s="3444"/>
      <c r="J11" s="787"/>
      <c r="K11" s="788"/>
      <c r="L11" s="794" t="s">
        <v>1742</v>
      </c>
      <c r="M11" s="795">
        <f ca="1">INDIRECT("'数据-取费表'!ab"&amp;$G$1)</f>
        <v>0</v>
      </c>
    </row>
    <row r="12" spans="1:25" ht="18" customHeight="1">
      <c r="A12" s="1828" t="s">
        <v>1826</v>
      </c>
      <c r="B12" s="2471" t="s">
        <v>2459</v>
      </c>
      <c r="C12" s="798">
        <f ca="1">ROUND(IF(F12="押一",C8/12*F13,IF(F12="押二",C8/12*2*F13,IF(F12="押三",C8/12*3*F13,C13*F13))),0)</f>
        <v>0</v>
      </c>
      <c r="D12" s="2478" t="s">
        <v>2977</v>
      </c>
      <c r="E12" s="2475" t="s">
        <v>2464</v>
      </c>
      <c r="F12" s="2598"/>
      <c r="G12" s="1590"/>
      <c r="H12" s="2538" t="s">
        <v>1826</v>
      </c>
      <c r="I12" s="2543" t="s">
        <v>2459</v>
      </c>
      <c r="J12" s="782">
        <f ca="1">ROUND(IF(M12="押一",J8/12*M13,IF(M12="押二",J8/12*2*M13,IF(M12="押三",J8/12*3*M13,J13*M13))),0)</f>
        <v>0</v>
      </c>
      <c r="K12" s="2478" t="s">
        <v>2977</v>
      </c>
      <c r="L12" s="2475" t="s">
        <v>2464</v>
      </c>
      <c r="M12" s="2598"/>
    </row>
    <row r="13" spans="1:25" ht="18" customHeight="1">
      <c r="A13" s="789"/>
      <c r="B13" s="2472" t="s">
        <v>2573</v>
      </c>
      <c r="C13" s="2476"/>
      <c r="D13" s="788"/>
      <c r="E13" s="2475" t="s">
        <v>2456</v>
      </c>
      <c r="F13" s="795">
        <f ca="1">'数据-取费表'!B39</f>
        <v>1.4999999999999999E-2</v>
      </c>
      <c r="G13" s="1590"/>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0"/>
      <c r="H14" s="2528" t="s">
        <v>2467</v>
      </c>
      <c r="I14" s="2541" t="s">
        <v>2460</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4</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2437</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2.5</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8.9999999999999998E-4</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4" t="s">
        <v>2822</v>
      </c>
      <c r="J27" s="798">
        <f ca="1">J7-J18</f>
        <v>0</v>
      </c>
      <c r="K27" s="1977" t="s">
        <v>700</v>
      </c>
      <c r="L27" s="1979"/>
      <c r="M27" s="819"/>
    </row>
    <row r="28" spans="1:25" ht="18" customHeight="1">
      <c r="A28" s="802" t="s">
        <v>1876</v>
      </c>
      <c r="B28" s="783" t="s">
        <v>2438</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5"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4</v>
      </c>
      <c r="G36" s="2060"/>
      <c r="H36" s="2063"/>
      <c r="I36" s="3441"/>
      <c r="J36" s="2077"/>
      <c r="K36" s="2078"/>
      <c r="L36" s="2077"/>
      <c r="M36" s="2077"/>
    </row>
    <row r="37" spans="1:18" ht="18" customHeight="1">
      <c r="A37" s="814"/>
      <c r="B37" s="792"/>
      <c r="C37" s="69"/>
      <c r="D37" s="815"/>
      <c r="E37" s="783" t="s">
        <v>674</v>
      </c>
      <c r="F37" s="784">
        <f ca="1">INDIRECT("'数据-取费表'!r"&amp;$G$1)</f>
        <v>0</v>
      </c>
      <c r="G37" s="2060"/>
      <c r="H37" s="2063"/>
      <c r="I37" s="344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096" t="s">
        <v>2965</v>
      </c>
      <c r="F43" s="3097">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11">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098" t="s">
        <v>2968</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2343</v>
      </c>
      <c r="J47" s="2356"/>
      <c r="K47" s="2357"/>
      <c r="L47" s="3131" t="str">
        <f ca="1">IF(M48="住宅",0,IF(L49&gt;J52,L61,J61))</f>
        <v>0</v>
      </c>
      <c r="O47" s="2371" t="s">
        <v>2410</v>
      </c>
      <c r="P47" s="1590"/>
      <c r="Q47" s="1602"/>
      <c r="R47" s="1590"/>
    </row>
    <row r="48" spans="1:18" s="2057" customFormat="1" ht="18" customHeight="1" thickBot="1">
      <c r="A48" s="2082"/>
      <c r="C48" s="2085"/>
      <c r="D48" s="2086"/>
      <c r="E48" s="2086"/>
      <c r="F48" s="2087"/>
      <c r="G48" s="2088"/>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7" customFormat="1" ht="18" customHeight="1" thickBot="1">
      <c r="A49" s="2082"/>
      <c r="D49" s="2089"/>
      <c r="E49" s="2090"/>
      <c r="F49" s="2087"/>
      <c r="G49" s="2088"/>
      <c r="H49" s="2091"/>
      <c r="I49" s="3100" t="s">
        <v>2345</v>
      </c>
      <c r="J49" s="2359"/>
      <c r="K49" s="3129" t="s">
        <v>2351</v>
      </c>
      <c r="L49" s="1906">
        <f ca="1">INDIRECT("'数据-取费表'!f"&amp;$G$1)</f>
        <v>0</v>
      </c>
      <c r="O49" s="2375" t="s">
        <v>2379</v>
      </c>
      <c r="P49" s="2376" t="s">
        <v>2405</v>
      </c>
      <c r="Q49" s="2377">
        <f ca="1">C41+J31</f>
        <v>0</v>
      </c>
      <c r="R49" s="2376" t="s">
        <v>2380</v>
      </c>
    </row>
    <row r="50" spans="1:18" s="2057" customFormat="1" ht="18" customHeight="1" thickBot="1">
      <c r="A50" s="2082"/>
      <c r="D50" s="2092"/>
      <c r="E50" s="2092"/>
      <c r="F50" s="2086"/>
      <c r="G50" s="2093"/>
      <c r="H50" s="2091"/>
      <c r="I50" s="3100" t="s">
        <v>2346</v>
      </c>
      <c r="J50" s="2360"/>
      <c r="K50" s="3130" t="s">
        <v>2352</v>
      </c>
      <c r="L50" s="2361"/>
      <c r="O50" s="2375" t="s">
        <v>2381</v>
      </c>
      <c r="P50" s="2376" t="s">
        <v>2406</v>
      </c>
      <c r="Q50" s="2377" t="str">
        <f ca="1">J61</f>
        <v>0</v>
      </c>
      <c r="R50" s="2376" t="s">
        <v>2382</v>
      </c>
    </row>
    <row r="51" spans="1:18" s="2057" customFormat="1" ht="18" customHeight="1" thickBot="1">
      <c r="A51" s="2094"/>
      <c r="D51" s="2092"/>
      <c r="E51" s="2092"/>
      <c r="F51" s="2083"/>
      <c r="H51" s="2091"/>
      <c r="I51" s="3100" t="s">
        <v>2347</v>
      </c>
      <c r="J51" s="3125">
        <f>SUMPRODUCT((I64:I66=J48)*(J63:L63=J49)*(J64:L66))</f>
        <v>0</v>
      </c>
      <c r="K51" s="3130" t="s">
        <v>2353</v>
      </c>
      <c r="L51" s="2361"/>
      <c r="O51" s="2378" t="s">
        <v>2383</v>
      </c>
      <c r="P51" s="2376" t="s">
        <v>2407</v>
      </c>
      <c r="Q51" s="2377">
        <f ca="1">C31</f>
        <v>0</v>
      </c>
      <c r="R51" s="2376" t="s">
        <v>2380</v>
      </c>
    </row>
    <row r="52" spans="1:18" s="2057" customFormat="1" ht="18" customHeight="1" thickBot="1">
      <c r="A52" s="2094"/>
      <c r="F52" s="2083"/>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7" customFormat="1" ht="18" customHeight="1" thickBot="1">
      <c r="A53" s="2094"/>
      <c r="F53" s="2083"/>
      <c r="I53" s="3123" t="s">
        <v>2421</v>
      </c>
      <c r="J53" s="2362"/>
      <c r="K53" s="3123" t="s">
        <v>2420</v>
      </c>
      <c r="L53" s="2362"/>
      <c r="O53" s="2378" t="s">
        <v>2386</v>
      </c>
      <c r="P53" s="2376" t="s">
        <v>2387</v>
      </c>
      <c r="Q53" s="2379">
        <f>J53</f>
        <v>0</v>
      </c>
      <c r="R53" s="2380"/>
    </row>
    <row r="54" spans="1:18" s="2057" customFormat="1" ht="29.25" thickBot="1">
      <c r="A54" s="2094"/>
      <c r="I54" s="3124" t="s">
        <v>2981</v>
      </c>
      <c r="J54" s="3127">
        <f ca="1">IF(M48="住宅",MAX(J52,L49-'数据-取费表'!B20),MIN(J52,L49-'数据-取费表'!B20))</f>
        <v>-2.5</v>
      </c>
      <c r="K54" s="3446"/>
      <c r="L54" s="3447"/>
      <c r="O54" s="2378" t="s">
        <v>2388</v>
      </c>
      <c r="P54" s="2376" t="s">
        <v>2389</v>
      </c>
      <c r="Q54" s="2377">
        <f ca="1">J54</f>
        <v>-2.5</v>
      </c>
      <c r="R54" s="2376" t="s">
        <v>2390</v>
      </c>
    </row>
    <row r="55" spans="1:18" s="2057" customFormat="1" ht="18" customHeight="1" thickBot="1">
      <c r="A55" s="2094"/>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7" customFormat="1" ht="16.5" thickBot="1">
      <c r="A56" s="2094"/>
      <c r="B56" s="2095"/>
      <c r="C56" s="2095"/>
      <c r="I56" s="3136" t="s">
        <v>2355</v>
      </c>
      <c r="J56" s="3075" t="e">
        <f ca="1">ROUND(IF(J48="钢混",J58/J51,1-(1-2%)*(J51-J58)/J51),3)</f>
        <v>#VALUE!</v>
      </c>
      <c r="K56" s="3137" t="s">
        <v>2356</v>
      </c>
      <c r="L56" s="2363"/>
      <c r="O56" s="2381" t="s">
        <v>2411</v>
      </c>
      <c r="P56" s="1590"/>
      <c r="Q56" s="1602"/>
      <c r="R56" s="1590"/>
    </row>
    <row r="57" spans="1:18" s="2057" customFormat="1" ht="43.5" thickBot="1">
      <c r="A57" s="2094"/>
      <c r="B57" s="2095"/>
      <c r="C57" s="2095"/>
      <c r="I57" s="3138" t="s">
        <v>2357</v>
      </c>
      <c r="J57" s="3148" t="s">
        <v>1679</v>
      </c>
      <c r="K57" s="3100" t="s">
        <v>2362</v>
      </c>
      <c r="L57" s="1906">
        <f ca="1">IF(L49&lt;J52,"——",L49-J52)</f>
        <v>0</v>
      </c>
      <c r="O57" s="2372" t="s">
        <v>2375</v>
      </c>
      <c r="P57" s="2373" t="s">
        <v>2376</v>
      </c>
      <c r="Q57" s="2374" t="s">
        <v>2377</v>
      </c>
      <c r="R57" s="2373" t="s">
        <v>2378</v>
      </c>
    </row>
    <row r="58" spans="1:18" s="2057" customFormat="1" ht="29.25" thickBot="1">
      <c r="A58" s="2094"/>
      <c r="B58" s="2095"/>
      <c r="C58" s="2095"/>
      <c r="I58" s="3139" t="s">
        <v>2358</v>
      </c>
      <c r="J58" s="3140" t="str">
        <f ca="1">IF(OR(M48="住宅",J52&lt;L49,J57="是"),"——",J52-L49)</f>
        <v>——</v>
      </c>
      <c r="K58" s="3100" t="s">
        <v>2363</v>
      </c>
      <c r="L58" s="1906">
        <f ca="1">IF(L49&lt;J52,"——",IF(L56="比较法",L50,IF(L56="基准地价",L51,L52)))</f>
        <v>0</v>
      </c>
      <c r="O58" s="2375" t="s">
        <v>2379</v>
      </c>
      <c r="P58" s="2376" t="s">
        <v>2405</v>
      </c>
      <c r="Q58" s="2377">
        <f ca="1">C41+J31</f>
        <v>0</v>
      </c>
      <c r="R58" s="2376" t="s">
        <v>2380</v>
      </c>
    </row>
    <row r="59" spans="1:18" s="2057" customFormat="1" ht="29.25" thickBot="1">
      <c r="A59" s="2094"/>
      <c r="B59" s="2095"/>
      <c r="C59" s="2095"/>
      <c r="I59" s="3139" t="s">
        <v>2359</v>
      </c>
      <c r="J59" s="3076" t="e">
        <f ca="1">IF(J56&lt;0.4,0.4,J56)</f>
        <v>#VALUE!</v>
      </c>
      <c r="K59" s="3100" t="s">
        <v>2364</v>
      </c>
      <c r="L59" s="1906">
        <f ca="1">IF(ISERROR(POWER(1+L53,L48-L49)*(POWER(1+L53,L49)-1)/(POWER(1+L53,L48)-1)),0,POWER(1+L53,L48-L49)*(POWER(1+L53,L49)-1)/(POWER(1+L53,L48)-1))</f>
        <v>0</v>
      </c>
      <c r="O59" s="2375" t="s">
        <v>2381</v>
      </c>
      <c r="P59" s="2376" t="s">
        <v>2412</v>
      </c>
      <c r="Q59" s="2377" t="e">
        <f ca="1">L61</f>
        <v>#DIV/0!</v>
      </c>
      <c r="R59" s="2380" t="s">
        <v>2414</v>
      </c>
    </row>
    <row r="60" spans="1:18" s="2057" customFormat="1" ht="29.25" thickBot="1">
      <c r="A60" s="2094"/>
      <c r="B60" s="2095"/>
      <c r="C60" s="2095"/>
      <c r="I60" s="3139" t="s">
        <v>2360</v>
      </c>
      <c r="J60" s="3140" t="str">
        <f ca="1">IF(OR(M48="住宅",J52&lt;L49,J57="是"),"——",ROUND(C30*J59,0))</f>
        <v>——</v>
      </c>
      <c r="K60" s="3100" t="s">
        <v>2365</v>
      </c>
      <c r="L60" s="1906">
        <f ca="1">IF(ISERROR(POWER(1+L53,L48-J52)*(POWER(1+L53,J52)-1)/(POWER(1+L53,L48)-1)),0,POWER(1+L53,L48-J52)*(POWER(1+L53,J52)-1)/(POWER(1+L53,L48)-1))</f>
        <v>0</v>
      </c>
      <c r="O60" s="2378" t="s">
        <v>2383</v>
      </c>
      <c r="P60" s="2376" t="s">
        <v>2413</v>
      </c>
      <c r="Q60" s="2377">
        <f>IF(L56="比较法",L50,IF(L56="基准地价",L51,0))</f>
        <v>0</v>
      </c>
      <c r="R60" s="2376" t="s">
        <v>2380</v>
      </c>
    </row>
    <row r="61" spans="1:18" s="2057" customFormat="1" ht="15.75" thickBot="1">
      <c r="A61" s="2094"/>
      <c r="B61" s="2095"/>
      <c r="C61" s="2095"/>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7" customFormat="1" ht="20.25" thickBot="1">
      <c r="A62" s="2094"/>
      <c r="B62" s="2095"/>
      <c r="C62" s="2095"/>
      <c r="K62" s="2084"/>
      <c r="O62" s="2378" t="s">
        <v>2386</v>
      </c>
      <c r="P62" s="2376" t="s">
        <v>2394</v>
      </c>
      <c r="Q62" s="2377">
        <f ca="1">L59</f>
        <v>0</v>
      </c>
      <c r="R62" s="2380" t="s">
        <v>2395</v>
      </c>
    </row>
    <row r="63" spans="1:18" s="2057" customFormat="1" ht="20.25" thickBot="1">
      <c r="A63" s="2094"/>
      <c r="B63" s="2095"/>
      <c r="C63" s="2095"/>
      <c r="I63" s="3144" t="s">
        <v>2367</v>
      </c>
      <c r="J63" s="3145" t="s">
        <v>2368</v>
      </c>
      <c r="K63" s="3145" t="s">
        <v>2369</v>
      </c>
      <c r="L63" s="3145" t="s">
        <v>2350</v>
      </c>
      <c r="M63" s="3146" t="s">
        <v>2945</v>
      </c>
      <c r="O63" s="2378" t="s">
        <v>2388</v>
      </c>
      <c r="P63" s="2376" t="s">
        <v>2396</v>
      </c>
      <c r="Q63" s="2377">
        <f ca="1">L60</f>
        <v>0</v>
      </c>
      <c r="R63" s="2380" t="s">
        <v>2397</v>
      </c>
    </row>
    <row r="64" spans="1:18" s="2057" customFormat="1" ht="15.75" thickBot="1">
      <c r="A64" s="2094"/>
      <c r="B64" s="2095"/>
      <c r="C64" s="2095"/>
      <c r="I64" s="3144" t="s">
        <v>2370</v>
      </c>
      <c r="J64" s="3145">
        <v>70</v>
      </c>
      <c r="K64" s="3145">
        <v>50</v>
      </c>
      <c r="L64" s="3145">
        <v>80</v>
      </c>
      <c r="M64" s="3147">
        <v>0.02</v>
      </c>
      <c r="O64" s="2375" t="s">
        <v>2391</v>
      </c>
      <c r="P64" s="2376" t="s">
        <v>2408</v>
      </c>
      <c r="Q64" s="2377" t="e">
        <f ca="1">Q58+Q59</f>
        <v>#DIV/0!</v>
      </c>
      <c r="R64" s="2380" t="s">
        <v>2392</v>
      </c>
    </row>
    <row r="65" spans="1:18" s="2057" customFormat="1" ht="16.5" thickBot="1">
      <c r="A65" s="2094"/>
      <c r="B65" s="2095"/>
      <c r="C65" s="2095"/>
      <c r="I65" s="3144" t="s">
        <v>2371</v>
      </c>
      <c r="J65" s="3145">
        <v>50</v>
      </c>
      <c r="K65" s="3145">
        <v>35</v>
      </c>
      <c r="L65" s="3145">
        <v>60</v>
      </c>
      <c r="M65" s="845">
        <v>0</v>
      </c>
      <c r="O65" s="2381" t="s">
        <v>2415</v>
      </c>
      <c r="P65" s="1590"/>
      <c r="Q65" s="1602"/>
      <c r="R65" s="1590"/>
    </row>
    <row r="66" spans="1:18" s="2057" customFormat="1" ht="15.75" thickBot="1">
      <c r="A66" s="2094"/>
      <c r="B66" s="2095"/>
      <c r="C66" s="2095"/>
      <c r="I66" s="3144" t="s">
        <v>2372</v>
      </c>
      <c r="J66" s="3145">
        <v>40</v>
      </c>
      <c r="K66" s="3145">
        <v>30</v>
      </c>
      <c r="L66" s="3145">
        <v>50</v>
      </c>
      <c r="M66" s="3147">
        <v>0.02</v>
      </c>
      <c r="O66" s="2372" t="s">
        <v>2375</v>
      </c>
      <c r="P66" s="2373" t="s">
        <v>2376</v>
      </c>
      <c r="Q66" s="2374" t="s">
        <v>2377</v>
      </c>
      <c r="R66" s="2373" t="s">
        <v>2378</v>
      </c>
    </row>
    <row r="67" spans="1:18" s="2057" customFormat="1" ht="15.75" thickBot="1">
      <c r="A67" s="2094"/>
      <c r="B67" s="2095"/>
      <c r="C67" s="2095"/>
      <c r="K67" s="2084"/>
      <c r="O67" s="2375" t="s">
        <v>2379</v>
      </c>
      <c r="P67" s="2376" t="s">
        <v>2405</v>
      </c>
      <c r="Q67" s="2377">
        <f ca="1">C41+J31</f>
        <v>0</v>
      </c>
      <c r="R67" s="2376" t="s">
        <v>2380</v>
      </c>
    </row>
    <row r="68" spans="1:18" s="2057" customFormat="1" ht="20.25" thickBot="1">
      <c r="A68" s="2094"/>
      <c r="B68" s="2095"/>
      <c r="C68" s="2095"/>
      <c r="K68" s="2084"/>
      <c r="O68" s="2375" t="s">
        <v>2381</v>
      </c>
      <c r="P68" s="2376" t="s">
        <v>2412</v>
      </c>
      <c r="Q68" s="2377" t="e">
        <f ca="1">L61</f>
        <v>#DIV/0!</v>
      </c>
      <c r="R68" s="2380" t="s">
        <v>2414</v>
      </c>
    </row>
    <row r="69" spans="1:18" s="2057" customFormat="1" ht="21.75" thickBot="1">
      <c r="A69" s="2094"/>
      <c r="B69" s="2095"/>
      <c r="C69" s="2095"/>
      <c r="K69" s="2084"/>
      <c r="O69" s="2378" t="s">
        <v>2383</v>
      </c>
      <c r="P69" s="2376" t="s">
        <v>2413</v>
      </c>
      <c r="Q69" s="2382">
        <f ca="1">L52</f>
        <v>0</v>
      </c>
      <c r="R69" s="2383" t="s">
        <v>2416</v>
      </c>
    </row>
    <row r="70" spans="1:18" s="2057" customFormat="1" ht="20.25" thickBot="1">
      <c r="A70" s="2094"/>
      <c r="B70" s="2095"/>
      <c r="C70" s="2095"/>
      <c r="K70" s="2084"/>
      <c r="O70" s="2378" t="s">
        <v>2384</v>
      </c>
      <c r="P70" s="2384" t="s">
        <v>2398</v>
      </c>
      <c r="Q70" s="2377">
        <f ca="1">ROUND(Q71-Q72*Q73,0)</f>
        <v>0</v>
      </c>
      <c r="R70" s="2380"/>
    </row>
    <row r="71" spans="1:18" s="2057" customFormat="1" ht="15.75" thickBot="1">
      <c r="A71" s="2094"/>
      <c r="B71" s="2095"/>
      <c r="C71" s="2095"/>
      <c r="K71" s="2084"/>
      <c r="O71" s="2378" t="s">
        <v>2399</v>
      </c>
      <c r="P71" s="2384" t="s">
        <v>2400</v>
      </c>
      <c r="Q71" s="2377">
        <f ca="1">C42</f>
        <v>0</v>
      </c>
      <c r="R71" s="2376" t="s">
        <v>2380</v>
      </c>
    </row>
    <row r="72" spans="1:18" s="2057" customFormat="1" ht="15.75" thickBot="1">
      <c r="A72" s="2094"/>
      <c r="B72" s="2095"/>
      <c r="C72" s="2095"/>
      <c r="K72" s="2084"/>
      <c r="O72" s="2378" t="s">
        <v>2401</v>
      </c>
      <c r="P72" s="2384" t="s">
        <v>2402</v>
      </c>
      <c r="Q72" s="2377">
        <f ca="1">C15</f>
        <v>0</v>
      </c>
      <c r="R72" s="2376" t="s">
        <v>2380</v>
      </c>
    </row>
    <row r="73" spans="1:18" s="2057" customFormat="1" ht="15.75" thickBot="1">
      <c r="A73" s="2094"/>
      <c r="B73" s="2095"/>
      <c r="C73" s="2095"/>
      <c r="K73" s="2084"/>
      <c r="O73" s="2378" t="s">
        <v>2403</v>
      </c>
      <c r="P73" s="2384" t="s">
        <v>2404</v>
      </c>
      <c r="Q73" s="2379">
        <f ca="1">F43</f>
        <v>0</v>
      </c>
      <c r="R73" s="2380"/>
    </row>
    <row r="74" spans="1:18" s="2057" customFormat="1" ht="15.75" thickBot="1">
      <c r="A74" s="2094"/>
      <c r="B74" s="2095"/>
      <c r="C74" s="2095"/>
      <c r="K74" s="2084"/>
      <c r="O74" s="2378" t="s">
        <v>2386</v>
      </c>
      <c r="P74" s="2376" t="s">
        <v>2393</v>
      </c>
      <c r="Q74" s="2379">
        <f>L53</f>
        <v>0</v>
      </c>
      <c r="R74" s="2380"/>
    </row>
    <row r="75" spans="1:18" s="2057" customFormat="1" ht="20.25" thickBot="1">
      <c r="A75" s="2094"/>
      <c r="B75" s="2095"/>
      <c r="C75" s="2095"/>
      <c r="K75" s="2084"/>
      <c r="O75" s="2378" t="s">
        <v>2388</v>
      </c>
      <c r="P75" s="2376" t="s">
        <v>2394</v>
      </c>
      <c r="Q75" s="2377">
        <f ca="1">L59</f>
        <v>0</v>
      </c>
      <c r="R75" s="2380" t="s">
        <v>2395</v>
      </c>
    </row>
    <row r="76" spans="1:18" s="2057" customFormat="1" ht="20.25" thickBot="1">
      <c r="A76" s="2094"/>
      <c r="B76" s="2095"/>
      <c r="C76" s="2095"/>
      <c r="K76" s="2084"/>
      <c r="O76" s="2378" t="s">
        <v>2417</v>
      </c>
      <c r="P76" s="2376" t="s">
        <v>2396</v>
      </c>
      <c r="Q76" s="2377">
        <f ca="1">L60</f>
        <v>0</v>
      </c>
      <c r="R76" s="2380" t="s">
        <v>2397</v>
      </c>
    </row>
    <row r="77" spans="1:18" s="2057" customFormat="1" ht="15.75" thickBot="1">
      <c r="A77" s="2094"/>
      <c r="B77" s="2095"/>
      <c r="C77" s="2095"/>
      <c r="K77" s="2084"/>
      <c r="O77" s="2375" t="s">
        <v>2391</v>
      </c>
      <c r="P77" s="2376" t="s">
        <v>2408</v>
      </c>
      <c r="Q77" s="2377" t="e">
        <f ca="1">Q67+Q68</f>
        <v>#DIV/0!</v>
      </c>
      <c r="R77" s="2380"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55" t="s">
        <v>2576</v>
      </c>
      <c r="C1" s="3455"/>
      <c r="D1" s="3455"/>
      <c r="E1" s="3455"/>
      <c r="F1" s="3455"/>
      <c r="G1" s="3454" t="s">
        <v>2577</v>
      </c>
      <c r="H1" s="3454"/>
      <c r="I1" s="3454"/>
      <c r="J1" s="3454"/>
      <c r="K1" s="3454"/>
      <c r="L1" s="3454"/>
      <c r="N1" s="3454" t="s">
        <v>2578</v>
      </c>
      <c r="O1" s="3454"/>
      <c r="P1" s="3454"/>
      <c r="Q1" s="3454"/>
      <c r="R1" s="2631"/>
      <c r="S1" s="3454" t="s">
        <v>2579</v>
      </c>
      <c r="T1" s="3454"/>
      <c r="U1" s="3454"/>
      <c r="V1" s="3454"/>
      <c r="X1" s="3453" t="s">
        <v>2639</v>
      </c>
      <c r="Y1" s="3454"/>
      <c r="Z1" s="3454"/>
      <c r="AA1" s="3454"/>
      <c r="AB1" s="3454"/>
      <c r="AD1" s="3453" t="s">
        <v>2643</v>
      </c>
      <c r="AE1" s="3454"/>
      <c r="AF1" s="3454"/>
      <c r="AG1" s="3454"/>
      <c r="AH1" s="3454"/>
    </row>
    <row r="2" spans="1:34" s="2732" customFormat="1" ht="14.25" thickBot="1">
      <c r="B2" s="2740" t="s">
        <v>2580</v>
      </c>
      <c r="C2" s="2740" t="s">
        <v>2641</v>
      </c>
      <c r="D2" s="2733" t="s">
        <v>1645</v>
      </c>
      <c r="E2" s="2733" t="s">
        <v>1950</v>
      </c>
      <c r="F2" s="2740" t="s">
        <v>2642</v>
      </c>
      <c r="G2" s="2736"/>
      <c r="H2" s="2735"/>
      <c r="I2" s="2740" t="s">
        <v>2959</v>
      </c>
      <c r="J2" s="2733" t="s">
        <v>2961</v>
      </c>
      <c r="K2" s="2733" t="s">
        <v>2962</v>
      </c>
      <c r="L2" s="2740" t="s">
        <v>2963</v>
      </c>
      <c r="N2" s="2740" t="s">
        <v>2580</v>
      </c>
      <c r="O2" s="2733" t="s">
        <v>2960</v>
      </c>
      <c r="P2" s="2733" t="s">
        <v>1950</v>
      </c>
      <c r="Q2" s="2740" t="s">
        <v>2642</v>
      </c>
      <c r="R2" s="2734"/>
      <c r="S2" s="2740" t="s">
        <v>2580</v>
      </c>
      <c r="T2" s="2733" t="s">
        <v>2960</v>
      </c>
      <c r="U2" s="2733" t="s">
        <v>1950</v>
      </c>
      <c r="V2" s="2740" t="s">
        <v>2642</v>
      </c>
      <c r="X2" s="2740" t="s">
        <v>2580</v>
      </c>
      <c r="Y2" s="2740" t="s">
        <v>2641</v>
      </c>
      <c r="Z2" s="2733" t="s">
        <v>1645</v>
      </c>
      <c r="AA2" s="2733" t="s">
        <v>1950</v>
      </c>
      <c r="AB2" s="2740" t="s">
        <v>2642</v>
      </c>
      <c r="AD2" s="2740" t="s">
        <v>2580</v>
      </c>
      <c r="AE2" s="2740" t="s">
        <v>2641</v>
      </c>
      <c r="AF2" s="2733" t="s">
        <v>1645</v>
      </c>
      <c r="AG2" s="2733" t="s">
        <v>1950</v>
      </c>
      <c r="AH2" s="2740" t="s">
        <v>2642</v>
      </c>
    </row>
    <row r="3" spans="1:34" s="3105" customFormat="1" ht="14.25">
      <c r="A3" s="3117" t="s">
        <v>2972</v>
      </c>
      <c r="B3" s="3106"/>
      <c r="C3" s="3106"/>
      <c r="D3" s="3107"/>
      <c r="E3" s="3107"/>
      <c r="F3" s="3106"/>
      <c r="G3" s="3108"/>
      <c r="H3" s="3109"/>
      <c r="I3" s="3116">
        <f>ROUND(AVERAGE($I4:$I25),2)</f>
        <v>2.09</v>
      </c>
      <c r="J3" s="3116">
        <f>ROUND(AVERAGE($J4:$J25),2)</f>
        <v>1.46</v>
      </c>
      <c r="K3" s="3116">
        <f>ROUND(AVERAGE($K4:$K25),2)</f>
        <v>2.29</v>
      </c>
      <c r="L3" s="3116">
        <f>ROUND(AVERAGE($L4:$L25),2)</f>
        <v>1.36</v>
      </c>
      <c r="N3" s="3108"/>
      <c r="O3" s="3110"/>
      <c r="P3" s="3110"/>
      <c r="Q3" s="3110"/>
      <c r="R3" s="3110"/>
      <c r="S3" s="3108"/>
      <c r="T3" s="3110"/>
      <c r="U3" s="3110"/>
      <c r="V3" s="3110"/>
      <c r="W3" s="3113"/>
      <c r="X3" s="3111">
        <f>ROUND(SUMPRODUCT(PRODUCT(1+N3:N$24)),4)</f>
        <v>1.4956</v>
      </c>
      <c r="Y3" s="3111">
        <f>ROUND(SUMPRODUCT(PRODUCT(1+O3:O$24)),4)</f>
        <v>1.3237000000000001</v>
      </c>
      <c r="Z3" s="3111">
        <f t="shared" ref="Z3:Z22" si="0">Y3</f>
        <v>1.3237000000000001</v>
      </c>
      <c r="AA3" s="3111">
        <f>ROUND(SUMPRODUCT(PRODUCT(1+P3:P$24)),4)</f>
        <v>1.554</v>
      </c>
      <c r="AB3" s="3111">
        <f>ROUND(SUMPRODUCT(PRODUCT(1+Q3:Q$24)),4)</f>
        <v>1.3087</v>
      </c>
      <c r="AD3" s="3112">
        <f>ROUND(AVERAGE(I3:I$25)/100,4)</f>
        <v>2.0899999999999998E-2</v>
      </c>
      <c r="AE3" s="3112">
        <f>ROUND(AVERAGE(J3:J$25)/100,4)</f>
        <v>1.46E-2</v>
      </c>
      <c r="AF3" s="3112">
        <f t="shared" ref="AF3:AF23" si="1">AE3</f>
        <v>1.46E-2</v>
      </c>
      <c r="AG3" s="3112">
        <f>ROUND(AVERAGE(K3:K$25)/100,4)</f>
        <v>2.29E-2</v>
      </c>
      <c r="AH3" s="3112">
        <f>ROUND(AVERAGE(L3:L$25)/100,4)</f>
        <v>1.3599999999999999E-2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c r="A5" s="3087" t="s">
        <v>2992</v>
      </c>
      <c r="B5" s="2771">
        <f>B6*(1+N5)</f>
        <v>459.95733971036987</v>
      </c>
      <c r="C5" s="2771">
        <f t="shared" ref="C5" si="2">C6*(1+O5)</f>
        <v>341.22221064422405</v>
      </c>
      <c r="D5" s="2771">
        <f t="shared" ref="D5" si="3">C5</f>
        <v>341.22221064422405</v>
      </c>
      <c r="E5" s="2771">
        <f t="shared" ref="E5" si="4">E6*(1+P5)</f>
        <v>657.19161663724799</v>
      </c>
      <c r="F5" s="2771">
        <f t="shared" ref="F5" si="5">F6*(1+Q5)</f>
        <v>300.87803644464805</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2973</v>
      </c>
      <c r="X5" s="3092">
        <f>ROUND(IF(项目基本情况!B8="出让",SUMPRODUCT(PRODUCT(1+N5:N$25)),SUMPRODUCT(PRODUCT(1+N5:N$24))),4)</f>
        <v>1.4956</v>
      </c>
      <c r="Y5" s="3092">
        <f>ROUND(IF(项目基本情况!B8="出让",SUMPRODUCT(PRODUCT(1+O5:O$25)),SUMPRODUCT(PRODUCT(1+O5:O$24))),4)</f>
        <v>1.3237000000000001</v>
      </c>
      <c r="Z5" s="3092">
        <f t="shared" ref="Z5" si="10">Y5</f>
        <v>1.3237000000000001</v>
      </c>
      <c r="AA5" s="3092">
        <f>ROUND(IF(项目基本情况!B8="出让",SUMPRODUCT(PRODUCT(1+P5:P$25)),SUMPRODUCT(PRODUCT(1+P5:P$24))),4)</f>
        <v>1.554</v>
      </c>
      <c r="AB5" s="3092">
        <f>ROUND(IF(项目基本情况!B8="出让",SUMPRODUCT(PRODUCT(1+Q5:Q$25)),SUMPRODUCT(PRODUCT(1+Q5:Q$24))),4)</f>
        <v>1.3087</v>
      </c>
      <c r="AD5" s="3093">
        <f>ROUND(AVERAGE(I5:I$25)/100,4)</f>
        <v>2.0899999999999998E-2</v>
      </c>
      <c r="AE5" s="3093">
        <f>ROUND(AVERAGE(J5:J$25)/100,4)</f>
        <v>1.46E-2</v>
      </c>
      <c r="AF5" s="3093">
        <f t="shared" ref="AF5" si="11">AE5</f>
        <v>1.46E-2</v>
      </c>
      <c r="AG5" s="3093">
        <f>ROUND(AVERAGE(K5:K$25)/100,4)</f>
        <v>2.29E-2</v>
      </c>
      <c r="AH5" s="3093">
        <f>ROUND(AVERAGE(L5:L$25)/100,4)</f>
        <v>1.3599999999999999E-2</v>
      </c>
    </row>
    <row r="6" spans="1:34" s="2737" customFormat="1">
      <c r="A6" s="2632" t="s">
        <v>2993</v>
      </c>
      <c r="B6" s="2645">
        <f>B7*(1+N6)</f>
        <v>459.95733971036987</v>
      </c>
      <c r="C6" s="2645">
        <f t="shared" ref="C6" si="12">C7*(1+O6)</f>
        <v>341.22221064422405</v>
      </c>
      <c r="D6" s="2645">
        <f t="shared" ref="D6" si="13">C6</f>
        <v>341.22221064422405</v>
      </c>
      <c r="E6" s="2645">
        <f t="shared" ref="E6" si="14">E7*(1+P6)</f>
        <v>657.19161663724799</v>
      </c>
      <c r="F6" s="2645">
        <f t="shared" ref="F6" si="15">F7*(1+Q6)</f>
        <v>300.87803644464805</v>
      </c>
      <c r="G6" s="3449">
        <v>2018</v>
      </c>
      <c r="H6" s="2635">
        <v>4</v>
      </c>
      <c r="I6" s="2635">
        <v>0</v>
      </c>
      <c r="J6" s="2635">
        <v>0</v>
      </c>
      <c r="K6" s="2635">
        <v>0</v>
      </c>
      <c r="L6" s="2646">
        <v>0</v>
      </c>
      <c r="M6" s="2639"/>
      <c r="N6" s="2640">
        <f t="shared" ref="N6" si="16">I6/100</f>
        <v>0</v>
      </c>
      <c r="O6" s="2641">
        <f t="shared" ref="O6" si="17">J6/100</f>
        <v>0</v>
      </c>
      <c r="P6" s="2641">
        <f t="shared" ref="P6" si="18">K6/100</f>
        <v>0</v>
      </c>
      <c r="Q6" s="2641">
        <f t="shared" ref="Q6" si="19">L6/100</f>
        <v>0</v>
      </c>
      <c r="R6" s="2642"/>
      <c r="S6" s="2643"/>
      <c r="T6" s="2644"/>
      <c r="U6" s="2644"/>
      <c r="V6" s="2644"/>
      <c r="W6" s="2639"/>
      <c r="X6" s="2730">
        <f>ROUND(SUMPRODUCT(PRODUCT(1+N6:N$24)),4)</f>
        <v>1.4956</v>
      </c>
      <c r="Y6" s="2730">
        <f>ROUND(SUMPRODUCT(PRODUCT(1+O6:O$24)),4)</f>
        <v>1.3237000000000001</v>
      </c>
      <c r="Z6" s="2730">
        <f t="shared" ref="Z6" si="20">Y6</f>
        <v>1.3237000000000001</v>
      </c>
      <c r="AA6" s="2730">
        <f>ROUND(SUMPRODUCT(PRODUCT(1+P6:P$24)),4)</f>
        <v>1.554</v>
      </c>
      <c r="AB6" s="2730">
        <f>ROUND(SUMPRODUCT(PRODUCT(1+Q6:Q$24)),4)</f>
        <v>1.3087</v>
      </c>
      <c r="AC6" s="2639"/>
      <c r="AD6" s="2650">
        <f>ROUND(AVERAGE(I6:I$25)/100,4)</f>
        <v>2.1899999999999999E-2</v>
      </c>
      <c r="AE6" s="2650">
        <f>ROUND(AVERAGE(J6:J$25)/100,4)</f>
        <v>1.5299999999999999E-2</v>
      </c>
      <c r="AF6" s="2650">
        <f t="shared" ref="AF6" si="21">AE6</f>
        <v>1.5299999999999999E-2</v>
      </c>
      <c r="AG6" s="2650">
        <f>ROUND(AVERAGE(K6:K$25)/100,4)</f>
        <v>2.41E-2</v>
      </c>
      <c r="AH6" s="2650">
        <f>ROUND(AVERAGE(L6:L$25)/100,4)</f>
        <v>1.4200000000000001E-2</v>
      </c>
    </row>
    <row r="7" spans="1:34" s="2737" customFormat="1" ht="14.45" customHeight="1">
      <c r="A7" s="2632" t="s">
        <v>2982</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49"/>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2983</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49"/>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2979</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50"/>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2970</v>
      </c>
      <c r="B10" s="3119">
        <v>439</v>
      </c>
      <c r="C10" s="3119">
        <v>327</v>
      </c>
      <c r="D10" s="3119">
        <f t="shared" si="43"/>
        <v>327</v>
      </c>
      <c r="E10" s="3119">
        <v>627</v>
      </c>
      <c r="F10" s="3120">
        <v>283</v>
      </c>
      <c r="G10" s="344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2974</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49"/>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49"/>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50"/>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44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49"/>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449"/>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452"/>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45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49"/>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449"/>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452"/>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45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49"/>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449"/>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452"/>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56">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57"/>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57"/>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58"/>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5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49"/>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49"/>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52"/>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5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49">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49">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52">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5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49">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49">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52">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5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49">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49">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52">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5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49">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49">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52">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5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49">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49">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52">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5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49">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49">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52">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5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49">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49">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52">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5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49">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49">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52">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51">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49">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49">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52">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51">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49">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49">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52">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56.25">
      <c r="A7" s="1793" t="s">
        <v>2747</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2944</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M22" sqref="M22"/>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00" t="s">
        <v>719</v>
      </c>
      <c r="C1" s="2601" t="s">
        <v>720</v>
      </c>
      <c r="D1" s="2602" t="s">
        <v>3012</v>
      </c>
      <c r="E1" s="2603"/>
      <c r="F1" s="2783" t="s">
        <v>3189</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9">
        <f>ROUND(B3*D3/10000,0)</f>
        <v>126277</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7116</v>
      </c>
      <c r="C3" s="851" t="s">
        <v>722</v>
      </c>
      <c r="D3" s="850">
        <f>SUMIF('数据-汇总表'!$C19:$C33,D1,'数据-汇总表'!$E19:$E33)</f>
        <v>177455.55</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75" t="s">
        <v>522</v>
      </c>
      <c r="D4" s="3376"/>
      <c r="E4" s="3409" t="s">
        <v>523</v>
      </c>
      <c r="F4" s="3410"/>
      <c r="G4" s="3375" t="s">
        <v>524</v>
      </c>
      <c r="H4" s="3376"/>
      <c r="I4" s="3375" t="s">
        <v>525</v>
      </c>
      <c r="J4" s="3376"/>
      <c r="K4" s="852" t="s">
        <v>526</v>
      </c>
      <c r="L4" s="2131"/>
      <c r="M4" s="2132"/>
      <c r="N4" s="2132"/>
      <c r="O4" s="2132"/>
      <c r="P4" s="3377" t="s">
        <v>527</v>
      </c>
      <c r="Q4" s="3378"/>
      <c r="R4" s="3383" t="s">
        <v>523</v>
      </c>
      <c r="S4" s="3384"/>
      <c r="T4" s="3383" t="s">
        <v>524</v>
      </c>
      <c r="U4" s="3384"/>
      <c r="V4" s="3370" t="s">
        <v>525</v>
      </c>
      <c r="W4" s="3370"/>
      <c r="X4" s="1565"/>
      <c r="Y4" s="3383" t="s">
        <v>527</v>
      </c>
      <c r="Z4" s="3384"/>
      <c r="AA4" s="3372" t="s">
        <v>523</v>
      </c>
      <c r="AB4" s="3372" t="s">
        <v>524</v>
      </c>
      <c r="AC4" s="3372" t="s">
        <v>525</v>
      </c>
    </row>
    <row r="5" spans="1:29" ht="15">
      <c r="A5" s="514"/>
      <c r="B5" s="515"/>
      <c r="C5" s="3391" t="s">
        <v>2930</v>
      </c>
      <c r="D5" s="3392"/>
      <c r="E5" s="3465" t="s">
        <v>3169</v>
      </c>
      <c r="F5" s="3412"/>
      <c r="G5" s="3462" t="s">
        <v>3171</v>
      </c>
      <c r="H5" s="3392"/>
      <c r="I5" s="3462" t="s">
        <v>3173</v>
      </c>
      <c r="J5" s="3392"/>
      <c r="K5" s="853"/>
      <c r="L5" s="2131"/>
      <c r="M5" s="2132"/>
      <c r="N5" s="2132"/>
      <c r="O5" s="2132"/>
      <c r="P5" s="3379"/>
      <c r="Q5" s="3380"/>
      <c r="R5" s="3385"/>
      <c r="S5" s="3386"/>
      <c r="T5" s="3385"/>
      <c r="U5" s="3386"/>
      <c r="V5" s="3370"/>
      <c r="W5" s="3370"/>
      <c r="X5" s="1565"/>
      <c r="Y5" s="3385"/>
      <c r="Z5" s="3386"/>
      <c r="AA5" s="3373"/>
      <c r="AB5" s="3373"/>
      <c r="AC5" s="3373"/>
    </row>
    <row r="6" spans="1:29" ht="45" customHeight="1" thickBot="1">
      <c r="A6" s="516"/>
      <c r="B6" s="517"/>
      <c r="C6" s="3389" t="s">
        <v>2934</v>
      </c>
      <c r="D6" s="3390"/>
      <c r="E6" s="3463" t="s">
        <v>3170</v>
      </c>
      <c r="F6" s="3408"/>
      <c r="G6" s="3464" t="s">
        <v>3172</v>
      </c>
      <c r="H6" s="3390"/>
      <c r="I6" s="3389" t="s">
        <v>2934</v>
      </c>
      <c r="J6" s="3390"/>
      <c r="K6" s="853" t="s">
        <v>528</v>
      </c>
      <c r="L6" s="2131"/>
      <c r="M6" s="2132"/>
      <c r="N6" s="2132"/>
      <c r="O6" s="2132"/>
      <c r="P6" s="3381"/>
      <c r="Q6" s="3382"/>
      <c r="R6" s="3385"/>
      <c r="S6" s="3386"/>
      <c r="T6" s="3387"/>
      <c r="U6" s="3388"/>
      <c r="V6" s="3370"/>
      <c r="W6" s="3370"/>
      <c r="X6" s="1565"/>
      <c r="Y6" s="3387"/>
      <c r="Z6" s="3388"/>
      <c r="AA6" s="3374"/>
      <c r="AB6" s="3374"/>
      <c r="AC6" s="3374"/>
    </row>
    <row r="7" spans="1:29" s="1218" customFormat="1" ht="15.75" thickBot="1">
      <c r="A7" s="2888"/>
      <c r="B7" s="2895" t="s">
        <v>529</v>
      </c>
      <c r="C7" s="518">
        <f>'数据-取费表'!B2</f>
        <v>43475</v>
      </c>
      <c r="D7" s="519">
        <v>100</v>
      </c>
      <c r="E7" s="520">
        <f>C7</f>
        <v>43475</v>
      </c>
      <c r="F7" s="521">
        <f>SUMIF(58:58,YEAR(E7)&amp;"-"&amp;MONTH(E7),59:59)</f>
        <v>100</v>
      </c>
      <c r="G7" s="522">
        <f>C7</f>
        <v>43475</v>
      </c>
      <c r="H7" s="519">
        <f>SUMIF(58:58,YEAR(G7)&amp;"-"&amp;MONTH(G7),59:59)</f>
        <v>100</v>
      </c>
      <c r="I7" s="522">
        <f>C7</f>
        <v>43475</v>
      </c>
      <c r="J7" s="519">
        <f>SUMIF(58:58,YEAR(I7)&amp;"-"&amp;MONTH(I7),59:59)</f>
        <v>100</v>
      </c>
      <c r="K7" s="854"/>
      <c r="L7" s="2133"/>
      <c r="M7" s="2134"/>
      <c r="N7" s="2134"/>
      <c r="O7" s="2134"/>
      <c r="P7" s="3400" t="s">
        <v>530</v>
      </c>
      <c r="Q7" s="3402"/>
      <c r="R7" s="1566" t="s">
        <v>13</v>
      </c>
      <c r="S7" s="1567">
        <f t="shared" ref="S7:S15" si="0">F7</f>
        <v>100</v>
      </c>
      <c r="T7" s="1566" t="s">
        <v>13</v>
      </c>
      <c r="U7" s="1567">
        <f t="shared" ref="U7:U15" si="1">H7</f>
        <v>100</v>
      </c>
      <c r="V7" s="1566" t="s">
        <v>13</v>
      </c>
      <c r="W7" s="1567">
        <f t="shared" ref="W7:W15" si="2">J7</f>
        <v>100</v>
      </c>
      <c r="X7" s="1568"/>
      <c r="Y7" s="3400" t="s">
        <v>530</v>
      </c>
      <c r="Z7" s="3401"/>
      <c r="AA7" s="1569">
        <f>D7/F7</f>
        <v>1</v>
      </c>
      <c r="AB7" s="1569">
        <f>D7/H7</f>
        <v>1</v>
      </c>
      <c r="AC7" s="1569">
        <f>D7/J7</f>
        <v>1</v>
      </c>
    </row>
    <row r="8" spans="1:29" s="1218" customFormat="1" ht="15.75" thickBot="1">
      <c r="A8" s="2889"/>
      <c r="B8" s="289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400" t="s">
        <v>533</v>
      </c>
      <c r="Q8" s="3401"/>
      <c r="R8" s="1566" t="s">
        <v>13</v>
      </c>
      <c r="S8" s="1567">
        <f t="shared" si="0"/>
        <v>100</v>
      </c>
      <c r="T8" s="1566" t="s">
        <v>13</v>
      </c>
      <c r="U8" s="1567">
        <f t="shared" si="1"/>
        <v>100</v>
      </c>
      <c r="V8" s="1566" t="s">
        <v>13</v>
      </c>
      <c r="W8" s="1567">
        <f t="shared" si="2"/>
        <v>100</v>
      </c>
      <c r="X8" s="1568"/>
      <c r="Y8" s="3400" t="s">
        <v>533</v>
      </c>
      <c r="Z8" s="3401"/>
      <c r="AA8" s="1569">
        <f t="shared" ref="AA8:AA46" si="3">D8/F8</f>
        <v>1</v>
      </c>
      <c r="AB8" s="1569">
        <f t="shared" ref="AB8:AB46" si="4">D8/H8</f>
        <v>1</v>
      </c>
      <c r="AC8" s="1569">
        <f t="shared" ref="AC8:AC46" si="5">D8/J8</f>
        <v>1</v>
      </c>
    </row>
    <row r="9" spans="1:29" s="1218" customFormat="1" ht="15">
      <c r="A9" s="2890"/>
      <c r="B9" s="2897" t="s">
        <v>2756</v>
      </c>
      <c r="C9" s="3197" t="s">
        <v>3174</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369" t="s">
        <v>535</v>
      </c>
      <c r="Q9" s="1149" t="str">
        <f t="shared" ref="Q9:Q15" si="6">B9</f>
        <v>用途</v>
      </c>
      <c r="R9" s="1566" t="s">
        <v>8</v>
      </c>
      <c r="S9" s="1567">
        <f t="shared" si="0"/>
        <v>100</v>
      </c>
      <c r="T9" s="1566" t="s">
        <v>8</v>
      </c>
      <c r="U9" s="1567">
        <f t="shared" si="1"/>
        <v>100</v>
      </c>
      <c r="V9" s="1566" t="s">
        <v>8</v>
      </c>
      <c r="W9" s="1567">
        <f t="shared" si="2"/>
        <v>100</v>
      </c>
      <c r="X9" s="1568"/>
      <c r="Y9" s="3315" t="s">
        <v>536</v>
      </c>
      <c r="Z9" s="1148" t="str">
        <f t="shared" ref="Z9:Z15" si="7">Q9</f>
        <v>用途</v>
      </c>
      <c r="AA9" s="1569">
        <f t="shared" si="3"/>
        <v>1</v>
      </c>
      <c r="AB9" s="1569">
        <f t="shared" si="4"/>
        <v>1</v>
      </c>
      <c r="AC9" s="1569">
        <f t="shared" si="5"/>
        <v>1</v>
      </c>
    </row>
    <row r="10" spans="1:29" s="1336" customFormat="1" ht="27">
      <c r="A10" s="2891"/>
      <c r="B10" s="2896" t="s">
        <v>2757</v>
      </c>
      <c r="C10" s="860" t="s">
        <v>3176</v>
      </c>
      <c r="D10" s="254">
        <v>100</v>
      </c>
      <c r="E10" s="861" t="s">
        <v>3175</v>
      </c>
      <c r="F10" s="862">
        <f>SUMIF(65:65,E10,66:66)-SUMIF(65:65,C10,66:66)+100</f>
        <v>102</v>
      </c>
      <c r="G10" s="861" t="s">
        <v>3175</v>
      </c>
      <c r="H10" s="254">
        <f>SUMIF(65:65,G10,66:66)-SUMIF(65:65,C10,66:66)+100</f>
        <v>102</v>
      </c>
      <c r="I10" s="861" t="s">
        <v>3175</v>
      </c>
      <c r="J10" s="254">
        <f>SUMIF(65:65,I10,66:66)-SUMIF(65:65,C10,66:66)+100</f>
        <v>102</v>
      </c>
      <c r="K10" s="3199">
        <v>1</v>
      </c>
      <c r="L10" s="2136"/>
      <c r="M10" s="2176"/>
      <c r="N10" s="2176"/>
      <c r="O10" s="2137"/>
      <c r="P10" s="3369"/>
      <c r="Q10" s="1149" t="str">
        <f t="shared" si="6"/>
        <v>土地使用年限（年）</v>
      </c>
      <c r="R10" s="1566" t="s">
        <v>8</v>
      </c>
      <c r="S10" s="1567">
        <f t="shared" si="0"/>
        <v>102</v>
      </c>
      <c r="T10" s="1566" t="s">
        <v>8</v>
      </c>
      <c r="U10" s="1567">
        <f t="shared" si="1"/>
        <v>102</v>
      </c>
      <c r="V10" s="1566" t="s">
        <v>8</v>
      </c>
      <c r="W10" s="1567">
        <f t="shared" si="2"/>
        <v>102</v>
      </c>
      <c r="X10" s="1568"/>
      <c r="Y10" s="3315"/>
      <c r="Z10" s="1148" t="str">
        <f t="shared" si="7"/>
        <v>土地使用年限（年）</v>
      </c>
      <c r="AA10" s="1569">
        <f t="shared" si="3"/>
        <v>0.98039215686274506</v>
      </c>
      <c r="AB10" s="1569">
        <f t="shared" si="4"/>
        <v>0.98039215686274506</v>
      </c>
      <c r="AC10" s="1569">
        <f t="shared" si="5"/>
        <v>0.98039215686274506</v>
      </c>
    </row>
    <row r="11" spans="1:29" ht="15.75" thickBot="1">
      <c r="A11" s="2892"/>
      <c r="B11" s="2896" t="s">
        <v>2758</v>
      </c>
      <c r="C11" s="532">
        <f>'数据-汇总表'!I6</f>
        <v>2.5299999999999998</v>
      </c>
      <c r="D11" s="254">
        <v>100</v>
      </c>
      <c r="E11" s="533">
        <v>2.8</v>
      </c>
      <c r="F11" s="862">
        <f>LOOKUP(E11,68:68,69:69)-LOOKUP(C11,68:68,69:69)+100</f>
        <v>100</v>
      </c>
      <c r="G11" s="532">
        <v>2.8</v>
      </c>
      <c r="H11" s="254">
        <f>LOOKUP(G11,68:68,69:69)-LOOKUP(C11,68:68,69:69)+100</f>
        <v>100</v>
      </c>
      <c r="I11" s="532">
        <v>2.8</v>
      </c>
      <c r="J11" s="254">
        <f>LOOKUP(I11,68:68,69:69)-LOOKUP(C11,68:68,69:69)+100</f>
        <v>100</v>
      </c>
      <c r="K11" s="863"/>
      <c r="L11" s="2138"/>
      <c r="M11" s="2132"/>
      <c r="N11" s="2132"/>
      <c r="O11" s="2139"/>
      <c r="P11" s="3369"/>
      <c r="Q11" s="1149" t="str">
        <f t="shared" si="6"/>
        <v>容积率</v>
      </c>
      <c r="R11" s="1566" t="s">
        <v>11</v>
      </c>
      <c r="S11" s="1567">
        <f t="shared" si="0"/>
        <v>100</v>
      </c>
      <c r="T11" s="1566" t="s">
        <v>11</v>
      </c>
      <c r="U11" s="1567">
        <f t="shared" si="1"/>
        <v>100</v>
      </c>
      <c r="V11" s="1566" t="s">
        <v>11</v>
      </c>
      <c r="W11" s="1567">
        <f t="shared" si="2"/>
        <v>100</v>
      </c>
      <c r="X11" s="1568"/>
      <c r="Y11" s="3315"/>
      <c r="Z11" s="1148" t="str">
        <f t="shared" si="7"/>
        <v>容积率</v>
      </c>
      <c r="AA11" s="1569">
        <f t="shared" si="3"/>
        <v>1</v>
      </c>
      <c r="AB11" s="1569">
        <f t="shared" si="4"/>
        <v>1</v>
      </c>
      <c r="AC11" s="1569">
        <f t="shared" si="5"/>
        <v>1</v>
      </c>
    </row>
    <row r="12" spans="1:29" s="1218" customFormat="1" ht="15" hidden="1">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69"/>
      <c r="Q12" s="1149">
        <f t="shared" si="6"/>
        <v>111</v>
      </c>
      <c r="R12" s="1566" t="s">
        <v>11</v>
      </c>
      <c r="S12" s="1567">
        <f t="shared" si="0"/>
        <v>100</v>
      </c>
      <c r="T12" s="1566" t="s">
        <v>11</v>
      </c>
      <c r="U12" s="1567">
        <f t="shared" si="1"/>
        <v>100</v>
      </c>
      <c r="V12" s="1566" t="s">
        <v>11</v>
      </c>
      <c r="W12" s="1567">
        <f t="shared" si="2"/>
        <v>100</v>
      </c>
      <c r="X12" s="1568"/>
      <c r="Y12" s="3315"/>
      <c r="Z12" s="1148">
        <f t="shared" si="7"/>
        <v>111</v>
      </c>
      <c r="AA12" s="1569">
        <f>D12/F12</f>
        <v>1</v>
      </c>
      <c r="AB12" s="1569">
        <f>D12/H12</f>
        <v>1</v>
      </c>
      <c r="AC12" s="1569">
        <f>D12/J12</f>
        <v>1</v>
      </c>
    </row>
    <row r="13" spans="1:29" ht="15" hidden="1">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69"/>
      <c r="Q13" s="1149">
        <f t="shared" si="6"/>
        <v>111</v>
      </c>
      <c r="R13" s="1566" t="s">
        <v>11</v>
      </c>
      <c r="S13" s="1567">
        <f t="shared" si="0"/>
        <v>100</v>
      </c>
      <c r="T13" s="1566" t="s">
        <v>11</v>
      </c>
      <c r="U13" s="1567">
        <f t="shared" si="1"/>
        <v>100</v>
      </c>
      <c r="V13" s="1566" t="s">
        <v>11</v>
      </c>
      <c r="W13" s="1567">
        <f t="shared" si="2"/>
        <v>100</v>
      </c>
      <c r="X13" s="1568"/>
      <c r="Y13" s="3315"/>
      <c r="Z13" s="1148">
        <f t="shared" si="7"/>
        <v>111</v>
      </c>
      <c r="AA13" s="1569">
        <f t="shared" si="3"/>
        <v>1</v>
      </c>
      <c r="AB13" s="1569">
        <f t="shared" si="4"/>
        <v>1</v>
      </c>
      <c r="AC13" s="1569">
        <f t="shared" si="5"/>
        <v>1</v>
      </c>
    </row>
    <row r="14" spans="1:29" ht="15.75" hidden="1"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69"/>
      <c r="Q14" s="1149">
        <f t="shared" si="6"/>
        <v>111</v>
      </c>
      <c r="R14" s="1566" t="s">
        <v>11</v>
      </c>
      <c r="S14" s="1567">
        <f t="shared" si="0"/>
        <v>100</v>
      </c>
      <c r="T14" s="1566" t="s">
        <v>11</v>
      </c>
      <c r="U14" s="1567">
        <f t="shared" si="1"/>
        <v>100</v>
      </c>
      <c r="V14" s="1566" t="s">
        <v>11</v>
      </c>
      <c r="W14" s="1567">
        <f t="shared" si="2"/>
        <v>100</v>
      </c>
      <c r="X14" s="1568"/>
      <c r="Y14" s="3315"/>
      <c r="Z14" s="1148">
        <f t="shared" si="7"/>
        <v>111</v>
      </c>
      <c r="AA14" s="1569">
        <f t="shared" si="3"/>
        <v>1</v>
      </c>
      <c r="AB14" s="1569">
        <f t="shared" si="4"/>
        <v>1</v>
      </c>
      <c r="AC14" s="1569">
        <f t="shared" si="5"/>
        <v>1</v>
      </c>
    </row>
    <row r="15" spans="1:29" ht="99.75">
      <c r="A15" s="2886"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103</v>
      </c>
      <c r="G15" s="551"/>
      <c r="H15" s="548">
        <f>SUMIF(76:76,G16,77:77)-SUMIF(76:76,C16,77:77)+100</f>
        <v>103</v>
      </c>
      <c r="I15" s="549"/>
      <c r="J15" s="548">
        <f>SUMIF(76:76,I16,77:77)-SUMIF(76:76,C16,77:77)+100</f>
        <v>103</v>
      </c>
      <c r="K15" s="3200">
        <v>3</v>
      </c>
      <c r="L15" s="2140"/>
      <c r="M15" s="2132"/>
      <c r="N15" s="2132"/>
      <c r="O15" s="2139"/>
      <c r="P15" s="3403" t="s">
        <v>540</v>
      </c>
      <c r="Q15" s="1570" t="str">
        <f t="shared" si="6"/>
        <v>居住社区成熟度</v>
      </c>
      <c r="R15" s="1571" t="s">
        <v>11</v>
      </c>
      <c r="S15" s="1572">
        <f t="shared" si="0"/>
        <v>103</v>
      </c>
      <c r="T15" s="1571" t="s">
        <v>11</v>
      </c>
      <c r="U15" s="1572">
        <f t="shared" si="1"/>
        <v>103</v>
      </c>
      <c r="V15" s="1571" t="s">
        <v>11</v>
      </c>
      <c r="W15" s="1572">
        <f t="shared" si="2"/>
        <v>103</v>
      </c>
      <c r="X15" s="1565"/>
      <c r="Y15" s="3403" t="s">
        <v>540</v>
      </c>
      <c r="Z15" s="1573" t="str">
        <f t="shared" si="7"/>
        <v>居住社区成熟度</v>
      </c>
      <c r="AA15" s="1574">
        <f t="shared" si="3"/>
        <v>0.970873786407767</v>
      </c>
      <c r="AB15" s="1574">
        <f t="shared" si="4"/>
        <v>0.970873786407767</v>
      </c>
      <c r="AC15" s="1574">
        <f t="shared" si="5"/>
        <v>0.970873786407767</v>
      </c>
    </row>
    <row r="16" spans="1:29" ht="15">
      <c r="A16" s="531"/>
      <c r="B16" s="868"/>
      <c r="C16" s="575" t="s">
        <v>3156</v>
      </c>
      <c r="D16" s="554"/>
      <c r="E16" s="555" t="s">
        <v>3157</v>
      </c>
      <c r="F16" s="556"/>
      <c r="G16" s="555" t="s">
        <v>3157</v>
      </c>
      <c r="H16" s="558"/>
      <c r="I16" s="555" t="s">
        <v>3157</v>
      </c>
      <c r="J16" s="554"/>
      <c r="K16" s="869"/>
      <c r="L16" s="2140"/>
      <c r="M16" s="2132"/>
      <c r="N16" s="2132"/>
      <c r="O16" s="2139"/>
      <c r="P16" s="3404"/>
      <c r="Q16" s="1570"/>
      <c r="R16" s="1571"/>
      <c r="S16" s="1572"/>
      <c r="T16" s="1571"/>
      <c r="U16" s="1572"/>
      <c r="V16" s="1571"/>
      <c r="W16" s="1572"/>
      <c r="X16" s="1565"/>
      <c r="Y16" s="3404"/>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404"/>
      <c r="Q17" s="1570" t="str">
        <f>B17</f>
        <v>交通便捷度</v>
      </c>
      <c r="R17" s="1571" t="s">
        <v>11</v>
      </c>
      <c r="S17" s="1572">
        <f>F17</f>
        <v>100</v>
      </c>
      <c r="T17" s="1571" t="s">
        <v>11</v>
      </c>
      <c r="U17" s="1572">
        <f>H17</f>
        <v>100</v>
      </c>
      <c r="V17" s="1571" t="s">
        <v>11</v>
      </c>
      <c r="W17" s="1572">
        <f>J17</f>
        <v>100</v>
      </c>
      <c r="X17" s="1565"/>
      <c r="Y17" s="3404"/>
      <c r="Z17" s="1573" t="str">
        <f>Q17</f>
        <v>交通便捷度</v>
      </c>
      <c r="AA17" s="1574">
        <f t="shared" si="3"/>
        <v>1</v>
      </c>
      <c r="AB17" s="1574">
        <f t="shared" si="4"/>
        <v>1</v>
      </c>
      <c r="AC17" s="1574">
        <f t="shared" si="5"/>
        <v>1</v>
      </c>
    </row>
    <row r="18" spans="1:29" ht="15">
      <c r="A18" s="531"/>
      <c r="B18" s="594"/>
      <c r="C18" s="872" t="s">
        <v>3156</v>
      </c>
      <c r="D18" s="558"/>
      <c r="E18" s="872" t="s">
        <v>3156</v>
      </c>
      <c r="F18" s="562"/>
      <c r="G18" s="872" t="s">
        <v>3156</v>
      </c>
      <c r="H18" s="554"/>
      <c r="I18" s="872" t="s">
        <v>3156</v>
      </c>
      <c r="J18" s="554"/>
      <c r="K18" s="869"/>
      <c r="L18" s="2140"/>
      <c r="M18" s="2132"/>
      <c r="N18" s="2132"/>
      <c r="O18" s="2139"/>
      <c r="P18" s="3404"/>
      <c r="Q18" s="1570"/>
      <c r="R18" s="1571"/>
      <c r="S18" s="1572"/>
      <c r="T18" s="1571"/>
      <c r="U18" s="1572"/>
      <c r="V18" s="1571"/>
      <c r="W18" s="1572"/>
      <c r="X18" s="1565"/>
      <c r="Y18" s="3404"/>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404"/>
      <c r="Q19" s="1570" t="str">
        <f>B19</f>
        <v>公共配套设施</v>
      </c>
      <c r="R19" s="1571" t="s">
        <v>11</v>
      </c>
      <c r="S19" s="1572">
        <f>F19</f>
        <v>100</v>
      </c>
      <c r="T19" s="1571" t="s">
        <v>11</v>
      </c>
      <c r="U19" s="1572">
        <f>H19</f>
        <v>100</v>
      </c>
      <c r="V19" s="1571" t="s">
        <v>11</v>
      </c>
      <c r="W19" s="1572">
        <f>J19</f>
        <v>100</v>
      </c>
      <c r="X19" s="1565"/>
      <c r="Y19" s="3404"/>
      <c r="Z19" s="1573" t="str">
        <f>Q19</f>
        <v>公共配套设施</v>
      </c>
      <c r="AA19" s="1574">
        <f t="shared" si="3"/>
        <v>1</v>
      </c>
      <c r="AB19" s="1574">
        <f t="shared" si="4"/>
        <v>1</v>
      </c>
      <c r="AC19" s="1574">
        <f t="shared" si="5"/>
        <v>1</v>
      </c>
    </row>
    <row r="20" spans="1:29" ht="15">
      <c r="A20" s="531"/>
      <c r="B20" s="594"/>
      <c r="C20" s="575" t="s">
        <v>3156</v>
      </c>
      <c r="D20" s="554"/>
      <c r="E20" s="575" t="s">
        <v>3156</v>
      </c>
      <c r="F20" s="556"/>
      <c r="G20" s="575" t="s">
        <v>3156</v>
      </c>
      <c r="H20" s="554"/>
      <c r="I20" s="575" t="s">
        <v>3156</v>
      </c>
      <c r="J20" s="554"/>
      <c r="K20" s="869"/>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5</v>
      </c>
      <c r="L21" s="2140"/>
      <c r="M21" s="2132"/>
      <c r="N21" s="2132"/>
      <c r="O21" s="2139"/>
      <c r="P21" s="3404"/>
      <c r="Q21" s="2556" t="str">
        <f>B21</f>
        <v>基础设施水平</v>
      </c>
      <c r="R21" s="1571" t="s">
        <v>11</v>
      </c>
      <c r="S21" s="1572">
        <f>F21</f>
        <v>100</v>
      </c>
      <c r="T21" s="1571" t="s">
        <v>11</v>
      </c>
      <c r="U21" s="1572">
        <f>H21</f>
        <v>100</v>
      </c>
      <c r="V21" s="1571" t="s">
        <v>11</v>
      </c>
      <c r="W21" s="1572">
        <f>J21</f>
        <v>100</v>
      </c>
      <c r="X21" s="2558"/>
      <c r="Y21" s="3404"/>
      <c r="Z21" s="2557" t="str">
        <f>Q21</f>
        <v>基础设施水平</v>
      </c>
      <c r="AA21" s="1574">
        <f t="shared" ref="AA21" si="8">D21/F21</f>
        <v>1</v>
      </c>
      <c r="AB21" s="1574">
        <f t="shared" ref="AB21" si="9">D21/H21</f>
        <v>1</v>
      </c>
      <c r="AC21" s="1574">
        <f t="shared" ref="AC21" si="10">D21/J21</f>
        <v>1</v>
      </c>
    </row>
    <row r="22" spans="1:29" ht="15">
      <c r="A22" s="531"/>
      <c r="B22" s="920"/>
      <c r="C22" s="872" t="s">
        <v>3160</v>
      </c>
      <c r="D22" s="554"/>
      <c r="E22" s="872" t="s">
        <v>3160</v>
      </c>
      <c r="F22" s="556"/>
      <c r="G22" s="872" t="s">
        <v>3160</v>
      </c>
      <c r="H22" s="554"/>
      <c r="I22" s="872" t="s">
        <v>3160</v>
      </c>
      <c r="J22" s="554"/>
      <c r="K22" s="2576"/>
      <c r="L22" s="2140"/>
      <c r="M22" s="2132"/>
      <c r="N22" s="2132"/>
      <c r="O22" s="2139"/>
      <c r="P22" s="3404"/>
      <c r="Q22" s="2556"/>
      <c r="R22" s="1571"/>
      <c r="S22" s="1572"/>
      <c r="T22" s="1571"/>
      <c r="U22" s="1572"/>
      <c r="V22" s="1571"/>
      <c r="W22" s="1572"/>
      <c r="X22" s="2558"/>
      <c r="Y22" s="3404"/>
      <c r="Z22" s="2557"/>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3200">
        <v>3</v>
      </c>
      <c r="L23" s="2140"/>
      <c r="M23" s="2132"/>
      <c r="N23" s="2132"/>
      <c r="O23" s="2139"/>
      <c r="P23" s="3404"/>
      <c r="Q23" s="1570" t="str">
        <f>B23</f>
        <v>自然及人文环境</v>
      </c>
      <c r="R23" s="1571" t="s">
        <v>11</v>
      </c>
      <c r="S23" s="1572">
        <f>F23</f>
        <v>103</v>
      </c>
      <c r="T23" s="1571" t="s">
        <v>11</v>
      </c>
      <c r="U23" s="1572">
        <f>H23</f>
        <v>103</v>
      </c>
      <c r="V23" s="1571" t="s">
        <v>11</v>
      </c>
      <c r="W23" s="1572">
        <f>J23</f>
        <v>103</v>
      </c>
      <c r="X23" s="1565"/>
      <c r="Y23" s="3404"/>
      <c r="Z23" s="1573" t="str">
        <f>Q23</f>
        <v>自然及人文环境</v>
      </c>
      <c r="AA23" s="1574">
        <f t="shared" si="3"/>
        <v>0.970873786407767</v>
      </c>
      <c r="AB23" s="1574">
        <f t="shared" si="4"/>
        <v>0.970873786407767</v>
      </c>
      <c r="AC23" s="1574">
        <f t="shared" si="5"/>
        <v>0.970873786407767</v>
      </c>
    </row>
    <row r="24" spans="1:29" ht="15.75" thickBot="1">
      <c r="A24" s="531"/>
      <c r="B24" s="594"/>
      <c r="C24" s="575" t="s">
        <v>3156</v>
      </c>
      <c r="D24" s="554"/>
      <c r="E24" s="555" t="s">
        <v>3157</v>
      </c>
      <c r="F24" s="556"/>
      <c r="G24" s="555" t="s">
        <v>3157</v>
      </c>
      <c r="H24" s="554"/>
      <c r="I24" s="555" t="s">
        <v>3157</v>
      </c>
      <c r="J24" s="554"/>
      <c r="K24" s="869"/>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4"/>
      <c r="Q25" s="1570" t="str">
        <f t="shared" ref="Q25:Q46" si="11">B25</f>
        <v>楼层-1</v>
      </c>
      <c r="R25" s="1571" t="s">
        <v>11</v>
      </c>
      <c r="S25" s="1572">
        <f>F25</f>
        <v>100</v>
      </c>
      <c r="T25" s="1571" t="s">
        <v>11</v>
      </c>
      <c r="U25" s="1572">
        <f>H25</f>
        <v>100</v>
      </c>
      <c r="V25" s="1571" t="s">
        <v>11</v>
      </c>
      <c r="W25" s="1572">
        <f>J25</f>
        <v>100</v>
      </c>
      <c r="X25" s="1565"/>
      <c r="Y25" s="3404"/>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4"/>
      <c r="Q26" s="1570" t="str">
        <f t="shared" si="11"/>
        <v>朝向</v>
      </c>
      <c r="R26" s="1571" t="s">
        <v>11</v>
      </c>
      <c r="S26" s="1572">
        <f>F26</f>
        <v>100</v>
      </c>
      <c r="T26" s="1571" t="s">
        <v>11</v>
      </c>
      <c r="U26" s="1572">
        <f>H26</f>
        <v>100</v>
      </c>
      <c r="V26" s="1571" t="s">
        <v>11</v>
      </c>
      <c r="W26" s="1572">
        <f>J26</f>
        <v>100</v>
      </c>
      <c r="X26" s="1565"/>
      <c r="Y26" s="3404"/>
      <c r="Z26" s="1573" t="str">
        <f>Q26</f>
        <v>朝向</v>
      </c>
      <c r="AA26" s="1574">
        <f t="shared" si="3"/>
        <v>1</v>
      </c>
      <c r="AB26" s="1574">
        <f t="shared" si="4"/>
        <v>1</v>
      </c>
      <c r="AC26" s="1574">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4"/>
      <c r="Q27" s="1149" t="str">
        <f t="shared" si="11"/>
        <v>道路级别</v>
      </c>
      <c r="R27" s="1566" t="s">
        <v>11</v>
      </c>
      <c r="S27" s="1567">
        <f>F27</f>
        <v>100</v>
      </c>
      <c r="T27" s="1566" t="s">
        <v>11</v>
      </c>
      <c r="U27" s="1567">
        <f>H27</f>
        <v>100</v>
      </c>
      <c r="V27" s="1566" t="s">
        <v>11</v>
      </c>
      <c r="W27" s="1567">
        <f>J27</f>
        <v>100</v>
      </c>
      <c r="X27" s="1568"/>
      <c r="Y27" s="3404"/>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4"/>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4"/>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4"/>
      <c r="Q29" s="1570">
        <f t="shared" si="11"/>
        <v>111</v>
      </c>
      <c r="R29" s="1571" t="s">
        <v>11</v>
      </c>
      <c r="S29" s="1572">
        <f t="shared" si="12"/>
        <v>100</v>
      </c>
      <c r="T29" s="1571" t="s">
        <v>11</v>
      </c>
      <c r="U29" s="1572">
        <f t="shared" si="13"/>
        <v>100</v>
      </c>
      <c r="V29" s="1571" t="s">
        <v>11</v>
      </c>
      <c r="W29" s="1572">
        <f t="shared" si="14"/>
        <v>100</v>
      </c>
      <c r="X29" s="1565"/>
      <c r="Y29" s="3404"/>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4"/>
      <c r="Q30" s="1570">
        <f t="shared" si="11"/>
        <v>111</v>
      </c>
      <c r="R30" s="1571" t="s">
        <v>11</v>
      </c>
      <c r="S30" s="1572">
        <f t="shared" si="12"/>
        <v>100</v>
      </c>
      <c r="T30" s="1571" t="s">
        <v>11</v>
      </c>
      <c r="U30" s="1572">
        <f t="shared" si="13"/>
        <v>100</v>
      </c>
      <c r="V30" s="1571" t="s">
        <v>11</v>
      </c>
      <c r="W30" s="1572">
        <f t="shared" si="14"/>
        <v>100</v>
      </c>
      <c r="X30" s="1565"/>
      <c r="Y30" s="3404"/>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4"/>
      <c r="Q31" s="1570">
        <f t="shared" si="11"/>
        <v>111</v>
      </c>
      <c r="R31" s="1571" t="s">
        <v>11</v>
      </c>
      <c r="S31" s="1572">
        <f t="shared" si="12"/>
        <v>100</v>
      </c>
      <c r="T31" s="1571" t="s">
        <v>11</v>
      </c>
      <c r="U31" s="1572">
        <f t="shared" si="13"/>
        <v>100</v>
      </c>
      <c r="V31" s="1571" t="s">
        <v>11</v>
      </c>
      <c r="W31" s="1572">
        <f t="shared" si="14"/>
        <v>100</v>
      </c>
      <c r="X31" s="1565"/>
      <c r="Y31" s="3404"/>
      <c r="Z31" s="1573">
        <f t="shared" si="15"/>
        <v>111</v>
      </c>
      <c r="AA31" s="1574">
        <f t="shared" si="3"/>
        <v>1</v>
      </c>
      <c r="AB31" s="1574">
        <f t="shared" si="4"/>
        <v>1</v>
      </c>
      <c r="AC31" s="1574">
        <f t="shared" si="5"/>
        <v>1</v>
      </c>
    </row>
    <row r="32" spans="1:29" ht="15">
      <c r="A32" s="2883" t="s">
        <v>2755</v>
      </c>
      <c r="B32" s="172" t="s">
        <v>725</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40"/>
      <c r="M32" s="2132"/>
      <c r="N32" s="2132"/>
      <c r="O32" s="2139"/>
      <c r="P32" s="3405" t="s">
        <v>550</v>
      </c>
      <c r="Q32" s="1570" t="str">
        <f t="shared" si="11"/>
        <v>建筑类型</v>
      </c>
      <c r="R32" s="1571" t="s">
        <v>11</v>
      </c>
      <c r="S32" s="1572">
        <f t="shared" si="12"/>
        <v>100</v>
      </c>
      <c r="T32" s="1571" t="s">
        <v>11</v>
      </c>
      <c r="U32" s="1572">
        <f t="shared" si="13"/>
        <v>100</v>
      </c>
      <c r="V32" s="1571" t="s">
        <v>11</v>
      </c>
      <c r="W32" s="1572">
        <f t="shared" si="14"/>
        <v>100</v>
      </c>
      <c r="X32" s="1565"/>
      <c r="Y32" s="3406" t="s">
        <v>550</v>
      </c>
      <c r="Z32" s="1573" t="str">
        <f t="shared" si="15"/>
        <v>建筑类型</v>
      </c>
      <c r="AA32" s="1574">
        <f t="shared" si="3"/>
        <v>1</v>
      </c>
      <c r="AB32" s="1574">
        <f t="shared" si="4"/>
        <v>1</v>
      </c>
      <c r="AC32" s="1574">
        <f t="shared" si="5"/>
        <v>1</v>
      </c>
    </row>
    <row r="33" spans="1:29" s="1337" customFormat="1" ht="15">
      <c r="A33" s="602"/>
      <c r="B33" s="526" t="s">
        <v>726</v>
      </c>
      <c r="C33" s="878">
        <f>'数据-汇总表'!E3</f>
        <v>299369.98</v>
      </c>
      <c r="D33" s="254">
        <v>100</v>
      </c>
      <c r="E33" s="533">
        <v>200000</v>
      </c>
      <c r="F33" s="862">
        <f>LOOKUP(E33,103:103,104:104)-LOOKUP(C33,103:103,104:104)+100</f>
        <v>100</v>
      </c>
      <c r="G33" s="532">
        <v>400000</v>
      </c>
      <c r="H33" s="254">
        <f>LOOKUP(G33,103:103,104:104)-LOOKUP(C33,103:103,104:104)+100</f>
        <v>100</v>
      </c>
      <c r="I33" s="533">
        <v>491108.88</v>
      </c>
      <c r="J33" s="254">
        <f>LOOKUP(I33,103:103,104:104)-LOOKUP(C33,103:103,104:104)+100</f>
        <v>100</v>
      </c>
      <c r="K33" s="864"/>
      <c r="L33" s="2138"/>
      <c r="M33" s="2169"/>
      <c r="N33" s="2169"/>
      <c r="O33" s="2141"/>
      <c r="P33" s="3406"/>
      <c r="Q33" s="1603" t="str">
        <f t="shared" si="11"/>
        <v>项目建筑规模</v>
      </c>
      <c r="R33" s="1575" t="s">
        <v>11</v>
      </c>
      <c r="S33" s="1576">
        <f t="shared" si="12"/>
        <v>100</v>
      </c>
      <c r="T33" s="1575" t="s">
        <v>11</v>
      </c>
      <c r="U33" s="1576">
        <f t="shared" si="13"/>
        <v>100</v>
      </c>
      <c r="V33" s="1575" t="s">
        <v>11</v>
      </c>
      <c r="W33" s="1576">
        <f t="shared" si="14"/>
        <v>100</v>
      </c>
      <c r="X33" s="1577"/>
      <c r="Y33" s="3406"/>
      <c r="Z33" s="1578" t="str">
        <f t="shared" si="15"/>
        <v>项目建筑规模</v>
      </c>
      <c r="AA33" s="1574">
        <f t="shared" si="3"/>
        <v>1</v>
      </c>
      <c r="AB33" s="1574">
        <f t="shared" si="4"/>
        <v>1</v>
      </c>
      <c r="AC33" s="1574">
        <f t="shared" si="5"/>
        <v>1</v>
      </c>
    </row>
    <row r="34" spans="1:29" ht="15">
      <c r="A34" s="593"/>
      <c r="B34" s="526" t="s">
        <v>727</v>
      </c>
      <c r="C34" s="879" t="s">
        <v>3166</v>
      </c>
      <c r="D34" s="539">
        <v>100</v>
      </c>
      <c r="E34" s="879" t="s">
        <v>3166</v>
      </c>
      <c r="F34" s="574">
        <f>SUMIF(105:105,E34,106:106)-SUMIF(105:105,C34,106:106)+100</f>
        <v>100</v>
      </c>
      <c r="G34" s="879" t="s">
        <v>3166</v>
      </c>
      <c r="H34" s="539">
        <f>SUMIF(105:105,G34,106:106)-SUMIF(105:105,C34,106:106)+100</f>
        <v>100</v>
      </c>
      <c r="I34" s="879" t="s">
        <v>3166</v>
      </c>
      <c r="J34" s="539">
        <f>SUMIF(105:105,I34,106:106)-SUMIF(105:105,C34,106:106)+100</f>
        <v>100</v>
      </c>
      <c r="K34" s="863">
        <v>2</v>
      </c>
      <c r="L34" s="2140"/>
      <c r="M34" s="2132"/>
      <c r="N34" s="2132"/>
      <c r="O34" s="2139"/>
      <c r="P34" s="3406"/>
      <c r="Q34" s="1570" t="str">
        <f t="shared" si="11"/>
        <v>建筑结构</v>
      </c>
      <c r="R34" s="1571" t="s">
        <v>11</v>
      </c>
      <c r="S34" s="1572">
        <f t="shared" si="12"/>
        <v>100</v>
      </c>
      <c r="T34" s="1571" t="s">
        <v>11</v>
      </c>
      <c r="U34" s="1572">
        <f t="shared" si="13"/>
        <v>100</v>
      </c>
      <c r="V34" s="1571" t="s">
        <v>11</v>
      </c>
      <c r="W34" s="1572">
        <f t="shared" si="14"/>
        <v>100</v>
      </c>
      <c r="X34" s="1565"/>
      <c r="Y34" s="3406"/>
      <c r="Z34" s="1573" t="str">
        <f t="shared" si="15"/>
        <v>建筑结构</v>
      </c>
      <c r="AA34" s="1574">
        <f t="shared" si="3"/>
        <v>1</v>
      </c>
      <c r="AB34" s="1574">
        <f t="shared" si="4"/>
        <v>1</v>
      </c>
      <c r="AC34" s="1574">
        <f t="shared" si="5"/>
        <v>1</v>
      </c>
    </row>
    <row r="35" spans="1:29" ht="15">
      <c r="A35" s="593"/>
      <c r="B35" s="526" t="s">
        <v>728</v>
      </c>
      <c r="C35" s="598" t="s">
        <v>3179</v>
      </c>
      <c r="D35" s="539">
        <v>100</v>
      </c>
      <c r="E35" s="598" t="s">
        <v>3179</v>
      </c>
      <c r="F35" s="574">
        <f>SUMIF(107:107,E35,108:108)-SUMIF(107:107,C35,108:108)+100</f>
        <v>100</v>
      </c>
      <c r="G35" s="598" t="s">
        <v>3179</v>
      </c>
      <c r="H35" s="539">
        <f>SUMIF(107:107,G35,108:108)-SUMIF(107:107,C35,108:108)+100</f>
        <v>100</v>
      </c>
      <c r="I35" s="598" t="s">
        <v>3179</v>
      </c>
      <c r="J35" s="539">
        <f>SUMIF(107:107,I35,108:108)-SUMIF(107:107,C35,108:108)+100</f>
        <v>100</v>
      </c>
      <c r="K35" s="863">
        <v>2</v>
      </c>
      <c r="L35" s="2140"/>
      <c r="M35" s="2132"/>
      <c r="N35" s="2132"/>
      <c r="O35" s="2139"/>
      <c r="P35" s="3406"/>
      <c r="Q35" s="1570" t="str">
        <f t="shared" si="11"/>
        <v>建筑品质</v>
      </c>
      <c r="R35" s="1571" t="s">
        <v>11</v>
      </c>
      <c r="S35" s="1572">
        <f t="shared" si="12"/>
        <v>100</v>
      </c>
      <c r="T35" s="1571" t="s">
        <v>11</v>
      </c>
      <c r="U35" s="1572">
        <f t="shared" si="13"/>
        <v>100</v>
      </c>
      <c r="V35" s="1571" t="s">
        <v>11</v>
      </c>
      <c r="W35" s="1572">
        <f t="shared" si="14"/>
        <v>100</v>
      </c>
      <c r="X35" s="1565"/>
      <c r="Y35" s="3406"/>
      <c r="Z35" s="1573" t="str">
        <f t="shared" si="15"/>
        <v>建筑品质</v>
      </c>
      <c r="AA35" s="1574">
        <f t="shared" si="3"/>
        <v>1</v>
      </c>
      <c r="AB35" s="1574">
        <f t="shared" si="4"/>
        <v>1</v>
      </c>
      <c r="AC35" s="1574">
        <f t="shared" si="5"/>
        <v>1</v>
      </c>
    </row>
    <row r="36" spans="1:29" ht="15">
      <c r="A36" s="593"/>
      <c r="B36" s="526" t="s">
        <v>729</v>
      </c>
      <c r="C36" s="598" t="s">
        <v>3181</v>
      </c>
      <c r="D36" s="539">
        <v>100</v>
      </c>
      <c r="E36" s="598" t="s">
        <v>3181</v>
      </c>
      <c r="F36" s="574">
        <f>SUMIF(109:109,E36,110:110)-SUMIF(109:109,C36,110:110)+100</f>
        <v>100</v>
      </c>
      <c r="G36" s="598" t="s">
        <v>3181</v>
      </c>
      <c r="H36" s="539">
        <f>SUMIF(109:109,G36,110:110)-SUMIF(109:109,C36,110:110)+100</f>
        <v>100</v>
      </c>
      <c r="I36" s="598" t="s">
        <v>3181</v>
      </c>
      <c r="J36" s="539">
        <f>SUMIF(109:109,I36,110:110)-SUMIF(109:109,C36,110:110)+100</f>
        <v>100</v>
      </c>
      <c r="K36" s="863">
        <v>2</v>
      </c>
      <c r="L36" s="2140"/>
      <c r="M36" s="2132"/>
      <c r="N36" s="2132"/>
      <c r="O36" s="2139"/>
      <c r="P36" s="3406"/>
      <c r="Q36" s="1570" t="str">
        <f t="shared" si="11"/>
        <v>公共部分装修</v>
      </c>
      <c r="R36" s="1571" t="s">
        <v>11</v>
      </c>
      <c r="S36" s="1572">
        <f t="shared" si="12"/>
        <v>100</v>
      </c>
      <c r="T36" s="1571" t="s">
        <v>11</v>
      </c>
      <c r="U36" s="1572">
        <f t="shared" si="13"/>
        <v>100</v>
      </c>
      <c r="V36" s="1571" t="s">
        <v>11</v>
      </c>
      <c r="W36" s="1572">
        <f t="shared" si="14"/>
        <v>100</v>
      </c>
      <c r="X36" s="1565"/>
      <c r="Y36" s="3406"/>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3"/>
      <c r="M37" s="2134"/>
      <c r="N37" s="2134"/>
      <c r="O37" s="2135"/>
      <c r="P37" s="3406"/>
      <c r="Q37" s="1149" t="str">
        <f t="shared" si="11"/>
        <v>成新度</v>
      </c>
      <c r="R37" s="1566" t="s">
        <v>11</v>
      </c>
      <c r="S37" s="1567">
        <f t="shared" si="12"/>
        <v>100</v>
      </c>
      <c r="T37" s="1566" t="s">
        <v>11</v>
      </c>
      <c r="U37" s="1567">
        <f t="shared" si="13"/>
        <v>100</v>
      </c>
      <c r="V37" s="1566" t="s">
        <v>11</v>
      </c>
      <c r="W37" s="1567">
        <f t="shared" si="14"/>
        <v>100</v>
      </c>
      <c r="X37" s="1568"/>
      <c r="Y37" s="3406"/>
      <c r="Z37" s="1148" t="str">
        <f t="shared" si="15"/>
        <v>成新度</v>
      </c>
      <c r="AA37" s="1569">
        <f t="shared" si="3"/>
        <v>1</v>
      </c>
      <c r="AB37" s="1569">
        <f t="shared" si="4"/>
        <v>1</v>
      </c>
      <c r="AC37" s="1569">
        <f t="shared" si="5"/>
        <v>1</v>
      </c>
    </row>
    <row r="38" spans="1:29" ht="15">
      <c r="A38" s="593"/>
      <c r="B38" s="526" t="s">
        <v>731</v>
      </c>
      <c r="C38" s="598" t="s">
        <v>3183</v>
      </c>
      <c r="D38" s="539">
        <v>100</v>
      </c>
      <c r="E38" s="598" t="s">
        <v>3183</v>
      </c>
      <c r="F38" s="574">
        <f>SUMIF(114:114,E38,115:115)-SUMIF(114:114,C38,115:115)+100</f>
        <v>100</v>
      </c>
      <c r="G38" s="598" t="s">
        <v>3183</v>
      </c>
      <c r="H38" s="539">
        <f>SUMIF(114:114,G38,115:115)-SUMIF(114:114,C38,115:115)+100</f>
        <v>100</v>
      </c>
      <c r="I38" s="598" t="s">
        <v>3183</v>
      </c>
      <c r="J38" s="539">
        <f>SUMIF(114:114,I38,115:115)-SUMIF(114:114,C38,115:115)+100</f>
        <v>100</v>
      </c>
      <c r="K38" s="863">
        <v>2</v>
      </c>
      <c r="L38" s="2140"/>
      <c r="M38" s="2132"/>
      <c r="N38" s="2132"/>
      <c r="O38" s="2139"/>
      <c r="P38" s="3406" t="s">
        <v>550</v>
      </c>
      <c r="Q38" s="1570" t="str">
        <f t="shared" si="11"/>
        <v>物业管理</v>
      </c>
      <c r="R38" s="1571" t="s">
        <v>11</v>
      </c>
      <c r="S38" s="1572">
        <f t="shared" si="12"/>
        <v>100</v>
      </c>
      <c r="T38" s="1571" t="s">
        <v>11</v>
      </c>
      <c r="U38" s="1572">
        <f t="shared" si="13"/>
        <v>100</v>
      </c>
      <c r="V38" s="1571" t="s">
        <v>11</v>
      </c>
      <c r="W38" s="1572">
        <f t="shared" si="14"/>
        <v>100</v>
      </c>
      <c r="X38" s="1565"/>
      <c r="Y38" s="3406" t="s">
        <v>550</v>
      </c>
      <c r="Z38" s="1573" t="str">
        <f t="shared" si="15"/>
        <v>物业管理</v>
      </c>
      <c r="AA38" s="1574">
        <f t="shared" si="3"/>
        <v>1</v>
      </c>
      <c r="AB38" s="1574">
        <f t="shared" si="4"/>
        <v>1</v>
      </c>
      <c r="AC38" s="1574">
        <f t="shared" si="5"/>
        <v>1</v>
      </c>
    </row>
    <row r="39" spans="1:29" ht="15">
      <c r="A39" s="593"/>
      <c r="B39" s="1893" t="s">
        <v>2564</v>
      </c>
      <c r="C39" s="598" t="s">
        <v>3160</v>
      </c>
      <c r="D39" s="539">
        <v>100</v>
      </c>
      <c r="E39" s="598" t="s">
        <v>3160</v>
      </c>
      <c r="F39" s="574">
        <f>SUMIF(116:116,E39,117:117)-SUMIF(116:116,C39,117:117)+100</f>
        <v>100</v>
      </c>
      <c r="G39" s="598" t="s">
        <v>3160</v>
      </c>
      <c r="H39" s="539">
        <f>SUMIF(116:116,G39,117:117)-SUMIF(116:116,C39,117:117)+100</f>
        <v>100</v>
      </c>
      <c r="I39" s="598" t="s">
        <v>3160</v>
      </c>
      <c r="J39" s="539">
        <f>SUMIF(116:116,I39,117:117)-SUMIF(116:116,C39,117:117)+100</f>
        <v>100</v>
      </c>
      <c r="K39" s="863">
        <v>2</v>
      </c>
      <c r="L39" s="2140"/>
      <c r="M39" s="2132"/>
      <c r="N39" s="2132"/>
      <c r="O39" s="2139"/>
      <c r="P39" s="3406"/>
      <c r="Q39" s="1570" t="str">
        <f t="shared" si="11"/>
        <v>市政基础设施</v>
      </c>
      <c r="R39" s="1571" t="s">
        <v>11</v>
      </c>
      <c r="S39" s="1572">
        <f t="shared" si="12"/>
        <v>100</v>
      </c>
      <c r="T39" s="1571" t="s">
        <v>11</v>
      </c>
      <c r="U39" s="1572">
        <f t="shared" si="13"/>
        <v>100</v>
      </c>
      <c r="V39" s="1571" t="s">
        <v>11</v>
      </c>
      <c r="W39" s="1572">
        <f t="shared" si="14"/>
        <v>100</v>
      </c>
      <c r="X39" s="1565"/>
      <c r="Y39" s="3406"/>
      <c r="Z39" s="1573" t="str">
        <f t="shared" si="15"/>
        <v>市政基础设施</v>
      </c>
      <c r="AA39" s="1574">
        <f t="shared" si="3"/>
        <v>1</v>
      </c>
      <c r="AB39" s="1574">
        <f t="shared" si="4"/>
        <v>1</v>
      </c>
      <c r="AC39" s="1574">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0"/>
      <c r="M40" s="2132"/>
      <c r="N40" s="2132"/>
      <c r="O40" s="2139"/>
      <c r="P40" s="3406"/>
      <c r="Q40" s="1570" t="str">
        <f t="shared" si="11"/>
        <v>房型</v>
      </c>
      <c r="R40" s="1571" t="s">
        <v>11</v>
      </c>
      <c r="S40" s="1572">
        <f t="shared" si="12"/>
        <v>100</v>
      </c>
      <c r="T40" s="1571" t="s">
        <v>11</v>
      </c>
      <c r="U40" s="1572">
        <f t="shared" si="13"/>
        <v>100</v>
      </c>
      <c r="V40" s="1571" t="s">
        <v>11</v>
      </c>
      <c r="W40" s="1572">
        <f t="shared" si="14"/>
        <v>100</v>
      </c>
      <c r="X40" s="1565"/>
      <c r="Y40" s="3406"/>
      <c r="Z40" s="1573" t="str">
        <f t="shared" si="15"/>
        <v>房型</v>
      </c>
      <c r="AA40" s="1574">
        <f t="shared" si="3"/>
        <v>1</v>
      </c>
      <c r="AB40" s="1574">
        <f t="shared" si="4"/>
        <v>1</v>
      </c>
      <c r="AC40" s="1574">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06"/>
      <c r="Q41" s="1603" t="str">
        <f t="shared" si="11"/>
        <v>单套/主力户型建筑面积</v>
      </c>
      <c r="R41" s="1575" t="s">
        <v>11</v>
      </c>
      <c r="S41" s="1576">
        <f t="shared" si="12"/>
        <v>100</v>
      </c>
      <c r="T41" s="1575" t="s">
        <v>11</v>
      </c>
      <c r="U41" s="1576">
        <f t="shared" si="13"/>
        <v>100</v>
      </c>
      <c r="V41" s="1575" t="s">
        <v>11</v>
      </c>
      <c r="W41" s="1576">
        <f t="shared" si="14"/>
        <v>100</v>
      </c>
      <c r="X41" s="1577"/>
      <c r="Y41" s="3406"/>
      <c r="Z41" s="1578" t="str">
        <f t="shared" si="15"/>
        <v>单套/主力户型建筑面积</v>
      </c>
      <c r="AA41" s="1574">
        <f t="shared" si="3"/>
        <v>1</v>
      </c>
      <c r="AB41" s="1574">
        <f t="shared" si="4"/>
        <v>1</v>
      </c>
      <c r="AC41" s="1574">
        <f t="shared" si="5"/>
        <v>1</v>
      </c>
    </row>
    <row r="42" spans="1:29" ht="15">
      <c r="A42" s="593"/>
      <c r="B42" s="526" t="s">
        <v>734</v>
      </c>
      <c r="C42" s="598" t="s">
        <v>3181</v>
      </c>
      <c r="D42" s="539">
        <v>100</v>
      </c>
      <c r="E42" s="598" t="s">
        <v>3181</v>
      </c>
      <c r="F42" s="574">
        <f>SUMIF(122:122,E42,123:123)-SUMIF(122:122,C42,123:123)+100</f>
        <v>100</v>
      </c>
      <c r="G42" s="598" t="s">
        <v>3181</v>
      </c>
      <c r="H42" s="539">
        <f>SUMIF(122:122,G42,123:123)-SUMIF(122:122,C42,123:123)+100</f>
        <v>100</v>
      </c>
      <c r="I42" s="598" t="s">
        <v>3181</v>
      </c>
      <c r="J42" s="539">
        <f>SUMIF(122:122,I42,123:123)-SUMIF(122:122,C42,123:123)+100</f>
        <v>100</v>
      </c>
      <c r="K42" s="863">
        <v>3</v>
      </c>
      <c r="L42" s="2140"/>
      <c r="M42" s="2132"/>
      <c r="N42" s="2132"/>
      <c r="O42" s="2139"/>
      <c r="P42" s="3406"/>
      <c r="Q42" s="1570" t="str">
        <f t="shared" si="11"/>
        <v>内部装修</v>
      </c>
      <c r="R42" s="1571" t="s">
        <v>11</v>
      </c>
      <c r="S42" s="1572">
        <f t="shared" si="12"/>
        <v>100</v>
      </c>
      <c r="T42" s="1571" t="s">
        <v>11</v>
      </c>
      <c r="U42" s="1572">
        <f t="shared" si="13"/>
        <v>100</v>
      </c>
      <c r="V42" s="1571" t="s">
        <v>11</v>
      </c>
      <c r="W42" s="1572">
        <f t="shared" si="14"/>
        <v>100</v>
      </c>
      <c r="X42" s="1565"/>
      <c r="Y42" s="3406"/>
      <c r="Z42" s="1573" t="str">
        <f t="shared" si="15"/>
        <v>内部装修</v>
      </c>
      <c r="AA42" s="1574">
        <f t="shared" si="3"/>
        <v>1</v>
      </c>
      <c r="AB42" s="1574">
        <f t="shared" si="4"/>
        <v>1</v>
      </c>
      <c r="AC42" s="1574">
        <f t="shared" si="5"/>
        <v>1</v>
      </c>
    </row>
    <row r="43" spans="1:29" ht="27.75" thickBot="1">
      <c r="A43" s="593"/>
      <c r="B43" s="526" t="s">
        <v>735</v>
      </c>
      <c r="C43" s="598" t="s">
        <v>3157</v>
      </c>
      <c r="D43" s="539">
        <v>100</v>
      </c>
      <c r="E43" s="598" t="s">
        <v>3157</v>
      </c>
      <c r="F43" s="574">
        <f>SUMIF(124:124,E43,125:125)-SUMIF(124:124,C43,125:125)+100</f>
        <v>100</v>
      </c>
      <c r="G43" s="598" t="s">
        <v>3157</v>
      </c>
      <c r="H43" s="539">
        <f>SUMIF(124:124,G43,125:125)-SUMIF(124:124,C43,125:125)+100</f>
        <v>100</v>
      </c>
      <c r="I43" s="598" t="s">
        <v>3157</v>
      </c>
      <c r="J43" s="539">
        <f>SUMIF(124:124,I43,125:125)-SUMIF(124:124,C43,125:125)+100</f>
        <v>100</v>
      </c>
      <c r="K43" s="863">
        <v>2</v>
      </c>
      <c r="L43" s="2140"/>
      <c r="M43" s="2132"/>
      <c r="N43" s="2132"/>
      <c r="O43" s="2139"/>
      <c r="P43" s="3406"/>
      <c r="Q43" s="1570" t="str">
        <f t="shared" si="11"/>
        <v>内部装修维护情况</v>
      </c>
      <c r="R43" s="1571" t="s">
        <v>11</v>
      </c>
      <c r="S43" s="1572">
        <f t="shared" si="12"/>
        <v>100</v>
      </c>
      <c r="T43" s="1571" t="s">
        <v>11</v>
      </c>
      <c r="U43" s="1572">
        <f t="shared" si="13"/>
        <v>100</v>
      </c>
      <c r="V43" s="1571" t="s">
        <v>11</v>
      </c>
      <c r="W43" s="1572">
        <f t="shared" si="14"/>
        <v>100</v>
      </c>
      <c r="X43" s="1565"/>
      <c r="Y43" s="3406"/>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06"/>
      <c r="Q44" s="1149">
        <f t="shared" si="11"/>
        <v>111</v>
      </c>
      <c r="R44" s="1566" t="s">
        <v>11</v>
      </c>
      <c r="S44" s="1567">
        <f t="shared" si="12"/>
        <v>100</v>
      </c>
      <c r="T44" s="1566" t="s">
        <v>11</v>
      </c>
      <c r="U44" s="1567">
        <f t="shared" si="13"/>
        <v>100</v>
      </c>
      <c r="V44" s="1566" t="s">
        <v>11</v>
      </c>
      <c r="W44" s="1567">
        <f t="shared" si="14"/>
        <v>100</v>
      </c>
      <c r="X44" s="1568"/>
      <c r="Y44" s="3406"/>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6"/>
      <c r="Q45" s="1570">
        <f t="shared" si="11"/>
        <v>111</v>
      </c>
      <c r="R45" s="1571" t="s">
        <v>11</v>
      </c>
      <c r="S45" s="1572">
        <f t="shared" si="12"/>
        <v>100</v>
      </c>
      <c r="T45" s="1571" t="s">
        <v>11</v>
      </c>
      <c r="U45" s="1572">
        <f t="shared" si="13"/>
        <v>100</v>
      </c>
      <c r="V45" s="1571" t="s">
        <v>11</v>
      </c>
      <c r="W45" s="1572">
        <f t="shared" si="14"/>
        <v>100</v>
      </c>
      <c r="X45" s="1565"/>
      <c r="Y45" s="3406"/>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61"/>
      <c r="Q46" s="1570">
        <f t="shared" si="11"/>
        <v>111</v>
      </c>
      <c r="R46" s="1571" t="s">
        <v>10</v>
      </c>
      <c r="S46" s="1572">
        <f t="shared" si="12"/>
        <v>100</v>
      </c>
      <c r="T46" s="1571" t="s">
        <v>10</v>
      </c>
      <c r="U46" s="1572">
        <f t="shared" si="13"/>
        <v>100</v>
      </c>
      <c r="V46" s="1571" t="s">
        <v>10</v>
      </c>
      <c r="W46" s="1572">
        <f t="shared" si="14"/>
        <v>100</v>
      </c>
      <c r="X46" s="1565"/>
      <c r="Y46" s="3461"/>
      <c r="Z46" s="1573">
        <f t="shared" si="15"/>
        <v>111</v>
      </c>
      <c r="AA46" s="1574">
        <f t="shared" si="3"/>
        <v>1</v>
      </c>
      <c r="AB46" s="1574">
        <f t="shared" si="4"/>
        <v>1</v>
      </c>
      <c r="AC46" s="1574">
        <f t="shared" si="5"/>
        <v>1</v>
      </c>
    </row>
    <row r="47" spans="1:29" ht="15">
      <c r="A47" s="606" t="s">
        <v>736</v>
      </c>
      <c r="B47" s="885"/>
      <c r="C47" s="2604" t="s">
        <v>9</v>
      </c>
      <c r="D47" s="2605"/>
      <c r="E47" s="2606">
        <v>7700</v>
      </c>
      <c r="F47" s="2607"/>
      <c r="G47" s="2608">
        <v>7700</v>
      </c>
      <c r="H47" s="2609"/>
      <c r="I47" s="2606">
        <v>7700</v>
      </c>
      <c r="J47" s="2609"/>
      <c r="K47" s="1604"/>
      <c r="L47" s="2142"/>
      <c r="M47" s="2143"/>
      <c r="N47" s="2132"/>
      <c r="O47" s="2143"/>
      <c r="P47" s="3369" t="str">
        <f>A47</f>
        <v>成交单价（元/平方米）</v>
      </c>
      <c r="Q47" s="3369"/>
      <c r="R47" s="3460">
        <f>E47</f>
        <v>7700</v>
      </c>
      <c r="S47" s="3460"/>
      <c r="T47" s="3460">
        <f>G47</f>
        <v>7700</v>
      </c>
      <c r="U47" s="3460"/>
      <c r="V47" s="3460">
        <f>I47</f>
        <v>7700</v>
      </c>
      <c r="W47" s="3460"/>
      <c r="X47" s="1557"/>
      <c r="Y47" s="1579"/>
      <c r="Z47" s="1557"/>
      <c r="AA47" s="1557"/>
      <c r="AB47" s="1557"/>
      <c r="AC47" s="1557"/>
    </row>
    <row r="48" spans="1:29" ht="15.75" thickBot="1">
      <c r="A48" s="614" t="s">
        <v>2760</v>
      </c>
      <c r="B48" s="886"/>
      <c r="C48" s="2610">
        <f>R49</f>
        <v>7116</v>
      </c>
      <c r="D48" s="2611"/>
      <c r="E48" s="2612">
        <f>R48</f>
        <v>7116</v>
      </c>
      <c r="F48" s="2612"/>
      <c r="G48" s="2610">
        <f>T48</f>
        <v>7116</v>
      </c>
      <c r="H48" s="2611"/>
      <c r="I48" s="2612">
        <f>V48</f>
        <v>7116</v>
      </c>
      <c r="J48" s="2611"/>
      <c r="K48" s="1605"/>
      <c r="L48" s="2142"/>
      <c r="M48" s="2143"/>
      <c r="N48" s="2143"/>
      <c r="O48" s="2143"/>
      <c r="P48" s="3369" t="str">
        <f>A48</f>
        <v>比较价格（元/平方米）</v>
      </c>
      <c r="Q48" s="3369"/>
      <c r="R48" s="3460">
        <f>IF(F1="售价",ROUND(PRODUCT(R47,AA7:AA46),0),ROUND(PRODUCT(R47,AA7:AA46),1))</f>
        <v>7116</v>
      </c>
      <c r="S48" s="3460"/>
      <c r="T48" s="3460">
        <f>IF(F1="售价",ROUND(PRODUCT(T47,AB7:AB46),0),ROUND(PRODUCT(T47,AB7:AB46),1))</f>
        <v>7116</v>
      </c>
      <c r="U48" s="3460"/>
      <c r="V48" s="3460">
        <f>IF(F1="售价",ROUND(PRODUCT(V47,AC7:AC46),0),ROUND(PRODUCT(V47,AC7:AC46),1))</f>
        <v>7116</v>
      </c>
      <c r="W48" s="3460"/>
      <c r="X48" s="1557"/>
      <c r="Y48" s="1557"/>
      <c r="Z48" s="1557"/>
      <c r="AA48" s="1557"/>
      <c r="AB48" s="1557"/>
      <c r="AC48" s="1557"/>
    </row>
    <row r="49" spans="1:29" ht="15.75" thickBot="1">
      <c r="A49" s="620" t="s">
        <v>2936</v>
      </c>
      <c r="B49" s="621"/>
      <c r="C49" s="2613">
        <f>R49</f>
        <v>7116</v>
      </c>
      <c r="D49" s="2613"/>
      <c r="E49" s="2613"/>
      <c r="F49" s="2613"/>
      <c r="G49" s="2613"/>
      <c r="H49" s="2613"/>
      <c r="I49" s="2613"/>
      <c r="J49" s="2613"/>
      <c r="K49" s="1606"/>
      <c r="L49" s="2142"/>
      <c r="M49" s="2143"/>
      <c r="N49" s="2143"/>
      <c r="O49" s="2143"/>
      <c r="P49" s="3366" t="str">
        <f>A49</f>
        <v>估价对象XX用房的比较价格（楼面单价，元/平方米）</v>
      </c>
      <c r="Q49" s="3367"/>
      <c r="R49" s="3459">
        <f>IF(F1="售价",ROUND(AVERAGE(R48:V48),0),ROUND(AVERAGE(R48:V48),1))</f>
        <v>7116</v>
      </c>
      <c r="S49" s="3459"/>
      <c r="T49" s="3459"/>
      <c r="U49" s="3459"/>
      <c r="V49" s="3459"/>
      <c r="W49" s="345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8.2068577852726143E-2</v>
      </c>
      <c r="F52" s="626" t="str">
        <f>IF(OR(E52&gt;=0.3,E52&lt;=-0.3),"超过30%","")</f>
        <v/>
      </c>
      <c r="G52" s="625">
        <f>IF(G47&lt;G48,G48/G47-1,G47/G48-1)</f>
        <v>8.2068577852726143E-2</v>
      </c>
      <c r="H52" s="626" t="str">
        <f>IF(OR(G52&gt;=0.3,G52&lt;=-0.3),"超过30%","")</f>
        <v/>
      </c>
      <c r="I52" s="625">
        <f>IF(I47&lt;I48,I48/I47-1,I47/I48-1)</f>
        <v>8.2068577852726143E-2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v>
      </c>
      <c r="F53" s="626" t="str">
        <f>IF(OR(E53&gt;=0.2,E53&lt;=-0.2),"超过20%","")</f>
        <v/>
      </c>
      <c r="G53" s="625">
        <f>IF(G48&lt;I48,I48/G48-1,G48/I48-1)</f>
        <v>0</v>
      </c>
      <c r="H53" s="626" t="str">
        <f>IF(OR(G53&gt;=0.2,G53&lt;=-0.2),"超过20%","")</f>
        <v/>
      </c>
      <c r="I53" s="625">
        <f>IF(I48&lt;E48,E48/I48-1,I48/E48-1)</f>
        <v>0</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v>
      </c>
      <c r="F54" s="626" t="str">
        <f>IF(OR(E54&gt;=0.3,E54&lt;=-0.3),"超过30%","")</f>
        <v/>
      </c>
      <c r="G54" s="625">
        <f>IF(G47&lt;I47,I47/G47-1,G47/I47-1)</f>
        <v>0</v>
      </c>
      <c r="H54" s="626" t="str">
        <f>IF(OR(G54&gt;=0.3,G54&lt;=-0.3),"超过30%","")</f>
        <v/>
      </c>
      <c r="I54" s="625">
        <f>IF(I47&lt;E47,E47/I47-1,I47/E47-1)</f>
        <v>0</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80"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2.5（含）-3</v>
      </c>
      <c r="I67" s="681" t="str">
        <f t="shared" si="18"/>
        <v>3（含）-3.5</v>
      </c>
      <c r="J67" s="681" t="str">
        <f t="shared" si="18"/>
        <v>3.5（含）-4</v>
      </c>
      <c r="K67" s="681" t="str">
        <f t="shared" si="18"/>
        <v>4（含）-4.5</v>
      </c>
      <c r="L67" s="681" t="str">
        <f t="shared" si="18"/>
        <v>4.5（含）-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f>C68+0.5</f>
        <v>0.5</v>
      </c>
      <c r="E68" s="540">
        <f t="shared" ref="E68:L68" si="19">D68+0.5</f>
        <v>1</v>
      </c>
      <c r="F68" s="540">
        <f t="shared" si="19"/>
        <v>1.5</v>
      </c>
      <c r="G68" s="540">
        <f t="shared" si="19"/>
        <v>2</v>
      </c>
      <c r="H68" s="540">
        <f t="shared" si="19"/>
        <v>2.5</v>
      </c>
      <c r="I68" s="540">
        <f t="shared" si="19"/>
        <v>3</v>
      </c>
      <c r="J68" s="540">
        <f t="shared" si="19"/>
        <v>3.5</v>
      </c>
      <c r="K68" s="540">
        <f t="shared" si="19"/>
        <v>4</v>
      </c>
      <c r="L68" s="540">
        <f t="shared" si="19"/>
        <v>4.5</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100</v>
      </c>
      <c r="E69" s="678">
        <f t="shared" si="20"/>
        <v>100</v>
      </c>
      <c r="F69" s="678">
        <f t="shared" si="20"/>
        <v>100</v>
      </c>
      <c r="G69" s="678">
        <f t="shared" si="20"/>
        <v>100</v>
      </c>
      <c r="H69" s="678">
        <f t="shared" si="20"/>
        <v>100</v>
      </c>
      <c r="I69" s="678">
        <f t="shared" si="20"/>
        <v>100</v>
      </c>
      <c r="J69" s="678">
        <f t="shared" si="20"/>
        <v>100</v>
      </c>
      <c r="K69" s="678">
        <f t="shared" si="20"/>
        <v>100</v>
      </c>
      <c r="L69" s="678">
        <f t="shared" si="20"/>
        <v>100</v>
      </c>
      <c r="M69" s="679">
        <f t="shared" si="20"/>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95</v>
      </c>
      <c r="E83" s="678">
        <f>D83-$K21</f>
        <v>90</v>
      </c>
      <c r="F83" s="678">
        <f>E83-$K21</f>
        <v>85</v>
      </c>
      <c r="G83" s="678">
        <f>F83-$K21</f>
        <v>80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98" t="s">
        <v>3178</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v>
      </c>
      <c r="D102" s="707" t="str">
        <f t="shared" ref="D102:L102" si="24">D103&amp;"(含)"&amp;"-"&amp;E103</f>
        <v>(含)-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96" t="s">
        <v>3177</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95" t="s">
        <v>3180</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96" t="s">
        <v>3182</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96" t="s">
        <v>3184</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96" t="s">
        <v>3185</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96" t="s">
        <v>3182</v>
      </c>
      <c r="D122" s="3196" t="s">
        <v>3186</v>
      </c>
      <c r="E122" s="3196" t="s">
        <v>3187</v>
      </c>
      <c r="F122" s="3195" t="s">
        <v>3188</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3006</v>
      </c>
      <c r="D1" s="3099" t="s">
        <v>3165</v>
      </c>
      <c r="E1" s="2364" t="s">
        <v>2374</v>
      </c>
      <c r="F1" s="2365">
        <f ca="1">J53</f>
        <v>13.8</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41576</v>
      </c>
      <c r="C2" s="2055"/>
      <c r="D2" s="2053"/>
      <c r="E2" s="2054"/>
      <c r="F2" s="2054"/>
      <c r="G2" s="1588"/>
      <c r="H2" s="2055"/>
      <c r="I2" s="2055"/>
      <c r="J2" s="2055"/>
      <c r="K2" s="2056"/>
      <c r="L2" s="2055"/>
      <c r="M2" s="2055"/>
    </row>
    <row r="3" spans="1:33" ht="18" customHeight="1" thickBot="1">
      <c r="A3" s="832" t="s">
        <v>1728</v>
      </c>
      <c r="B3" s="833">
        <f ca="1">IF(ISERROR(B2*10000/F43),0,ROUND(B2*10000/F43,0))</f>
        <v>9243</v>
      </c>
      <c r="C3" s="2055"/>
      <c r="D3" s="2053"/>
      <c r="E3" s="2054"/>
      <c r="F3" s="2054"/>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2458</v>
      </c>
      <c r="C5" s="55">
        <f ca="1">C6+C10+C12</f>
        <v>4729</v>
      </c>
      <c r="D5" s="2473" t="s">
        <v>2461</v>
      </c>
      <c r="E5" s="2467"/>
      <c r="F5" s="2468"/>
      <c r="G5" s="1590"/>
      <c r="H5" s="780">
        <v>1</v>
      </c>
      <c r="I5" s="781" t="s">
        <v>2458</v>
      </c>
      <c r="J5" s="55">
        <f ca="1">J6+J10+J12</f>
        <v>0</v>
      </c>
      <c r="K5" s="2473" t="s">
        <v>2461</v>
      </c>
      <c r="L5" s="2467"/>
      <c r="M5" s="2468"/>
    </row>
    <row r="6" spans="1:33" ht="18" customHeight="1">
      <c r="A6" s="1828" t="s">
        <v>1825</v>
      </c>
      <c r="B6" s="3442" t="s">
        <v>2463</v>
      </c>
      <c r="C6" s="782">
        <f ca="1">ROUND(F6*F8*F7*(1-F9)/10000,0)</f>
        <v>4729</v>
      </c>
      <c r="D6" s="2474" t="s">
        <v>2462</v>
      </c>
      <c r="E6" s="783" t="s">
        <v>1739</v>
      </c>
      <c r="F6" s="784">
        <f ca="1">INDIRECT("'数据-取费表'!u"&amp;$G$1)</f>
        <v>3.2</v>
      </c>
      <c r="G6" s="1590"/>
      <c r="H6" s="2481" t="s">
        <v>2468</v>
      </c>
      <c r="I6" s="3442" t="s">
        <v>2463</v>
      </c>
      <c r="J6" s="782">
        <f ca="1">ROUND(M6*M8*M7*(1-M9)/10000,0)</f>
        <v>0</v>
      </c>
      <c r="K6" s="340" t="s">
        <v>1738</v>
      </c>
      <c r="L6" s="783" t="s">
        <v>1739</v>
      </c>
      <c r="M6" s="784">
        <f ca="1">INDIRECT("'数据-取费表'!z"&amp;$G$1)</f>
        <v>0</v>
      </c>
    </row>
    <row r="7" spans="1:33" ht="18" customHeight="1">
      <c r="A7" s="2477"/>
      <c r="B7" s="3443"/>
      <c r="C7" s="787"/>
      <c r="D7" s="788"/>
      <c r="E7" s="783" t="s">
        <v>1740</v>
      </c>
      <c r="F7" s="784">
        <f ca="1">IF(INDIRECT("'数据-取费表'!ah"&amp;$G$1)="",INDIRECT("'数据-取费表'!k"&amp;$G$1),INDIRECT("'数据-取费表'!ah"&amp;$G$1))</f>
        <v>44982.400000000001</v>
      </c>
      <c r="G7" s="1590"/>
      <c r="H7" s="2466"/>
      <c r="I7" s="3443"/>
      <c r="J7" s="787"/>
      <c r="K7" s="788"/>
      <c r="L7" s="783" t="s">
        <v>1740</v>
      </c>
      <c r="M7" s="784">
        <f ca="1">F7</f>
        <v>44982.400000000001</v>
      </c>
    </row>
    <row r="8" spans="1:33" ht="18" customHeight="1">
      <c r="A8" s="2470"/>
      <c r="B8" s="3444"/>
      <c r="C8" s="787"/>
      <c r="D8" s="788"/>
      <c r="E8" s="783" t="s">
        <v>1741</v>
      </c>
      <c r="F8" s="784">
        <f ca="1">INDIRECT("'数据-取费表'!ai"&amp;$G$1)</f>
        <v>365</v>
      </c>
      <c r="G8" s="1590"/>
      <c r="H8" s="2466"/>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0"/>
      <c r="H9" s="2482"/>
      <c r="I9" s="3444"/>
      <c r="J9" s="787"/>
      <c r="K9" s="788"/>
      <c r="L9" s="794" t="s">
        <v>1742</v>
      </c>
      <c r="M9" s="795">
        <f ca="1">INDIRECT("'数据-取费表'!ab"&amp;$G$1)</f>
        <v>0</v>
      </c>
    </row>
    <row r="10" spans="1:33" ht="18" customHeight="1">
      <c r="A10" s="1828" t="s">
        <v>2466</v>
      </c>
      <c r="B10" s="2471" t="s">
        <v>2459</v>
      </c>
      <c r="C10" s="798">
        <f ca="1">ROUND(IF(F10="押一",C6/12*F11,IF(F10="押二",C6/12*2*F11,IF(F10="押三",C6/12*3*F11,C11*F11))),0)</f>
        <v>0</v>
      </c>
      <c r="D10" s="2478" t="s">
        <v>2977</v>
      </c>
      <c r="E10" s="2475" t="s">
        <v>2464</v>
      </c>
      <c r="F10" s="2598"/>
      <c r="G10" s="1590"/>
      <c r="H10" s="2538" t="s">
        <v>2469</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2465</v>
      </c>
      <c r="F11" s="795">
        <f ca="1">'数据-取费表'!B39</f>
        <v>1.4999999999999999E-2</v>
      </c>
      <c r="G11" s="1590"/>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0"/>
      <c r="H12" s="2528" t="s">
        <v>2470</v>
      </c>
      <c r="I12" s="2541" t="s">
        <v>2460</v>
      </c>
      <c r="J12" s="2542"/>
      <c r="K12" s="2517"/>
      <c r="L12" s="2518"/>
      <c r="M12" s="2531"/>
    </row>
    <row r="13" spans="1:33" ht="18" customHeight="1" thickTop="1">
      <c r="A13" s="1827">
        <v>2</v>
      </c>
      <c r="B13" s="1825" t="s">
        <v>1743</v>
      </c>
      <c r="C13" s="791">
        <f ca="1">ROUND(C29*F13,0)</f>
        <v>14925</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9896</v>
      </c>
      <c r="D14" s="1977" t="s">
        <v>1746</v>
      </c>
      <c r="E14" s="1978"/>
      <c r="F14" s="804"/>
      <c r="G14" s="1590"/>
      <c r="H14" s="1647" t="s">
        <v>1831</v>
      </c>
      <c r="I14" s="2229" t="s">
        <v>2826</v>
      </c>
      <c r="J14" s="53">
        <f ca="1">C29</f>
        <v>14925</v>
      </c>
      <c r="K14" s="26"/>
      <c r="L14" s="800"/>
      <c r="M14" s="801"/>
    </row>
    <row r="15" spans="1:33" s="2062" customFormat="1" ht="18" customHeight="1" thickBot="1">
      <c r="A15" s="1646" t="s">
        <v>1886</v>
      </c>
      <c r="B15" s="783" t="s">
        <v>647</v>
      </c>
      <c r="C15" s="53">
        <f ca="1">ROUND(C14*F15,0)</f>
        <v>297</v>
      </c>
      <c r="D15" s="805" t="s">
        <v>1747</v>
      </c>
      <c r="E15" s="805" t="s">
        <v>1748</v>
      </c>
      <c r="F15" s="806">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1408</v>
      </c>
      <c r="K16" s="1819" t="s">
        <v>1751</v>
      </c>
      <c r="L16" s="2463"/>
      <c r="M16" s="2468"/>
    </row>
    <row r="17" spans="1:33" s="2062" customFormat="1" ht="18" customHeight="1">
      <c r="A17" s="1646" t="s">
        <v>1888</v>
      </c>
      <c r="B17" s="783" t="s">
        <v>653</v>
      </c>
      <c r="C17" s="53">
        <f ca="1">ROUND(F17*(F43+INDIRECT("'数据-取费表'!S"&amp;$G$1))/10000,0)</f>
        <v>900</v>
      </c>
      <c r="D17" s="783" t="s">
        <v>1752</v>
      </c>
      <c r="E17" s="783" t="s">
        <v>1753</v>
      </c>
      <c r="F17" s="56">
        <f>'数据-取费表'!B35</f>
        <v>200</v>
      </c>
      <c r="G17" s="1591"/>
      <c r="H17" s="1647" t="s">
        <v>1831</v>
      </c>
      <c r="I17" s="783" t="s">
        <v>656</v>
      </c>
      <c r="J17" s="53">
        <f ca="1">ROUND(IF(项目基本情况!B11="自然人",J5*M17,J18+J19+J20),0)</f>
        <v>1259</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148</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11241</v>
      </c>
      <c r="D19" s="260" t="s">
        <v>1758</v>
      </c>
      <c r="E19" s="1980"/>
      <c r="F19" s="56"/>
      <c r="G19" s="1590"/>
      <c r="H19" s="1646" t="s">
        <v>1886</v>
      </c>
      <c r="I19" s="783" t="s">
        <v>1759</v>
      </c>
      <c r="J19" s="53">
        <f ca="1">IF(K19="按租金收入计税",ROUND(J5*M19,1),ROUND(C29*F33*0.7,1))</f>
        <v>1253.7</v>
      </c>
      <c r="K19" s="810" t="s">
        <v>665</v>
      </c>
      <c r="L19" s="783" t="s">
        <v>1748</v>
      </c>
      <c r="M19" s="808">
        <f>IF(K19="按租金收入计税",'数据-取费表'!B51,'数据-取费表'!B50)</f>
        <v>1.2E-2</v>
      </c>
    </row>
    <row r="20" spans="1:33" s="2062" customFormat="1" ht="18" customHeight="1">
      <c r="A20" s="1647" t="s">
        <v>1890</v>
      </c>
      <c r="B20" s="783" t="s">
        <v>666</v>
      </c>
      <c r="C20" s="53">
        <f ca="1">ROUND(C19*F20,0)</f>
        <v>225</v>
      </c>
      <c r="D20" s="811" t="s">
        <v>1760</v>
      </c>
      <c r="E20" s="783" t="s">
        <v>1748</v>
      </c>
      <c r="F20" s="808">
        <f>'数据-取费表'!B37</f>
        <v>0.02</v>
      </c>
      <c r="G20" s="1591"/>
      <c r="H20" s="1649" t="s">
        <v>1881</v>
      </c>
      <c r="I20" s="340" t="s">
        <v>1761</v>
      </c>
      <c r="J20" s="54">
        <f ca="1">ROUND(M20*M21/10000,0)</f>
        <v>5</v>
      </c>
      <c r="K20" s="813" t="s">
        <v>1762</v>
      </c>
      <c r="L20" s="783" t="s">
        <v>1763</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1.4999999999999999E-2</v>
      </c>
      <c r="G21" s="1591"/>
      <c r="H21" s="2483"/>
      <c r="I21" s="792"/>
      <c r="J21" s="69"/>
      <c r="K21" s="815"/>
      <c r="L21" s="783" t="s">
        <v>1767</v>
      </c>
      <c r="M21" s="784">
        <f ca="1">INDIRECT("'数据-取费表'!r"&amp;$G$1)</f>
        <v>13356.39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149</v>
      </c>
      <c r="K22" s="2461" t="s">
        <v>1770</v>
      </c>
      <c r="L22" s="783" t="s">
        <v>1748</v>
      </c>
      <c r="M22" s="816">
        <f ca="1">INDIRECT("'数据-取费表'!Ak"&amp;$G$1)</f>
        <v>0.01</v>
      </c>
    </row>
    <row r="23" spans="1:33" s="2062" customFormat="1" ht="18" customHeight="1">
      <c r="A23" s="1646" t="s">
        <v>1832</v>
      </c>
      <c r="B23" s="783" t="s">
        <v>2535</v>
      </c>
      <c r="C23" s="53">
        <f ca="1">ROUND(IF('数据-取费表'!B22&lt;=1,(C19+C20)*F24*F23/2,(C19+C20)*(POWER((1+F24),F23/2)-1)),0)</f>
        <v>685</v>
      </c>
      <c r="D23" s="2548" t="str">
        <f>IF(F23&lt;=1,"(建造成本+管理费用)×利率×(建设周期÷2)","(建造成本+管理费用)×((1+利率)^(建设周期÷2)-1)")</f>
        <v>(建造成本+管理费用)×((1+利率)^(建设周期÷2)-1)</v>
      </c>
      <c r="E23" s="783" t="s">
        <v>1771</v>
      </c>
      <c r="F23" s="639">
        <f>'数据-取费表'!B20</f>
        <v>2.5</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8.9999999999999998E-4</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3" t="s">
        <v>2822</v>
      </c>
      <c r="J25" s="791">
        <f ca="1">J5-J16</f>
        <v>-1408</v>
      </c>
      <c r="K25" s="2525" t="s">
        <v>1778</v>
      </c>
      <c r="L25" s="2526"/>
      <c r="M25" s="2527"/>
    </row>
    <row r="26" spans="1:33" ht="18" customHeight="1">
      <c r="A26" s="1646" t="s">
        <v>1832</v>
      </c>
      <c r="B26" s="783" t="s">
        <v>2438</v>
      </c>
      <c r="C26" s="53">
        <f ca="1">ROUND((C19+C20)*F26,0)</f>
        <v>1720</v>
      </c>
      <c r="D26" s="811" t="s">
        <v>1779</v>
      </c>
      <c r="E26" s="794" t="s">
        <v>1780</v>
      </c>
      <c r="F26" s="793">
        <f ca="1">INDIRECT("'数据-取费表'!q"&amp;$G$1)</f>
        <v>0.15</v>
      </c>
      <c r="G26" s="1590"/>
      <c r="H26" s="2479" t="s">
        <v>1781</v>
      </c>
      <c r="I26" s="2230" t="s">
        <v>2827</v>
      </c>
      <c r="J26" s="782">
        <f ca="1">IF(J5&lt;&gt;0,ROUND(J25*(1-((1+M28)/(1+M26))^M27)/(M26-M28),0),0)</f>
        <v>0</v>
      </c>
      <c r="K26" s="813" t="s">
        <v>1782</v>
      </c>
      <c r="L26" s="783" t="s">
        <v>2419</v>
      </c>
      <c r="M26" s="793">
        <f ca="1">INDIRECT("'数据-取费表'!I"&amp;$G$1)</f>
        <v>5.5E-2</v>
      </c>
    </row>
    <row r="27" spans="1:33" ht="18" customHeight="1">
      <c r="A27" s="1646" t="s">
        <v>1833</v>
      </c>
      <c r="B27" s="783" t="s">
        <v>686</v>
      </c>
      <c r="C27" s="53">
        <f ca="1">ROUND(F21*F26,4)</f>
        <v>2.3E-3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5.2400000000000002E-2</v>
      </c>
      <c r="D28" s="811" t="s">
        <v>2300</v>
      </c>
      <c r="E28" s="783" t="s">
        <v>1786</v>
      </c>
      <c r="F28" s="808">
        <f>'数据-取费表'!B41</f>
        <v>5.5000000000000007E-2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14925</v>
      </c>
      <c r="D29" s="2522"/>
      <c r="E29" s="2523"/>
      <c r="F29" s="2524"/>
      <c r="G29" s="1591"/>
      <c r="H29" s="822" t="s">
        <v>1788</v>
      </c>
      <c r="I29" s="823" t="s">
        <v>1789</v>
      </c>
      <c r="J29" s="824">
        <f ca="1">ROUND(J26/(1+F40)^F41,0)</f>
        <v>0</v>
      </c>
      <c r="K29" s="825" t="s">
        <v>1790</v>
      </c>
      <c r="L29" s="826"/>
      <c r="M29" s="827">
        <f ca="1">INDIRECT("'数据-取费表'!k"&amp;$G$1)</f>
        <v>44982.400000000001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1040</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820.5</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247.7</v>
      </c>
      <c r="D32" s="1975" t="s">
        <v>1796</v>
      </c>
      <c r="E32" s="783" t="s">
        <v>1797</v>
      </c>
      <c r="F32" s="808">
        <f>'数据-取费表'!B41</f>
        <v>5.5000000000000007E-2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567.5</v>
      </c>
      <c r="D33" s="810" t="s">
        <v>3168</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5.3</v>
      </c>
      <c r="D34" s="813" t="s">
        <v>1800</v>
      </c>
      <c r="E34" s="783" t="s">
        <v>1801</v>
      </c>
      <c r="F34" s="639">
        <f>'数据-取费表'!B52</f>
        <v>4</v>
      </c>
      <c r="G34" s="2060"/>
      <c r="H34" s="2063"/>
      <c r="I34" s="834" t="s">
        <v>1814</v>
      </c>
      <c r="J34" s="835"/>
      <c r="K34" s="2078"/>
      <c r="L34" s="2077"/>
      <c r="M34" s="2077"/>
    </row>
    <row r="35" spans="1:18" ht="18" customHeight="1">
      <c r="A35" s="814"/>
      <c r="B35" s="792"/>
      <c r="C35" s="69"/>
      <c r="D35" s="815"/>
      <c r="E35" s="783" t="s">
        <v>1802</v>
      </c>
      <c r="F35" s="784">
        <f ca="1">INDIRECT("'数据-取费表'!r"&amp;$G$1)</f>
        <v>13356.39</v>
      </c>
      <c r="G35" s="2060"/>
      <c r="H35" s="2063"/>
      <c r="I35" s="836" t="s">
        <v>1815</v>
      </c>
      <c r="J35" s="837">
        <f ca="1">ROUND(C13*J36,0)</f>
        <v>1269</v>
      </c>
      <c r="K35" s="2076"/>
      <c r="L35" s="2075"/>
      <c r="M35" s="2075"/>
    </row>
    <row r="36" spans="1:18" ht="18" customHeight="1">
      <c r="A36" s="1647" t="s">
        <v>1890</v>
      </c>
      <c r="B36" s="783" t="s">
        <v>1803</v>
      </c>
      <c r="C36" s="53">
        <f ca="1">ROUND(C29*F36,1)</f>
        <v>149.30000000000001</v>
      </c>
      <c r="D36" s="1975" t="s">
        <v>1804</v>
      </c>
      <c r="E36" s="783" t="s">
        <v>1797</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22.4</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47.3</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2822</v>
      </c>
      <c r="C39" s="791">
        <f ca="1">C5-C30</f>
        <v>3689</v>
      </c>
      <c r="D39" s="2525" t="s">
        <v>1807</v>
      </c>
      <c r="E39" s="2526"/>
      <c r="F39" s="2527"/>
      <c r="G39" s="2060"/>
      <c r="H39" s="2075"/>
      <c r="I39" s="836" t="s">
        <v>1819</v>
      </c>
      <c r="J39" s="844">
        <f ca="1">ROUND(J35/C39,3)</f>
        <v>0.34399999999999997</v>
      </c>
      <c r="K39" s="2081"/>
      <c r="L39" s="2075"/>
      <c r="M39" s="2075"/>
    </row>
    <row r="40" spans="1:18" ht="18" customHeight="1">
      <c r="A40" s="780" t="s">
        <v>1896</v>
      </c>
      <c r="B40" s="2230" t="s">
        <v>2302</v>
      </c>
      <c r="C40" s="782">
        <f ca="1">ROUND(C39*(1-((1+F42)/(1+F40))^F41)/(F40-F42),0)</f>
        <v>41576</v>
      </c>
      <c r="D40" s="813" t="s">
        <v>1808</v>
      </c>
      <c r="E40" s="783" t="s">
        <v>2419</v>
      </c>
      <c r="F40" s="793">
        <f ca="1">INDIRECT("'数据-取费表'!I"&amp;$G$1)</f>
        <v>5.5E-2</v>
      </c>
      <c r="G40" s="2060"/>
      <c r="H40" s="2060"/>
      <c r="I40" s="836" t="s">
        <v>1820</v>
      </c>
      <c r="J40" s="844">
        <f ca="1">1-J39</f>
        <v>0.65600000000000003</v>
      </c>
      <c r="K40" s="2081"/>
      <c r="L40" s="2060"/>
      <c r="M40" s="2060"/>
    </row>
    <row r="41" spans="1:18" ht="18" customHeight="1">
      <c r="A41" s="785"/>
      <c r="B41" s="786"/>
      <c r="C41" s="787"/>
      <c r="D41" s="820" t="s">
        <v>1809</v>
      </c>
      <c r="E41" s="783" t="s">
        <v>2967</v>
      </c>
      <c r="F41" s="821">
        <f ca="1">IF(INDIRECT("'数据-取费表'!af"&amp;$G$1)=0,INDIRECT("'数据-取费表'!ae"&amp;$G$1),INDIRECT("'数据-取费表'!af"&amp;$G$1))</f>
        <v>13.8</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0.35899999999999999</v>
      </c>
      <c r="K42" s="2080"/>
      <c r="L42" s="1986"/>
      <c r="M42" s="1986"/>
    </row>
    <row r="43" spans="1:18" ht="18" customHeight="1" thickBot="1">
      <c r="A43" s="822" t="s">
        <v>1788</v>
      </c>
      <c r="B43" s="823" t="s">
        <v>1811</v>
      </c>
      <c r="C43" s="824">
        <f ca="1">ROUND(C40*10000/F43,0)</f>
        <v>9243</v>
      </c>
      <c r="D43" s="825" t="s">
        <v>1812</v>
      </c>
      <c r="E43" s="826" t="s">
        <v>1813</v>
      </c>
      <c r="F43" s="827">
        <f ca="1">INDIRECT("'数据-取费表'!k"&amp;$G$1)</f>
        <v>44982.400000000001</v>
      </c>
      <c r="G43" s="2060"/>
      <c r="H43" s="1986"/>
      <c r="I43" s="846" t="s">
        <v>1823</v>
      </c>
      <c r="J43" s="847">
        <f ca="1">1-J42</f>
        <v>0.64100000000000001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-43257</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40</v>
      </c>
      <c r="M47" s="1602" t="str">
        <f>IF(ISNUMBER(FIND("住宅",C1)),"住宅","非住宅")</f>
        <v>非住宅</v>
      </c>
      <c r="O47" s="2372" t="s">
        <v>2375</v>
      </c>
      <c r="P47" s="2373" t="s">
        <v>2376</v>
      </c>
      <c r="Q47" s="2374" t="s">
        <v>2377</v>
      </c>
      <c r="R47" s="2373" t="s">
        <v>2378</v>
      </c>
    </row>
    <row r="48" spans="1:18" s="2057" customFormat="1" ht="18" customHeight="1" thickBot="1">
      <c r="A48" s="2619" t="s">
        <v>2537</v>
      </c>
      <c r="B48" s="2620" t="s">
        <v>2538</v>
      </c>
      <c r="C48" s="2351">
        <f ca="1">ROUND(F48*F50*F49*(1-F51)/10000,0)</f>
        <v>0</v>
      </c>
      <c r="D48" s="2352" t="s">
        <v>636</v>
      </c>
      <c r="E48" s="2353" t="s">
        <v>2297</v>
      </c>
      <c r="F48" s="2354"/>
      <c r="G48" s="2088"/>
      <c r="I48" s="3100" t="s">
        <v>2345</v>
      </c>
      <c r="J48" s="2359" t="s">
        <v>2350</v>
      </c>
      <c r="K48" s="3129" t="s">
        <v>2351</v>
      </c>
      <c r="L48" s="1906">
        <f ca="1">INDIRECT("'数据-取费表'!f"&amp;$G$1)</f>
        <v>16.3</v>
      </c>
      <c r="O48" s="2375" t="s">
        <v>2379</v>
      </c>
      <c r="P48" s="2376" t="s">
        <v>2405</v>
      </c>
      <c r="Q48" s="2377">
        <f ca="1">C40+J29</f>
        <v>41576</v>
      </c>
      <c r="R48" s="2376" t="s">
        <v>2380</v>
      </c>
    </row>
    <row r="49" spans="1:18" s="2057" customFormat="1" ht="18" customHeight="1" thickBot="1">
      <c r="A49" s="785"/>
      <c r="B49" s="786"/>
      <c r="C49" s="787"/>
      <c r="D49" s="788"/>
      <c r="E49" s="783" t="s">
        <v>1740</v>
      </c>
      <c r="F49" s="784">
        <f ca="1">F7</f>
        <v>44982.400000000001</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1741</v>
      </c>
      <c r="F50" s="784">
        <f ca="1">F8</f>
        <v>365</v>
      </c>
      <c r="G50" s="2093"/>
      <c r="H50" s="2091"/>
      <c r="I50" s="3100" t="s">
        <v>2347</v>
      </c>
      <c r="J50" s="3125">
        <f>SUMPRODUCT((I63:I65=J47)*(J62:L62=J48)*(J63:L65))</f>
        <v>60</v>
      </c>
      <c r="K50" s="3130" t="s">
        <v>2353</v>
      </c>
      <c r="L50" s="2361"/>
      <c r="O50" s="2378" t="s">
        <v>2383</v>
      </c>
      <c r="P50" s="2376" t="s">
        <v>2407</v>
      </c>
      <c r="Q50" s="2377">
        <f ca="1">C29</f>
        <v>14925</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26554</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2978</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13.8</v>
      </c>
      <c r="K53" s="3466" t="s">
        <v>2969</v>
      </c>
      <c r="L53" s="3467"/>
      <c r="O53" s="2378" t="s">
        <v>2388</v>
      </c>
      <c r="P53" s="2376" t="s">
        <v>2389</v>
      </c>
      <c r="Q53" s="2377">
        <f ca="1">J53</f>
        <v>13.8</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41576</v>
      </c>
      <c r="R54" s="2380" t="s">
        <v>2392</v>
      </c>
    </row>
    <row r="55" spans="1:18" s="2057" customFormat="1" ht="18" customHeight="1" thickTop="1" thickBot="1">
      <c r="A55" s="796">
        <v>2</v>
      </c>
      <c r="B55" s="797" t="s">
        <v>644</v>
      </c>
      <c r="C55" s="798">
        <f ca="1">C13</f>
        <v>14925</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2303</v>
      </c>
      <c r="C56" s="53">
        <f ca="1">C29</f>
        <v>14925</v>
      </c>
      <c r="D56" s="2616"/>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177</v>
      </c>
      <c r="D57" s="26" t="s">
        <v>1751</v>
      </c>
      <c r="E57" s="2617"/>
      <c r="F57" s="56"/>
      <c r="I57" s="3139" t="s">
        <v>2358</v>
      </c>
      <c r="J57" s="3140" t="str">
        <f ca="1">IF(OR(M47="住宅",J51&lt;L48,J56="是"),"——",J51-L48)</f>
        <v>——</v>
      </c>
      <c r="K57" s="3100" t="s">
        <v>2363</v>
      </c>
      <c r="L57" s="1906" t="str">
        <f ca="1">IF(L48&lt;J51,"——",IF(L55="比较法",L49,IF(L55="基准地价",L50,L51)))</f>
        <v>——</v>
      </c>
      <c r="O57" s="2375" t="s">
        <v>2379</v>
      </c>
      <c r="P57" s="2376" t="s">
        <v>2409</v>
      </c>
      <c r="Q57" s="2377">
        <f ca="1">C40+J29</f>
        <v>41576</v>
      </c>
      <c r="R57" s="2376" t="s">
        <v>2380</v>
      </c>
    </row>
    <row r="58" spans="1:18" s="2057" customFormat="1" ht="28.5" customHeight="1" thickBot="1">
      <c r="A58" s="1647" t="s">
        <v>1825</v>
      </c>
      <c r="B58" s="783" t="s">
        <v>656</v>
      </c>
      <c r="C58" s="53">
        <f ca="1">ROUND(IF(项目基本情况!B11="自然人",C47*F58,C59+C60+C61),1)</f>
        <v>5.3</v>
      </c>
      <c r="D58" s="2615" t="s">
        <v>657</v>
      </c>
      <c r="E58" s="2616"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2616" t="s">
        <v>1757</v>
      </c>
      <c r="E59" s="783" t="s">
        <v>1748</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5.3</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13356.39</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149.30000000000001</v>
      </c>
      <c r="D63" s="2616" t="s">
        <v>1804</v>
      </c>
      <c r="E63" s="783" t="s">
        <v>1748</v>
      </c>
      <c r="F63" s="816">
        <f t="shared" ca="1" si="0"/>
        <v>0.01</v>
      </c>
      <c r="I63" s="3144" t="s">
        <v>2370</v>
      </c>
      <c r="J63" s="3145">
        <v>70</v>
      </c>
      <c r="K63" s="3145">
        <v>50</v>
      </c>
      <c r="L63" s="3145">
        <v>80</v>
      </c>
      <c r="M63" s="3147">
        <v>0.02</v>
      </c>
      <c r="O63" s="2375" t="s">
        <v>2391</v>
      </c>
      <c r="P63" s="2376" t="s">
        <v>2408</v>
      </c>
      <c r="Q63" s="2377">
        <f ca="1">Q57+Q58</f>
        <v>41576</v>
      </c>
      <c r="R63" s="2380" t="s">
        <v>2392</v>
      </c>
    </row>
    <row r="64" spans="1:18" s="2057" customFormat="1" ht="16.5" thickBot="1">
      <c r="A64" s="1647" t="s">
        <v>1891</v>
      </c>
      <c r="B64" s="783" t="s">
        <v>679</v>
      </c>
      <c r="C64" s="53">
        <f ca="1">ROUND(C55*F64,1)</f>
        <v>22.4</v>
      </c>
      <c r="D64" s="2616" t="s">
        <v>680</v>
      </c>
      <c r="E64" s="783" t="s">
        <v>1748</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2616" t="s">
        <v>683</v>
      </c>
      <c r="E65" s="783" t="s">
        <v>1748</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-177</v>
      </c>
      <c r="D66" s="2615" t="s">
        <v>700</v>
      </c>
      <c r="E66" s="2614"/>
      <c r="F66" s="819"/>
      <c r="K66" s="2084"/>
      <c r="O66" s="2375" t="s">
        <v>2379</v>
      </c>
      <c r="P66" s="2376" t="s">
        <v>2409</v>
      </c>
      <c r="Q66" s="2377">
        <f ca="1">C40+J29</f>
        <v>41576</v>
      </c>
      <c r="R66" s="2376" t="s">
        <v>2380</v>
      </c>
    </row>
    <row r="67" spans="1:18" s="2057" customFormat="1" ht="20.25" thickBot="1">
      <c r="A67" s="780" t="s">
        <v>1781</v>
      </c>
      <c r="B67" s="2230" t="s">
        <v>2302</v>
      </c>
      <c r="C67" s="782">
        <f ca="1">ROUND(C66*(1-((1+F69)/(1+F67))^F68)/(F67-F69),0)</f>
        <v>-1681</v>
      </c>
      <c r="D67" s="813" t="s">
        <v>704</v>
      </c>
      <c r="E67" s="783" t="s">
        <v>705</v>
      </c>
      <c r="F67" s="793">
        <f ca="1">F40</f>
        <v>5.5E-2</v>
      </c>
      <c r="K67" s="2084"/>
      <c r="O67" s="2375" t="s">
        <v>2381</v>
      </c>
      <c r="P67" s="2376" t="s">
        <v>2412</v>
      </c>
      <c r="Q67" s="2377">
        <f ca="1">L60</f>
        <v>0</v>
      </c>
      <c r="R67" s="2380" t="s">
        <v>2414</v>
      </c>
    </row>
    <row r="68" spans="1:18" ht="21.75" thickBot="1">
      <c r="A68" s="785"/>
      <c r="B68" s="786"/>
      <c r="C68" s="787"/>
      <c r="D68" s="820" t="s">
        <v>1809</v>
      </c>
      <c r="E68" s="783" t="s">
        <v>1785</v>
      </c>
      <c r="F68" s="821">
        <f ca="1">F41</f>
        <v>13.8</v>
      </c>
      <c r="O68" s="2378" t="s">
        <v>2383</v>
      </c>
      <c r="P68" s="2376" t="s">
        <v>2413</v>
      </c>
      <c r="Q68" s="2382">
        <f ca="1">L51</f>
        <v>26554</v>
      </c>
      <c r="R68" s="2383" t="s">
        <v>2416</v>
      </c>
    </row>
    <row r="69" spans="1:18" ht="20.25" thickBot="1">
      <c r="A69" s="789"/>
      <c r="B69" s="790"/>
      <c r="C69" s="791"/>
      <c r="D69" s="815"/>
      <c r="E69" s="783" t="s">
        <v>710</v>
      </c>
      <c r="F69" s="2348"/>
      <c r="O69" s="2378" t="s">
        <v>2384</v>
      </c>
      <c r="P69" s="2384" t="s">
        <v>2398</v>
      </c>
      <c r="Q69" s="2377">
        <f ca="1">ROUND(Q70-Q71*Q72,0)</f>
        <v>2420</v>
      </c>
      <c r="R69" s="2380"/>
    </row>
    <row r="70" spans="1:18" ht="15.75" thickBot="1">
      <c r="A70" s="822" t="s">
        <v>1788</v>
      </c>
      <c r="B70" s="823" t="s">
        <v>1811</v>
      </c>
      <c r="C70" s="824">
        <f ca="1">ROUND(C67*10000/F70,0)</f>
        <v>-374</v>
      </c>
      <c r="D70" s="825" t="s">
        <v>1812</v>
      </c>
      <c r="E70" s="826" t="s">
        <v>1813</v>
      </c>
      <c r="F70" s="827">
        <f ca="1">F43</f>
        <v>44982.400000000001</v>
      </c>
      <c r="O70" s="2378" t="s">
        <v>2399</v>
      </c>
      <c r="P70" s="2384" t="s">
        <v>2400</v>
      </c>
      <c r="Q70" s="2377">
        <f ca="1">C39</f>
        <v>3689</v>
      </c>
      <c r="R70" s="2376" t="s">
        <v>2380</v>
      </c>
    </row>
    <row r="71" spans="1:18" ht="15.75" thickBot="1">
      <c r="O71" s="2378" t="s">
        <v>2401</v>
      </c>
      <c r="P71" s="2384" t="s">
        <v>2402</v>
      </c>
      <c r="Q71" s="2377">
        <f ca="1">C13</f>
        <v>14925</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41576</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68" t="s">
        <v>2471</v>
      </c>
      <c r="B1" s="3469"/>
      <c r="C1" s="3470"/>
      <c r="D1" s="3471">
        <f>SUM(I10,I15,I20,I21,I23)</f>
        <v>0</v>
      </c>
      <c r="E1" s="3471"/>
      <c r="F1" s="3471"/>
      <c r="G1" s="3471"/>
      <c r="H1" s="3471"/>
      <c r="I1" s="3472"/>
    </row>
    <row r="2" spans="1:9">
      <c r="A2" s="3473" t="s">
        <v>2472</v>
      </c>
      <c r="B2" s="3474" t="s">
        <v>2473</v>
      </c>
      <c r="C2" s="3474"/>
      <c r="D2" s="2484" t="s">
        <v>2474</v>
      </c>
      <c r="E2" s="2484" t="s">
        <v>2475</v>
      </c>
      <c r="F2" s="2484" t="s">
        <v>2476</v>
      </c>
      <c r="G2" s="2484" t="s">
        <v>2477</v>
      </c>
      <c r="H2" s="2484" t="s">
        <v>2478</v>
      </c>
      <c r="I2" s="2485" t="s">
        <v>2479</v>
      </c>
    </row>
    <row r="3" spans="1:9">
      <c r="A3" s="3473"/>
      <c r="B3" s="3474" t="s">
        <v>2480</v>
      </c>
      <c r="C3" s="3474"/>
      <c r="D3" s="2486"/>
      <c r="E3" s="2484"/>
      <c r="F3" s="2487"/>
      <c r="G3" s="2487"/>
      <c r="H3" s="2488"/>
      <c r="I3" s="2489">
        <f>ROUND(D3*E3*F3*G3*H3/10000,0)</f>
        <v>0</v>
      </c>
    </row>
    <row r="4" spans="1:9">
      <c r="A4" s="3473"/>
      <c r="B4" s="3474" t="s">
        <v>2481</v>
      </c>
      <c r="C4" s="3474"/>
      <c r="D4" s="2486"/>
      <c r="E4" s="2484"/>
      <c r="F4" s="2487"/>
      <c r="G4" s="2487"/>
      <c r="H4" s="2488"/>
      <c r="I4" s="2489">
        <f t="shared" ref="I4:I9" si="0">ROUND(D4*E4*F4*G4*H4/10000,0)</f>
        <v>0</v>
      </c>
    </row>
    <row r="5" spans="1:9">
      <c r="A5" s="3473"/>
      <c r="B5" s="3474" t="s">
        <v>2482</v>
      </c>
      <c r="C5" s="3474"/>
      <c r="D5" s="2486"/>
      <c r="E5" s="2484"/>
      <c r="F5" s="2487"/>
      <c r="G5" s="2487"/>
      <c r="H5" s="2488"/>
      <c r="I5" s="2489">
        <f t="shared" si="0"/>
        <v>0</v>
      </c>
    </row>
    <row r="6" spans="1:9">
      <c r="A6" s="3473"/>
      <c r="B6" s="3474" t="s">
        <v>2483</v>
      </c>
      <c r="C6" s="3474"/>
      <c r="D6" s="2486"/>
      <c r="E6" s="2484"/>
      <c r="F6" s="2487"/>
      <c r="G6" s="2487"/>
      <c r="H6" s="2488"/>
      <c r="I6" s="2489">
        <f t="shared" si="0"/>
        <v>0</v>
      </c>
    </row>
    <row r="7" spans="1:9">
      <c r="A7" s="3473"/>
      <c r="B7" s="3474" t="s">
        <v>2484</v>
      </c>
      <c r="C7" s="3474"/>
      <c r="D7" s="2486"/>
      <c r="E7" s="2484"/>
      <c r="F7" s="2487"/>
      <c r="G7" s="2487"/>
      <c r="H7" s="2488"/>
      <c r="I7" s="2489">
        <f t="shared" si="0"/>
        <v>0</v>
      </c>
    </row>
    <row r="8" spans="1:9">
      <c r="A8" s="3473"/>
      <c r="B8" s="3474" t="s">
        <v>2485</v>
      </c>
      <c r="C8" s="3474"/>
      <c r="D8" s="2486"/>
      <c r="E8" s="2484"/>
      <c r="F8" s="2487"/>
      <c r="G8" s="2487"/>
      <c r="H8" s="2488"/>
      <c r="I8" s="2489">
        <f t="shared" si="0"/>
        <v>0</v>
      </c>
    </row>
    <row r="9" spans="1:9">
      <c r="A9" s="3473"/>
      <c r="B9" s="3474" t="s">
        <v>2486</v>
      </c>
      <c r="C9" s="3474"/>
      <c r="D9" s="2486"/>
      <c r="E9" s="2484"/>
      <c r="F9" s="2487"/>
      <c r="G9" s="2487"/>
      <c r="H9" s="2488"/>
      <c r="I9" s="2489">
        <f t="shared" si="0"/>
        <v>0</v>
      </c>
    </row>
    <row r="10" spans="1:9">
      <c r="A10" s="3473"/>
      <c r="B10" s="3475" t="s">
        <v>2487</v>
      </c>
      <c r="C10" s="3475"/>
      <c r="D10" s="2490">
        <v>527</v>
      </c>
      <c r="E10" s="2490" t="e">
        <f>ROUND(D1*10000/D10/H9,0)</f>
        <v>#DIV/0!</v>
      </c>
      <c r="F10" s="2491"/>
      <c r="G10" s="2491"/>
      <c r="H10" s="2492"/>
      <c r="I10" s="2493">
        <f>SUM(I3:I9)</f>
        <v>0</v>
      </c>
    </row>
    <row r="11" spans="1:9" ht="14.25">
      <c r="A11" s="3473" t="s">
        <v>2488</v>
      </c>
      <c r="B11" s="3474" t="s">
        <v>2489</v>
      </c>
      <c r="C11" s="3474"/>
      <c r="D11" s="2486" t="s">
        <v>2490</v>
      </c>
      <c r="E11" s="2486" t="s">
        <v>2491</v>
      </c>
      <c r="F11" s="2487" t="s">
        <v>2492</v>
      </c>
      <c r="G11" s="2487" t="s">
        <v>2493</v>
      </c>
      <c r="H11" s="2494" t="s">
        <v>2494</v>
      </c>
      <c r="I11" s="2485" t="s">
        <v>2495</v>
      </c>
    </row>
    <row r="12" spans="1:9">
      <c r="A12" s="3473"/>
      <c r="B12" s="3474" t="s">
        <v>2496</v>
      </c>
      <c r="C12" s="3474"/>
      <c r="D12" s="2486"/>
      <c r="E12" s="2486"/>
      <c r="F12" s="2487"/>
      <c r="G12" s="2488"/>
      <c r="H12" s="2495"/>
      <c r="I12" s="2485">
        <f>ROUND(D12*E12*F12*G12/10000,0)</f>
        <v>0</v>
      </c>
    </row>
    <row r="13" spans="1:9">
      <c r="A13" s="3473"/>
      <c r="B13" s="3474" t="s">
        <v>2497</v>
      </c>
      <c r="C13" s="3474"/>
      <c r="D13" s="2486"/>
      <c r="E13" s="2486"/>
      <c r="F13" s="2487"/>
      <c r="G13" s="2488"/>
      <c r="H13" s="2495"/>
      <c r="I13" s="2485">
        <f>ROUND(D13*E13*F13*G13/10000,0)</f>
        <v>0</v>
      </c>
    </row>
    <row r="14" spans="1:9">
      <c r="A14" s="3473"/>
      <c r="B14" s="3474" t="s">
        <v>2498</v>
      </c>
      <c r="C14" s="3474"/>
      <c r="D14" s="2486"/>
      <c r="E14" s="2486"/>
      <c r="F14" s="2487"/>
      <c r="G14" s="2488"/>
      <c r="H14" s="2495"/>
      <c r="I14" s="2485">
        <f>ROUND(D14*E14*F14*G14/10000,0)</f>
        <v>0</v>
      </c>
    </row>
    <row r="15" spans="1:9">
      <c r="A15" s="3473"/>
      <c r="B15" s="3475" t="s">
        <v>2487</v>
      </c>
      <c r="C15" s="3475"/>
      <c r="D15" s="2490"/>
      <c r="E15" s="2490">
        <f>SUM(E12:E14)</f>
        <v>0</v>
      </c>
      <c r="F15" s="2491"/>
      <c r="G15" s="2488"/>
      <c r="H15" s="2495"/>
      <c r="I15" s="2496">
        <f>SUM(I12:I14)</f>
        <v>0</v>
      </c>
    </row>
    <row r="16" spans="1:9" ht="24">
      <c r="A16" s="3473" t="s">
        <v>2499</v>
      </c>
      <c r="B16" s="3474" t="s">
        <v>2500</v>
      </c>
      <c r="C16" s="3474"/>
      <c r="D16" s="2486" t="s">
        <v>2501</v>
      </c>
      <c r="E16" s="2497" t="s">
        <v>2502</v>
      </c>
      <c r="F16" s="2487" t="s">
        <v>2503</v>
      </c>
      <c r="G16" s="2488" t="s">
        <v>2493</v>
      </c>
      <c r="H16" s="2494" t="s">
        <v>2494</v>
      </c>
      <c r="I16" s="2485" t="s">
        <v>2495</v>
      </c>
    </row>
    <row r="17" spans="1:9" ht="14.25">
      <c r="A17" s="3473"/>
      <c r="B17" s="3474" t="s">
        <v>2504</v>
      </c>
      <c r="C17" s="3474"/>
      <c r="D17" s="2486"/>
      <c r="E17" s="2486"/>
      <c r="F17" s="2487"/>
      <c r="G17" s="2488"/>
      <c r="H17" s="2498"/>
      <c r="I17" s="2499">
        <f>ROUND(D17*E17*F17*G17/10000,0)</f>
        <v>0</v>
      </c>
    </row>
    <row r="18" spans="1:9" ht="14.25">
      <c r="A18" s="3473"/>
      <c r="B18" s="3474" t="s">
        <v>2505</v>
      </c>
      <c r="C18" s="3474"/>
      <c r="D18" s="2486"/>
      <c r="E18" s="2486"/>
      <c r="F18" s="2487"/>
      <c r="G18" s="2488"/>
      <c r="H18" s="2498"/>
      <c r="I18" s="2499">
        <f>ROUND(D18*E18*F18*G18/10000,0)</f>
        <v>0</v>
      </c>
    </row>
    <row r="19" spans="1:9" ht="14.25">
      <c r="A19" s="3473"/>
      <c r="B19" s="3474" t="s">
        <v>2506</v>
      </c>
      <c r="C19" s="3474"/>
      <c r="D19" s="2486"/>
      <c r="E19" s="2486"/>
      <c r="F19" s="2487"/>
      <c r="G19" s="2488"/>
      <c r="H19" s="2498"/>
      <c r="I19" s="2499">
        <f>ROUND(D19*E19*F19*G19/10000,0)</f>
        <v>0</v>
      </c>
    </row>
    <row r="20" spans="1:9">
      <c r="A20" s="3473"/>
      <c r="B20" s="3475" t="s">
        <v>2487</v>
      </c>
      <c r="C20" s="3475"/>
      <c r="D20" s="2490">
        <f>SUM(D17:D19)</f>
        <v>0</v>
      </c>
      <c r="E20" s="2490"/>
      <c r="F20" s="2491"/>
      <c r="G20" s="2488"/>
      <c r="H20" s="2495"/>
      <c r="I20" s="2496">
        <f>SUM(I17:I19)</f>
        <v>0</v>
      </c>
    </row>
    <row r="21" spans="1:9">
      <c r="A21" s="3473" t="s">
        <v>2507</v>
      </c>
      <c r="B21" s="3477"/>
      <c r="C21" s="3477"/>
      <c r="D21" s="3477"/>
      <c r="E21" s="3477"/>
      <c r="F21" s="3477"/>
      <c r="G21" s="3477"/>
      <c r="H21" s="2500">
        <v>0.1</v>
      </c>
      <c r="I21" s="2493">
        <f>ROUND(I10*H21,0)</f>
        <v>0</v>
      </c>
    </row>
    <row r="22" spans="1:9" ht="14.25">
      <c r="A22" s="3478" t="s">
        <v>2508</v>
      </c>
      <c r="B22" s="3479"/>
      <c r="C22" s="3480"/>
      <c r="D22" s="2501" t="s">
        <v>2509</v>
      </c>
      <c r="E22" s="2501" t="s">
        <v>2510</v>
      </c>
      <c r="F22" s="2502" t="s">
        <v>2511</v>
      </c>
      <c r="G22" s="2502" t="s">
        <v>2512</v>
      </c>
      <c r="H22" s="2494" t="s">
        <v>2513</v>
      </c>
      <c r="I22" s="2485" t="s">
        <v>2514</v>
      </c>
    </row>
    <row r="23" spans="1:9" ht="14.25" thickBot="1">
      <c r="A23" s="3481"/>
      <c r="B23" s="3482"/>
      <c r="C23" s="3483"/>
      <c r="D23" s="2503"/>
      <c r="E23" s="2503"/>
      <c r="F23" s="2503"/>
      <c r="G23" s="2504"/>
      <c r="H23" s="2505"/>
      <c r="I23" s="2506">
        <f>ROUND(E23*D23*F23*(1-G23)/10000,0)</f>
        <v>0</v>
      </c>
    </row>
    <row r="26" spans="1:9">
      <c r="A26" s="2507" t="s">
        <v>2515</v>
      </c>
      <c r="B26" s="2507"/>
      <c r="C26" s="2507"/>
      <c r="D26" s="2507"/>
      <c r="E26" s="3484">
        <f>C27-C30-C31-C32</f>
        <v>0</v>
      </c>
      <c r="F26" s="3484"/>
      <c r="G26" s="3484"/>
      <c r="H26" s="3017" t="s">
        <v>2843</v>
      </c>
    </row>
    <row r="27" spans="1:9">
      <c r="A27" s="2508">
        <v>1</v>
      </c>
      <c r="B27" s="2509" t="s">
        <v>2516</v>
      </c>
      <c r="C27" s="2509"/>
      <c r="D27" s="2509"/>
      <c r="E27" s="3485"/>
      <c r="F27" s="3485"/>
      <c r="G27" s="3485"/>
    </row>
    <row r="28" spans="1:9">
      <c r="A28" s="2510" t="s">
        <v>2517</v>
      </c>
      <c r="B28" s="2509" t="s">
        <v>2518</v>
      </c>
      <c r="C28" s="2509"/>
      <c r="D28" s="2509"/>
      <c r="E28" s="3485"/>
      <c r="F28" s="3485"/>
      <c r="G28" s="3485"/>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76"/>
      <c r="F32" s="3476"/>
      <c r="G32" s="3476"/>
    </row>
    <row r="33" spans="1:7" hidden="1">
      <c r="A33" s="3486" t="s">
        <v>2526</v>
      </c>
      <c r="B33" s="3487"/>
      <c r="C33" s="3487"/>
      <c r="D33" s="3488"/>
      <c r="E33" s="3484"/>
      <c r="F33" s="3484"/>
      <c r="G33" s="3484"/>
    </row>
    <row r="34" spans="1:7" hidden="1">
      <c r="A34" s="2512">
        <v>1</v>
      </c>
      <c r="B34" s="2509" t="s">
        <v>2527</v>
      </c>
      <c r="C34" s="2509"/>
      <c r="D34" s="2509"/>
      <c r="E34" s="3485"/>
      <c r="F34" s="3485"/>
      <c r="G34" s="3485"/>
    </row>
    <row r="35" spans="1:7" hidden="1">
      <c r="A35" s="2512">
        <v>2</v>
      </c>
      <c r="B35" s="2509" t="s">
        <v>2528</v>
      </c>
      <c r="C35" s="2509"/>
      <c r="D35" s="2509"/>
      <c r="E35" s="3485"/>
      <c r="F35" s="3485"/>
      <c r="G35" s="3485"/>
    </row>
    <row r="36" spans="1:7" hidden="1">
      <c r="A36" s="2512">
        <v>3</v>
      </c>
      <c r="B36" s="2509" t="s">
        <v>2529</v>
      </c>
      <c r="C36" s="2509"/>
      <c r="D36" s="2509"/>
      <c r="E36" s="3485"/>
      <c r="F36" s="3485"/>
      <c r="G36" s="3485"/>
    </row>
    <row r="37" spans="1:7" hidden="1">
      <c r="A37" s="2512">
        <v>4</v>
      </c>
      <c r="B37" s="2509" t="s">
        <v>2530</v>
      </c>
      <c r="C37" s="2509"/>
      <c r="D37" s="2509"/>
      <c r="E37" s="3485"/>
      <c r="F37" s="3485"/>
      <c r="G37" s="3485"/>
    </row>
    <row r="38" spans="1:7" hidden="1">
      <c r="A38" s="3486" t="s">
        <v>2531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2440</v>
      </c>
      <c r="B8" s="2449" t="s">
        <v>2442</v>
      </c>
      <c r="C8" s="2450"/>
      <c r="D8" s="748"/>
      <c r="E8" s="749"/>
      <c r="F8" s="749"/>
      <c r="G8" s="750"/>
    </row>
    <row r="9" spans="1:25" s="2181" customFormat="1" ht="13.5" customHeight="1">
      <c r="A9" s="2446" t="s">
        <v>2441</v>
      </c>
      <c r="B9" s="2449" t="s">
        <v>2443</v>
      </c>
      <c r="C9" s="2450"/>
      <c r="D9" s="748"/>
      <c r="E9" s="749"/>
      <c r="F9" s="749"/>
      <c r="G9" s="750"/>
    </row>
    <row r="10" spans="1:25" s="2181" customFormat="1" ht="36">
      <c r="A10" s="2446">
        <v>2</v>
      </c>
      <c r="B10" s="747" t="s">
        <v>613</v>
      </c>
      <c r="C10" s="748">
        <f>C11+C14+C15</f>
        <v>0</v>
      </c>
      <c r="D10" s="759">
        <f>'数据-汇总表'!E3</f>
        <v>299369.98</v>
      </c>
      <c r="E10" s="748">
        <f>'数据-取费表'!B31</f>
        <v>200</v>
      </c>
      <c r="F10" s="760"/>
      <c r="G10" s="758" t="s">
        <v>614</v>
      </c>
    </row>
    <row r="11" spans="1:25" s="2181" customFormat="1" ht="13.5" customHeight="1">
      <c r="A11" s="2446" t="s">
        <v>2440</v>
      </c>
      <c r="B11" s="751" t="s">
        <v>610</v>
      </c>
      <c r="C11" s="752">
        <f>'数据-取费表'!B29</f>
        <v>0</v>
      </c>
      <c r="D11" s="753"/>
      <c r="E11" s="752"/>
      <c r="F11" s="754"/>
      <c r="G11" s="2455" t="s">
        <v>2451</v>
      </c>
    </row>
    <row r="12" spans="1:25" s="2181" customFormat="1" ht="13.5" customHeight="1">
      <c r="A12" s="2453" t="s">
        <v>2448</v>
      </c>
      <c r="B12" s="755" t="s">
        <v>611</v>
      </c>
      <c r="C12" s="756">
        <f>ROUND(D12*E12/10000,0)</f>
        <v>1242</v>
      </c>
      <c r="D12" s="757">
        <f>'数据-汇总表'!E5</f>
        <v>177455.55</v>
      </c>
      <c r="E12" s="756">
        <f>'数据-取费表'!B27</f>
        <v>70</v>
      </c>
      <c r="F12" s="754"/>
      <c r="G12" s="758"/>
    </row>
    <row r="13" spans="1:25" s="2181" customFormat="1" ht="13.5" customHeight="1">
      <c r="A13" s="2453" t="s">
        <v>2447</v>
      </c>
      <c r="B13" s="755" t="s">
        <v>612</v>
      </c>
      <c r="C13" s="756">
        <f>ROUND(D13*E13/10000,0)</f>
        <v>853</v>
      </c>
      <c r="D13" s="757">
        <f>'数据-汇总表'!E6</f>
        <v>121914.43</v>
      </c>
      <c r="E13" s="756">
        <f>'数据-取费表'!B28</f>
        <v>70</v>
      </c>
      <c r="F13" s="754"/>
      <c r="G13" s="758"/>
    </row>
    <row r="14" spans="1:25" s="2181" customFormat="1" ht="13.5" customHeight="1">
      <c r="A14" s="2446" t="s">
        <v>2441</v>
      </c>
      <c r="B14" s="2452" t="s">
        <v>2444</v>
      </c>
      <c r="C14" s="2450"/>
      <c r="D14" s="757"/>
      <c r="E14" s="756"/>
      <c r="F14" s="2451"/>
      <c r="G14" s="2454" t="s">
        <v>2449</v>
      </c>
    </row>
    <row r="15" spans="1:25" s="2181" customFormat="1" ht="13.5" customHeight="1">
      <c r="A15" s="2446" t="s">
        <v>2446</v>
      </c>
      <c r="B15" s="2452" t="s">
        <v>2445</v>
      </c>
      <c r="C15" s="2450"/>
      <c r="D15" s="757"/>
      <c r="E15" s="756"/>
      <c r="F15" s="2451"/>
      <c r="G15" s="2454" t="s">
        <v>2450</v>
      </c>
    </row>
    <row r="16" spans="1:25" s="2182" customFormat="1" ht="48">
      <c r="A16" s="2446">
        <v>3</v>
      </c>
      <c r="B16" s="747" t="s">
        <v>615</v>
      </c>
      <c r="C16" s="2450"/>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0.76500000000000001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47"/>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75" t="s">
        <v>522</v>
      </c>
      <c r="D4" s="3376"/>
      <c r="E4" s="3409" t="s">
        <v>523</v>
      </c>
      <c r="F4" s="3410"/>
      <c r="G4" s="3375" t="s">
        <v>524</v>
      </c>
      <c r="H4" s="3376"/>
      <c r="I4" s="3375" t="s">
        <v>525</v>
      </c>
      <c r="J4" s="3376"/>
      <c r="K4" s="513" t="s">
        <v>526</v>
      </c>
      <c r="L4" s="2131"/>
      <c r="M4" s="2132"/>
      <c r="N4" s="2132"/>
      <c r="O4" s="2132"/>
      <c r="P4" s="3377" t="s">
        <v>527</v>
      </c>
      <c r="Q4" s="3378"/>
      <c r="R4" s="3383" t="s">
        <v>523</v>
      </c>
      <c r="S4" s="3384"/>
      <c r="T4" s="3383" t="s">
        <v>524</v>
      </c>
      <c r="U4" s="3384"/>
      <c r="V4" s="3370" t="s">
        <v>525</v>
      </c>
      <c r="W4" s="3370"/>
      <c r="X4" s="1565"/>
      <c r="Y4" s="3383" t="s">
        <v>527</v>
      </c>
      <c r="Z4" s="3384"/>
      <c r="AA4" s="3372" t="s">
        <v>523</v>
      </c>
      <c r="AB4" s="3370" t="s">
        <v>524</v>
      </c>
      <c r="AC4" s="3372" t="s">
        <v>525</v>
      </c>
    </row>
    <row r="5" spans="1:29" ht="15">
      <c r="A5" s="514"/>
      <c r="B5" s="515"/>
      <c r="C5" s="3391" t="s">
        <v>2930</v>
      </c>
      <c r="D5" s="3392"/>
      <c r="E5" s="3411" t="s">
        <v>2931</v>
      </c>
      <c r="F5" s="3412"/>
      <c r="G5" s="3391" t="s">
        <v>2932</v>
      </c>
      <c r="H5" s="3392"/>
      <c r="I5" s="3391" t="s">
        <v>2933</v>
      </c>
      <c r="J5" s="3392"/>
      <c r="K5" s="513"/>
      <c r="L5" s="2131"/>
      <c r="M5" s="2132"/>
      <c r="N5" s="2132"/>
      <c r="O5" s="2132"/>
      <c r="P5" s="3379"/>
      <c r="Q5" s="3380"/>
      <c r="R5" s="3385"/>
      <c r="S5" s="3386"/>
      <c r="T5" s="3385"/>
      <c r="U5" s="3386"/>
      <c r="V5" s="3370"/>
      <c r="W5" s="3370"/>
      <c r="X5" s="1565"/>
      <c r="Y5" s="3385"/>
      <c r="Z5" s="3386"/>
      <c r="AA5" s="3373"/>
      <c r="AB5" s="3370"/>
      <c r="AC5" s="3373"/>
    </row>
    <row r="6" spans="1:29" ht="15.75" thickBot="1">
      <c r="A6" s="516"/>
      <c r="B6" s="517"/>
      <c r="C6" s="3389" t="s">
        <v>2934</v>
      </c>
      <c r="D6" s="3390"/>
      <c r="E6" s="3407" t="s">
        <v>2934</v>
      </c>
      <c r="F6" s="3408"/>
      <c r="G6" s="3389" t="s">
        <v>2934</v>
      </c>
      <c r="H6" s="3390"/>
      <c r="I6" s="3389" t="s">
        <v>2934</v>
      </c>
      <c r="J6" s="3390"/>
      <c r="K6" s="513" t="s">
        <v>528</v>
      </c>
      <c r="L6" s="2131"/>
      <c r="M6" s="2132"/>
      <c r="N6" s="2132"/>
      <c r="O6" s="2132"/>
      <c r="P6" s="3381"/>
      <c r="Q6" s="3382"/>
      <c r="R6" s="3385"/>
      <c r="S6" s="3386"/>
      <c r="T6" s="3387"/>
      <c r="U6" s="3388"/>
      <c r="V6" s="3370"/>
      <c r="W6" s="3370"/>
      <c r="X6" s="1565"/>
      <c r="Y6" s="3387"/>
      <c r="Z6" s="3388"/>
      <c r="AA6" s="3374"/>
      <c r="AB6" s="3370"/>
      <c r="AC6" s="3374"/>
    </row>
    <row r="7" spans="1:29" s="1218" customFormat="1" ht="15.75" thickBot="1">
      <c r="A7" s="2888"/>
      <c r="B7" s="2895" t="s">
        <v>529</v>
      </c>
      <c r="C7" s="518">
        <f>'数据-取费表'!B2</f>
        <v>43475</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00" t="s">
        <v>530</v>
      </c>
      <c r="Q7" s="3402"/>
      <c r="R7" s="1566" t="s">
        <v>8</v>
      </c>
      <c r="S7" s="1567">
        <f t="shared" ref="S7:S15" si="0">F7</f>
        <v>0</v>
      </c>
      <c r="T7" s="1566" t="s">
        <v>8</v>
      </c>
      <c r="U7" s="1567">
        <f t="shared" ref="U7:U15" si="1">H7</f>
        <v>0</v>
      </c>
      <c r="V7" s="1566" t="s">
        <v>8</v>
      </c>
      <c r="W7" s="1567">
        <f t="shared" ref="W7:W15" si="2">J7</f>
        <v>0</v>
      </c>
      <c r="X7" s="1568"/>
      <c r="Y7" s="3400" t="s">
        <v>530</v>
      </c>
      <c r="Z7" s="3401"/>
      <c r="AA7" s="1569" t="e">
        <f>D7/F7</f>
        <v>#DIV/0!</v>
      </c>
      <c r="AB7" s="1569" t="e">
        <f>D7/H7</f>
        <v>#DIV/0!</v>
      </c>
      <c r="AC7" s="1569" t="e">
        <f>D7/J7</f>
        <v>#DIV/0!</v>
      </c>
    </row>
    <row r="8" spans="1:29" s="1218"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00" t="s">
        <v>533</v>
      </c>
      <c r="Q8" s="3401"/>
      <c r="R8" s="1566" t="s">
        <v>8</v>
      </c>
      <c r="S8" s="1567">
        <f t="shared" si="0"/>
        <v>0</v>
      </c>
      <c r="T8" s="1566" t="s">
        <v>8</v>
      </c>
      <c r="U8" s="1567">
        <f t="shared" si="1"/>
        <v>0</v>
      </c>
      <c r="V8" s="1566" t="s">
        <v>8</v>
      </c>
      <c r="W8" s="1567">
        <f t="shared" si="2"/>
        <v>0</v>
      </c>
      <c r="X8" s="1568"/>
      <c r="Y8" s="3400" t="s">
        <v>533</v>
      </c>
      <c r="Z8" s="3401"/>
      <c r="AA8" s="1569" t="e">
        <f t="shared" ref="AA8:AA46" si="3">D8/F8</f>
        <v>#DIV/0!</v>
      </c>
      <c r="AB8" s="1569" t="e">
        <f t="shared" ref="AB8:AB46" si="4">D8/H8</f>
        <v>#DIV/0!</v>
      </c>
      <c r="AC8" s="1569" t="e">
        <f t="shared" ref="AC8:AC46" si="5">D8/J8</f>
        <v>#DIV/0!</v>
      </c>
    </row>
    <row r="9" spans="1:29" s="1218" customFormat="1" ht="15">
      <c r="A9" s="2890"/>
      <c r="B9" s="2897"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69" t="s">
        <v>535</v>
      </c>
      <c r="Q9" s="1149" t="str">
        <f t="shared" ref="Q9:Q15" si="6">B9</f>
        <v>用途</v>
      </c>
      <c r="R9" s="1566" t="s">
        <v>8</v>
      </c>
      <c r="S9" s="1567">
        <f t="shared" si="0"/>
        <v>100</v>
      </c>
      <c r="T9" s="1566" t="s">
        <v>8</v>
      </c>
      <c r="U9" s="1567">
        <f t="shared" si="1"/>
        <v>100</v>
      </c>
      <c r="V9" s="1566" t="s">
        <v>8</v>
      </c>
      <c r="W9" s="1567">
        <f t="shared" si="2"/>
        <v>100</v>
      </c>
      <c r="X9" s="1568"/>
      <c r="Y9" s="3315"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69"/>
      <c r="Q10" s="1149" t="str">
        <f t="shared" si="6"/>
        <v>土地使用年限（年）</v>
      </c>
      <c r="R10" s="1566" t="s">
        <v>8</v>
      </c>
      <c r="S10" s="1567">
        <f t="shared" si="0"/>
        <v>100</v>
      </c>
      <c r="T10" s="1566" t="s">
        <v>8</v>
      </c>
      <c r="U10" s="1567">
        <f t="shared" si="1"/>
        <v>100</v>
      </c>
      <c r="V10" s="1566" t="s">
        <v>8</v>
      </c>
      <c r="W10" s="1567">
        <f t="shared" si="2"/>
        <v>100</v>
      </c>
      <c r="X10" s="1568"/>
      <c r="Y10" s="3315"/>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69"/>
      <c r="Q11" s="1149" t="str">
        <f t="shared" si="6"/>
        <v>容积率</v>
      </c>
      <c r="R11" s="1566" t="s">
        <v>8</v>
      </c>
      <c r="S11" s="1567" t="e">
        <f t="shared" si="0"/>
        <v>#N/A</v>
      </c>
      <c r="T11" s="1566" t="s">
        <v>8</v>
      </c>
      <c r="U11" s="1567" t="e">
        <f t="shared" si="1"/>
        <v>#N/A</v>
      </c>
      <c r="V11" s="1566" t="s">
        <v>8</v>
      </c>
      <c r="W11" s="1567" t="e">
        <f t="shared" si="2"/>
        <v>#N/A</v>
      </c>
      <c r="X11" s="1568"/>
      <c r="Y11" s="3315"/>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369"/>
      <c r="Q12" s="1149">
        <f t="shared" si="6"/>
        <v>111</v>
      </c>
      <c r="R12" s="1566" t="s">
        <v>8</v>
      </c>
      <c r="S12" s="1567">
        <f t="shared" si="0"/>
        <v>100</v>
      </c>
      <c r="T12" s="1566" t="s">
        <v>8</v>
      </c>
      <c r="U12" s="1567">
        <f t="shared" si="1"/>
        <v>100</v>
      </c>
      <c r="V12" s="1566" t="s">
        <v>8</v>
      </c>
      <c r="W12" s="1567">
        <f t="shared" si="2"/>
        <v>100</v>
      </c>
      <c r="X12" s="1568"/>
      <c r="Y12" s="3315"/>
      <c r="Z12" s="1148">
        <f t="shared" si="7"/>
        <v>111</v>
      </c>
      <c r="AA12" s="1569">
        <f>D12/F12</f>
        <v>1</v>
      </c>
      <c r="AB12" s="1569">
        <f>D12/H12</f>
        <v>1</v>
      </c>
      <c r="AC12" s="1569">
        <f>D12/J12</f>
        <v>1</v>
      </c>
    </row>
    <row r="13" spans="1:29" ht="15">
      <c r="A13" s="2893"/>
      <c r="B13" s="2899">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369"/>
      <c r="Q13" s="1149">
        <f t="shared" si="6"/>
        <v>111</v>
      </c>
      <c r="R13" s="1566" t="s">
        <v>8</v>
      </c>
      <c r="S13" s="1567">
        <f t="shared" si="0"/>
        <v>100</v>
      </c>
      <c r="T13" s="1566" t="s">
        <v>8</v>
      </c>
      <c r="U13" s="1567">
        <f t="shared" si="1"/>
        <v>100</v>
      </c>
      <c r="V13" s="1566" t="s">
        <v>8</v>
      </c>
      <c r="W13" s="1567">
        <f t="shared" si="2"/>
        <v>100</v>
      </c>
      <c r="X13" s="1568"/>
      <c r="Y13" s="3315"/>
      <c r="Z13" s="1148">
        <f t="shared" si="7"/>
        <v>111</v>
      </c>
      <c r="AA13" s="1569">
        <f t="shared" si="3"/>
        <v>1</v>
      </c>
      <c r="AB13" s="1569">
        <f t="shared" si="4"/>
        <v>1</v>
      </c>
      <c r="AC13" s="1569">
        <f t="shared" si="5"/>
        <v>1</v>
      </c>
    </row>
    <row r="14" spans="1:29" ht="15.75" thickBot="1">
      <c r="A14" s="2894"/>
      <c r="B14" s="2900">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369"/>
      <c r="Q14" s="1149">
        <f t="shared" si="6"/>
        <v>111</v>
      </c>
      <c r="R14" s="1566" t="s">
        <v>8</v>
      </c>
      <c r="S14" s="1567">
        <f t="shared" si="0"/>
        <v>100</v>
      </c>
      <c r="T14" s="1566" t="s">
        <v>8</v>
      </c>
      <c r="U14" s="1567">
        <f t="shared" si="1"/>
        <v>100</v>
      </c>
      <c r="V14" s="1566" t="s">
        <v>8</v>
      </c>
      <c r="W14" s="1567">
        <f t="shared" si="2"/>
        <v>100</v>
      </c>
      <c r="X14" s="1568"/>
      <c r="Y14" s="3315"/>
      <c r="Z14" s="1148">
        <f t="shared" si="7"/>
        <v>111</v>
      </c>
      <c r="AA14" s="1569">
        <f t="shared" si="3"/>
        <v>1</v>
      </c>
      <c r="AB14" s="1569">
        <f t="shared" si="4"/>
        <v>1</v>
      </c>
      <c r="AC14" s="1569">
        <f t="shared" si="5"/>
        <v>1</v>
      </c>
    </row>
    <row r="15" spans="1:29" ht="71.25">
      <c r="A15" s="2886"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403" t="s">
        <v>540</v>
      </c>
      <c r="Q15" s="1570" t="str">
        <f t="shared" si="6"/>
        <v>商业繁华度</v>
      </c>
      <c r="R15" s="1571" t="s">
        <v>8</v>
      </c>
      <c r="S15" s="1572">
        <f t="shared" si="0"/>
        <v>100</v>
      </c>
      <c r="T15" s="1571" t="s">
        <v>8</v>
      </c>
      <c r="U15" s="1572">
        <f t="shared" si="1"/>
        <v>100</v>
      </c>
      <c r="V15" s="1571" t="s">
        <v>8</v>
      </c>
      <c r="W15" s="1572">
        <f t="shared" si="2"/>
        <v>100</v>
      </c>
      <c r="X15" s="1565"/>
      <c r="Y15" s="3403"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04"/>
      <c r="Q16" s="1570"/>
      <c r="R16" s="1571"/>
      <c r="S16" s="1572"/>
      <c r="T16" s="1571"/>
      <c r="U16" s="1572"/>
      <c r="V16" s="1571"/>
      <c r="W16" s="1572"/>
      <c r="X16" s="1565"/>
      <c r="Y16" s="3404"/>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04"/>
      <c r="Q18" s="1570"/>
      <c r="R18" s="1571"/>
      <c r="S18" s="1572"/>
      <c r="T18" s="1571"/>
      <c r="U18" s="1572"/>
      <c r="V18" s="1571"/>
      <c r="W18" s="1572"/>
      <c r="X18" s="1565"/>
      <c r="Y18" s="3404"/>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404"/>
      <c r="Q21" s="2556" t="str">
        <f>B21</f>
        <v>基础设施水平</v>
      </c>
      <c r="R21" s="1571" t="s">
        <v>8</v>
      </c>
      <c r="S21" s="1572">
        <f>F21</f>
        <v>100</v>
      </c>
      <c r="T21" s="1571" t="s">
        <v>8</v>
      </c>
      <c r="U21" s="1572">
        <f>H21</f>
        <v>100</v>
      </c>
      <c r="V21" s="1571" t="s">
        <v>8</v>
      </c>
      <c r="W21" s="1572">
        <f>J21</f>
        <v>100</v>
      </c>
      <c r="X21" s="2558"/>
      <c r="Y21" s="3404"/>
      <c r="Z21" s="2557"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579"/>
      <c r="L22" s="2140"/>
      <c r="M22" s="2132"/>
      <c r="N22" s="2132"/>
      <c r="O22" s="2139"/>
      <c r="P22" s="3404"/>
      <c r="Q22" s="2556"/>
      <c r="R22" s="1571"/>
      <c r="S22" s="1572"/>
      <c r="T22" s="1571"/>
      <c r="U22" s="1572"/>
      <c r="V22" s="1571"/>
      <c r="W22" s="1572"/>
      <c r="X22" s="2558"/>
      <c r="Y22" s="3404"/>
      <c r="Z22" s="2557"/>
      <c r="AA22" s="1574">
        <v>1</v>
      </c>
      <c r="AB22" s="1574">
        <v>1</v>
      </c>
      <c r="AC22" s="1574">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404"/>
      <c r="Q23" s="1570" t="str">
        <f>B23</f>
        <v>自然及人文环境</v>
      </c>
      <c r="R23" s="1571" t="s">
        <v>8</v>
      </c>
      <c r="S23" s="1572">
        <f>F23</f>
        <v>100</v>
      </c>
      <c r="T23" s="1571" t="s">
        <v>8</v>
      </c>
      <c r="U23" s="1572">
        <f>H23</f>
        <v>100</v>
      </c>
      <c r="V23" s="1571" t="s">
        <v>8</v>
      </c>
      <c r="W23" s="1572">
        <f>J23</f>
        <v>100</v>
      </c>
      <c r="X23" s="1565"/>
      <c r="Y23" s="3404"/>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4"/>
      <c r="Q25" s="1570" t="str">
        <f t="shared" ref="Q25:Q46" si="11">B25</f>
        <v>临街状况</v>
      </c>
      <c r="R25" s="1571" t="s">
        <v>8</v>
      </c>
      <c r="S25" s="1572">
        <f>F25</f>
        <v>100</v>
      </c>
      <c r="T25" s="1571" t="s">
        <v>8</v>
      </c>
      <c r="U25" s="1572">
        <f>H25</f>
        <v>100</v>
      </c>
      <c r="V25" s="1571" t="s">
        <v>8</v>
      </c>
      <c r="W25" s="1572">
        <f>J25</f>
        <v>100</v>
      </c>
      <c r="X25" s="1565"/>
      <c r="Y25" s="3404"/>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4"/>
      <c r="Q26" s="1570" t="str">
        <f t="shared" si="11"/>
        <v>平面位置/可视性</v>
      </c>
      <c r="R26" s="1571" t="s">
        <v>8</v>
      </c>
      <c r="S26" s="1572">
        <f>F26</f>
        <v>100</v>
      </c>
      <c r="T26" s="1571" t="s">
        <v>8</v>
      </c>
      <c r="U26" s="1572">
        <f>H26</f>
        <v>100</v>
      </c>
      <c r="V26" s="1571" t="s">
        <v>8</v>
      </c>
      <c r="W26" s="1572">
        <f>J26</f>
        <v>100</v>
      </c>
      <c r="X26" s="1565"/>
      <c r="Y26" s="3404"/>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404"/>
      <c r="Q27" s="1149" t="str">
        <f t="shared" si="11"/>
        <v>人流量</v>
      </c>
      <c r="R27" s="1566" t="s">
        <v>8</v>
      </c>
      <c r="S27" s="1567">
        <f>F27</f>
        <v>100</v>
      </c>
      <c r="T27" s="1566" t="s">
        <v>8</v>
      </c>
      <c r="U27" s="1567">
        <f>H27</f>
        <v>100</v>
      </c>
      <c r="V27" s="1566" t="s">
        <v>8</v>
      </c>
      <c r="W27" s="1567">
        <f>J27</f>
        <v>100</v>
      </c>
      <c r="X27" s="1568"/>
      <c r="Y27" s="3404"/>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4"/>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4"/>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4"/>
      <c r="Q29" s="1570">
        <f t="shared" si="11"/>
        <v>111</v>
      </c>
      <c r="R29" s="1571" t="s">
        <v>8</v>
      </c>
      <c r="S29" s="1572">
        <f t="shared" si="12"/>
        <v>100</v>
      </c>
      <c r="T29" s="1571" t="s">
        <v>8</v>
      </c>
      <c r="U29" s="1572">
        <f t="shared" si="13"/>
        <v>100</v>
      </c>
      <c r="V29" s="1571" t="s">
        <v>8</v>
      </c>
      <c r="W29" s="1572">
        <f t="shared" si="14"/>
        <v>100</v>
      </c>
      <c r="X29" s="1565"/>
      <c r="Y29" s="3404"/>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
      <c r="A32" s="288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5" t="s">
        <v>550</v>
      </c>
      <c r="Q32" s="1570" t="str">
        <f t="shared" si="11"/>
        <v>商业类型</v>
      </c>
      <c r="R32" s="1571" t="s">
        <v>8</v>
      </c>
      <c r="S32" s="1572">
        <f t="shared" si="12"/>
        <v>100</v>
      </c>
      <c r="T32" s="1571" t="s">
        <v>8</v>
      </c>
      <c r="U32" s="1572">
        <f t="shared" si="13"/>
        <v>100</v>
      </c>
      <c r="V32" s="1571" t="s">
        <v>8</v>
      </c>
      <c r="W32" s="1572">
        <f t="shared" si="14"/>
        <v>100</v>
      </c>
      <c r="X32" s="1565"/>
      <c r="Y32" s="3406"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6"/>
      <c r="Q33" s="1603" t="str">
        <f t="shared" si="11"/>
        <v>项目建筑规模</v>
      </c>
      <c r="R33" s="1575" t="s">
        <v>8</v>
      </c>
      <c r="S33" s="1576" t="e">
        <f t="shared" si="12"/>
        <v>#N/A</v>
      </c>
      <c r="T33" s="1575" t="s">
        <v>8</v>
      </c>
      <c r="U33" s="1576" t="e">
        <f t="shared" si="13"/>
        <v>#N/A</v>
      </c>
      <c r="V33" s="1575" t="s">
        <v>8</v>
      </c>
      <c r="W33" s="1576" t="e">
        <f t="shared" si="14"/>
        <v>#N/A</v>
      </c>
      <c r="X33" s="1577"/>
      <c r="Y33" s="3406"/>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406"/>
      <c r="Q34" s="1570" t="str">
        <f t="shared" si="11"/>
        <v>建筑结构</v>
      </c>
      <c r="R34" s="1571" t="s">
        <v>8</v>
      </c>
      <c r="S34" s="1572">
        <f t="shared" si="12"/>
        <v>100</v>
      </c>
      <c r="T34" s="1571" t="s">
        <v>8</v>
      </c>
      <c r="U34" s="1572">
        <f t="shared" si="13"/>
        <v>100</v>
      </c>
      <c r="V34" s="1571" t="s">
        <v>8</v>
      </c>
      <c r="W34" s="1572">
        <f t="shared" si="14"/>
        <v>100</v>
      </c>
      <c r="X34" s="1565"/>
      <c r="Y34" s="3406"/>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6"/>
      <c r="Q35" s="1570" t="str">
        <f t="shared" si="11"/>
        <v>公共部分装修</v>
      </c>
      <c r="R35" s="1571" t="s">
        <v>8</v>
      </c>
      <c r="S35" s="1572">
        <f t="shared" si="12"/>
        <v>100</v>
      </c>
      <c r="T35" s="1571" t="s">
        <v>8</v>
      </c>
      <c r="U35" s="1572">
        <f t="shared" si="13"/>
        <v>100</v>
      </c>
      <c r="V35" s="1571" t="s">
        <v>8</v>
      </c>
      <c r="W35" s="1572">
        <f t="shared" si="14"/>
        <v>100</v>
      </c>
      <c r="X35" s="1565"/>
      <c r="Y35" s="3406"/>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406"/>
      <c r="Q36" s="1570" t="str">
        <f t="shared" si="11"/>
        <v>成新度</v>
      </c>
      <c r="R36" s="1571" t="s">
        <v>8</v>
      </c>
      <c r="S36" s="1572" t="e">
        <f t="shared" si="12"/>
        <v>#N/A</v>
      </c>
      <c r="T36" s="1571" t="s">
        <v>8</v>
      </c>
      <c r="U36" s="1572" t="e">
        <f t="shared" si="13"/>
        <v>#N/A</v>
      </c>
      <c r="V36" s="1571" t="s">
        <v>8</v>
      </c>
      <c r="W36" s="1572" t="e">
        <f t="shared" si="14"/>
        <v>#N/A</v>
      </c>
      <c r="X36" s="1565"/>
      <c r="Y36" s="3406"/>
      <c r="Z36" s="1573" t="str">
        <f t="shared" si="15"/>
        <v>成新度</v>
      </c>
      <c r="AA36" s="1574" t="e">
        <f t="shared" si="3"/>
        <v>#N/A</v>
      </c>
      <c r="AB36" s="1574" t="e">
        <f t="shared" si="4"/>
        <v>#N/A</v>
      </c>
      <c r="AC36" s="1574" t="e">
        <f t="shared" si="5"/>
        <v>#N/A</v>
      </c>
    </row>
    <row r="37" spans="1:29" s="1218"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6"/>
      <c r="Q37" s="1149" t="str">
        <f t="shared" si="11"/>
        <v>市政基础设施</v>
      </c>
      <c r="R37" s="1566" t="s">
        <v>8</v>
      </c>
      <c r="S37" s="1567">
        <f t="shared" si="12"/>
        <v>100</v>
      </c>
      <c r="T37" s="1566" t="s">
        <v>8</v>
      </c>
      <c r="U37" s="1567">
        <f t="shared" si="13"/>
        <v>100</v>
      </c>
      <c r="V37" s="1566" t="s">
        <v>8</v>
      </c>
      <c r="W37" s="1567">
        <f t="shared" si="14"/>
        <v>100</v>
      </c>
      <c r="X37" s="1568"/>
      <c r="Y37" s="3406"/>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6" t="s">
        <v>766</v>
      </c>
      <c r="Q38" s="1570" t="str">
        <f t="shared" si="11"/>
        <v>业态</v>
      </c>
      <c r="R38" s="1571" t="s">
        <v>8</v>
      </c>
      <c r="S38" s="1572">
        <f t="shared" si="12"/>
        <v>100</v>
      </c>
      <c r="T38" s="1571" t="s">
        <v>8</v>
      </c>
      <c r="U38" s="1572">
        <f t="shared" si="13"/>
        <v>100</v>
      </c>
      <c r="V38" s="1571" t="s">
        <v>8</v>
      </c>
      <c r="W38" s="1572">
        <f t="shared" si="14"/>
        <v>100</v>
      </c>
      <c r="X38" s="1565"/>
      <c r="Y38" s="3406"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6"/>
      <c r="Q39" s="1570" t="str">
        <f t="shared" si="11"/>
        <v>层高</v>
      </c>
      <c r="R39" s="1571" t="s">
        <v>8</v>
      </c>
      <c r="S39" s="1572">
        <f t="shared" si="12"/>
        <v>100</v>
      </c>
      <c r="T39" s="1571" t="s">
        <v>8</v>
      </c>
      <c r="U39" s="1572">
        <f t="shared" si="13"/>
        <v>100</v>
      </c>
      <c r="V39" s="1571" t="s">
        <v>8</v>
      </c>
      <c r="W39" s="1572">
        <f t="shared" si="14"/>
        <v>100</v>
      </c>
      <c r="X39" s="1565"/>
      <c r="Y39" s="3406"/>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06"/>
      <c r="Q40" s="1570" t="str">
        <f t="shared" si="11"/>
        <v>单套建筑面积</v>
      </c>
      <c r="R40" s="1571" t="s">
        <v>8</v>
      </c>
      <c r="S40" s="1572">
        <f t="shared" si="12"/>
        <v>100</v>
      </c>
      <c r="T40" s="1571" t="s">
        <v>8</v>
      </c>
      <c r="U40" s="1572">
        <f t="shared" si="13"/>
        <v>100</v>
      </c>
      <c r="V40" s="1571" t="s">
        <v>8</v>
      </c>
      <c r="W40" s="1572">
        <f t="shared" si="14"/>
        <v>100</v>
      </c>
      <c r="X40" s="1565"/>
      <c r="Y40" s="3406"/>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6"/>
      <c r="Q41" s="1603" t="str">
        <f t="shared" si="11"/>
        <v>进深比</v>
      </c>
      <c r="R41" s="1575" t="s">
        <v>8</v>
      </c>
      <c r="S41" s="1576">
        <f t="shared" si="12"/>
        <v>100</v>
      </c>
      <c r="T41" s="1575" t="s">
        <v>8</v>
      </c>
      <c r="U41" s="1576">
        <f t="shared" si="13"/>
        <v>100</v>
      </c>
      <c r="V41" s="1575" t="s">
        <v>8</v>
      </c>
      <c r="W41" s="1576">
        <f t="shared" si="14"/>
        <v>100</v>
      </c>
      <c r="X41" s="1577"/>
      <c r="Y41" s="3406"/>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6"/>
      <c r="Q42" s="1570" t="str">
        <f t="shared" si="11"/>
        <v>内部装修</v>
      </c>
      <c r="R42" s="1571" t="s">
        <v>8</v>
      </c>
      <c r="S42" s="1572">
        <f t="shared" si="12"/>
        <v>100</v>
      </c>
      <c r="T42" s="1571" t="s">
        <v>8</v>
      </c>
      <c r="U42" s="1572">
        <f t="shared" si="13"/>
        <v>100</v>
      </c>
      <c r="V42" s="1571" t="s">
        <v>8</v>
      </c>
      <c r="W42" s="1572">
        <f t="shared" si="14"/>
        <v>100</v>
      </c>
      <c r="X42" s="1565"/>
      <c r="Y42" s="3406"/>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6"/>
      <c r="Q43" s="1570" t="str">
        <f t="shared" si="11"/>
        <v>内部装修维护情况</v>
      </c>
      <c r="R43" s="1571" t="s">
        <v>8</v>
      </c>
      <c r="S43" s="1572">
        <f t="shared" si="12"/>
        <v>100</v>
      </c>
      <c r="T43" s="1571" t="s">
        <v>8</v>
      </c>
      <c r="U43" s="1572">
        <f t="shared" si="13"/>
        <v>100</v>
      </c>
      <c r="V43" s="1571" t="s">
        <v>8</v>
      </c>
      <c r="W43" s="1572">
        <f t="shared" si="14"/>
        <v>100</v>
      </c>
      <c r="X43" s="1565"/>
      <c r="Y43" s="3406"/>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6"/>
      <c r="Q44" s="1149">
        <f t="shared" si="11"/>
        <v>111</v>
      </c>
      <c r="R44" s="1566" t="s">
        <v>8</v>
      </c>
      <c r="S44" s="1567">
        <f t="shared" si="12"/>
        <v>100</v>
      </c>
      <c r="T44" s="1566" t="s">
        <v>8</v>
      </c>
      <c r="U44" s="1567">
        <f t="shared" si="13"/>
        <v>100</v>
      </c>
      <c r="V44" s="1566" t="s">
        <v>8</v>
      </c>
      <c r="W44" s="1567">
        <f t="shared" si="14"/>
        <v>100</v>
      </c>
      <c r="X44" s="1568"/>
      <c r="Y44" s="3406"/>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6"/>
      <c r="Q45" s="1570">
        <f t="shared" si="11"/>
        <v>111</v>
      </c>
      <c r="R45" s="1571" t="s">
        <v>8</v>
      </c>
      <c r="S45" s="1572">
        <f t="shared" si="12"/>
        <v>100</v>
      </c>
      <c r="T45" s="1571" t="s">
        <v>8</v>
      </c>
      <c r="U45" s="1572">
        <f t="shared" si="13"/>
        <v>100</v>
      </c>
      <c r="V45" s="1571" t="s">
        <v>8</v>
      </c>
      <c r="W45" s="1572">
        <f t="shared" si="14"/>
        <v>100</v>
      </c>
      <c r="X45" s="1565"/>
      <c r="Y45" s="3406"/>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61"/>
      <c r="Q46" s="1570">
        <f t="shared" si="11"/>
        <v>111</v>
      </c>
      <c r="R46" s="1571" t="s">
        <v>8</v>
      </c>
      <c r="S46" s="1572">
        <f t="shared" si="12"/>
        <v>100</v>
      </c>
      <c r="T46" s="1571" t="s">
        <v>8</v>
      </c>
      <c r="U46" s="1572">
        <f t="shared" si="13"/>
        <v>100</v>
      </c>
      <c r="V46" s="1571" t="s">
        <v>8</v>
      </c>
      <c r="W46" s="1572">
        <f t="shared" si="14"/>
        <v>100</v>
      </c>
      <c r="X46" s="1565"/>
      <c r="Y46" s="3461"/>
      <c r="Z46" s="1573">
        <f t="shared" si="15"/>
        <v>111</v>
      </c>
      <c r="AA46" s="1574">
        <f t="shared" si="3"/>
        <v>1</v>
      </c>
      <c r="AB46" s="1574">
        <f t="shared" si="4"/>
        <v>1</v>
      </c>
      <c r="AC46" s="1574">
        <f t="shared" si="5"/>
        <v>1</v>
      </c>
    </row>
    <row r="47" spans="1:29" ht="15">
      <c r="A47" s="606" t="s">
        <v>736</v>
      </c>
      <c r="B47" s="885"/>
      <c r="C47" s="2604" t="s">
        <v>1</v>
      </c>
      <c r="D47" s="2605"/>
      <c r="E47" s="2606"/>
      <c r="F47" s="2607"/>
      <c r="G47" s="2608"/>
      <c r="H47" s="2609"/>
      <c r="I47" s="2606"/>
      <c r="J47" s="2609"/>
      <c r="K47" s="1609"/>
      <c r="L47" s="2142"/>
      <c r="M47" s="2143"/>
      <c r="N47" s="2132"/>
      <c r="O47" s="2143"/>
      <c r="P47" s="3369" t="str">
        <f>A47</f>
        <v>成交单价（元/平方米）</v>
      </c>
      <c r="Q47" s="3369"/>
      <c r="R47" s="3460">
        <f>E47</f>
        <v>0</v>
      </c>
      <c r="S47" s="3460"/>
      <c r="T47" s="3460">
        <f>G47</f>
        <v>0</v>
      </c>
      <c r="U47" s="3460"/>
      <c r="V47" s="3460">
        <f>I47</f>
        <v>0</v>
      </c>
      <c r="W47" s="3460"/>
      <c r="X47" s="1557"/>
      <c r="Y47" s="1579"/>
      <c r="Z47" s="1557"/>
      <c r="AA47" s="1557"/>
      <c r="AB47" s="1557"/>
      <c r="AC47" s="1557"/>
    </row>
    <row r="48" spans="1:29" ht="15.75" thickBot="1">
      <c r="A48" s="614" t="s">
        <v>2760</v>
      </c>
      <c r="B48" s="886"/>
      <c r="C48" s="2610" t="e">
        <f>R49</f>
        <v>#DIV/0!</v>
      </c>
      <c r="D48" s="2611"/>
      <c r="E48" s="2612" t="e">
        <f>R48</f>
        <v>#DIV/0!</v>
      </c>
      <c r="F48" s="2612"/>
      <c r="G48" s="2610" t="e">
        <f>T48</f>
        <v>#DIV/0!</v>
      </c>
      <c r="H48" s="2611"/>
      <c r="I48" s="2612" t="e">
        <f>V48</f>
        <v>#DIV/0!</v>
      </c>
      <c r="J48" s="2611"/>
      <c r="K48" s="1610"/>
      <c r="L48" s="2142"/>
      <c r="M48" s="2143"/>
      <c r="N48" s="2132"/>
      <c r="O48" s="2143"/>
      <c r="P48" s="3369" t="str">
        <f>A48</f>
        <v>比较价格（元/平方米）</v>
      </c>
      <c r="Q48" s="336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7"/>
      <c r="Y48" s="1557"/>
      <c r="Z48" s="1557"/>
      <c r="AA48" s="1557"/>
      <c r="AB48" s="1557"/>
      <c r="AC48" s="1557"/>
    </row>
    <row r="49" spans="1:29" ht="15.75" thickBot="1">
      <c r="A49" s="620" t="s">
        <v>2936</v>
      </c>
      <c r="B49" s="621"/>
      <c r="C49" s="2613" t="e">
        <f>R49</f>
        <v>#DIV/0!</v>
      </c>
      <c r="D49" s="2613"/>
      <c r="E49" s="2613"/>
      <c r="F49" s="2613"/>
      <c r="G49" s="2613"/>
      <c r="H49" s="2613"/>
      <c r="I49" s="2613"/>
      <c r="J49" s="2613"/>
      <c r="K49" s="1611"/>
      <c r="L49" s="2142"/>
      <c r="M49" s="2143"/>
      <c r="N49" s="2132"/>
      <c r="O49" s="2143"/>
      <c r="P49" s="3366" t="str">
        <f>A49</f>
        <v>估价对象XX用房的比较价格（楼面单价，元/平方米）</v>
      </c>
      <c r="Q49" s="3367"/>
      <c r="R49" s="3459" t="e">
        <f>IF(F1="售价",ROUND(AVERAGE(R48:V48),0),ROUND(AVERAGE(R48:V48),1))</f>
        <v>#DIV/0!</v>
      </c>
      <c r="S49" s="3459"/>
      <c r="T49" s="3459"/>
      <c r="U49" s="3459"/>
      <c r="V49" s="3459"/>
      <c r="W49" s="345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78"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783"/>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75" t="s">
        <v>522</v>
      </c>
      <c r="D4" s="3376"/>
      <c r="E4" s="3409" t="s">
        <v>523</v>
      </c>
      <c r="F4" s="3410"/>
      <c r="G4" s="3375" t="s">
        <v>524</v>
      </c>
      <c r="H4" s="3376"/>
      <c r="I4" s="3375" t="s">
        <v>525</v>
      </c>
      <c r="J4" s="3376"/>
      <c r="K4" s="513" t="s">
        <v>526</v>
      </c>
      <c r="L4" s="2131"/>
      <c r="M4" s="2132"/>
      <c r="N4" s="2132"/>
      <c r="O4" s="2132"/>
      <c r="P4" s="3490" t="s">
        <v>527</v>
      </c>
      <c r="Q4" s="3378"/>
      <c r="R4" s="3383" t="s">
        <v>523</v>
      </c>
      <c r="S4" s="3384"/>
      <c r="T4" s="3383" t="s">
        <v>524</v>
      </c>
      <c r="U4" s="3384"/>
      <c r="V4" s="3370" t="s">
        <v>525</v>
      </c>
      <c r="W4" s="3370"/>
      <c r="X4" s="1565"/>
      <c r="Y4" s="3383" t="s">
        <v>527</v>
      </c>
      <c r="Z4" s="3384"/>
      <c r="AA4" s="3372" t="s">
        <v>523</v>
      </c>
      <c r="AB4" s="3372" t="s">
        <v>524</v>
      </c>
      <c r="AC4" s="3372" t="s">
        <v>525</v>
      </c>
    </row>
    <row r="5" spans="1:29" ht="15">
      <c r="A5" s="514"/>
      <c r="B5" s="515"/>
      <c r="C5" s="3391" t="s">
        <v>2930</v>
      </c>
      <c r="D5" s="3392"/>
      <c r="E5" s="3411" t="s">
        <v>2931</v>
      </c>
      <c r="F5" s="3412"/>
      <c r="G5" s="3391" t="s">
        <v>2932</v>
      </c>
      <c r="H5" s="3392"/>
      <c r="I5" s="3391" t="s">
        <v>2933</v>
      </c>
      <c r="J5" s="3392"/>
      <c r="K5" s="513"/>
      <c r="L5" s="2131"/>
      <c r="M5" s="2132"/>
      <c r="N5" s="2132"/>
      <c r="O5" s="2132"/>
      <c r="P5" s="3491"/>
      <c r="Q5" s="3380"/>
      <c r="R5" s="3385"/>
      <c r="S5" s="3386"/>
      <c r="T5" s="3385"/>
      <c r="U5" s="3386"/>
      <c r="V5" s="3370"/>
      <c r="W5" s="3370"/>
      <c r="X5" s="1565"/>
      <c r="Y5" s="3385"/>
      <c r="Z5" s="3386"/>
      <c r="AA5" s="3373"/>
      <c r="AB5" s="3373"/>
      <c r="AC5" s="3373"/>
    </row>
    <row r="6" spans="1:29" ht="15.75" thickBot="1">
      <c r="A6" s="516"/>
      <c r="B6" s="517"/>
      <c r="C6" s="3389" t="s">
        <v>2934</v>
      </c>
      <c r="D6" s="3390"/>
      <c r="E6" s="3407" t="s">
        <v>2934</v>
      </c>
      <c r="F6" s="3408"/>
      <c r="G6" s="3389" t="s">
        <v>2934</v>
      </c>
      <c r="H6" s="3390"/>
      <c r="I6" s="3389" t="s">
        <v>2934</v>
      </c>
      <c r="J6" s="3390"/>
      <c r="K6" s="513" t="s">
        <v>528</v>
      </c>
      <c r="L6" s="2131"/>
      <c r="M6" s="2132"/>
      <c r="N6" s="2132"/>
      <c r="O6" s="2132"/>
      <c r="P6" s="3492"/>
      <c r="Q6" s="3382"/>
      <c r="R6" s="3385"/>
      <c r="S6" s="3386"/>
      <c r="T6" s="3387"/>
      <c r="U6" s="3388"/>
      <c r="V6" s="3370"/>
      <c r="W6" s="3370"/>
      <c r="X6" s="1565"/>
      <c r="Y6" s="3387"/>
      <c r="Z6" s="3388"/>
      <c r="AA6" s="3374"/>
      <c r="AB6" s="3374"/>
      <c r="AC6" s="3374"/>
    </row>
    <row r="7" spans="1:29" s="1218" customFormat="1" ht="15.75" thickBot="1">
      <c r="A7" s="2888"/>
      <c r="B7" s="2895" t="s">
        <v>529</v>
      </c>
      <c r="C7" s="518">
        <f>'数据-取费表'!B2</f>
        <v>43475</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2" t="s">
        <v>530</v>
      </c>
      <c r="Q7" s="3402"/>
      <c r="R7" s="1566" t="s">
        <v>8</v>
      </c>
      <c r="S7" s="1567">
        <f t="shared" ref="S7:S15" si="0">F7</f>
        <v>0</v>
      </c>
      <c r="T7" s="1566" t="s">
        <v>8</v>
      </c>
      <c r="U7" s="1567">
        <f t="shared" ref="U7:U15" si="1">H7</f>
        <v>0</v>
      </c>
      <c r="V7" s="1566" t="s">
        <v>8</v>
      </c>
      <c r="W7" s="1567">
        <f t="shared" ref="W7:W15" si="2">J7</f>
        <v>0</v>
      </c>
      <c r="X7" s="1568"/>
      <c r="Y7" s="3400" t="s">
        <v>530</v>
      </c>
      <c r="Z7" s="3401"/>
      <c r="AA7" s="1569" t="e">
        <f>D7/F7</f>
        <v>#DIV/0!</v>
      </c>
      <c r="AB7" s="1569" t="e">
        <f>D7/H7</f>
        <v>#DIV/0!</v>
      </c>
      <c r="AC7" s="1569" t="e">
        <f>D7/J7</f>
        <v>#DIV/0!</v>
      </c>
    </row>
    <row r="8" spans="1:29" s="1218"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2" t="s">
        <v>533</v>
      </c>
      <c r="Q8" s="3401"/>
      <c r="R8" s="1566" t="s">
        <v>8</v>
      </c>
      <c r="S8" s="1567">
        <f t="shared" si="0"/>
        <v>0</v>
      </c>
      <c r="T8" s="1566" t="s">
        <v>8</v>
      </c>
      <c r="U8" s="1567">
        <f t="shared" si="1"/>
        <v>0</v>
      </c>
      <c r="V8" s="1566" t="s">
        <v>8</v>
      </c>
      <c r="W8" s="1567">
        <f t="shared" si="2"/>
        <v>0</v>
      </c>
      <c r="X8" s="1568"/>
      <c r="Y8" s="3400" t="s">
        <v>533</v>
      </c>
      <c r="Z8" s="3401"/>
      <c r="AA8" s="1569" t="e">
        <f t="shared" ref="AA8:AA47" si="3">D8/F8</f>
        <v>#DIV/0!</v>
      </c>
      <c r="AB8" s="1569" t="e">
        <f t="shared" ref="AB8:AB47" si="4">D8/H8</f>
        <v>#DIV/0!</v>
      </c>
      <c r="AC8" s="1569" t="e">
        <f t="shared" ref="AC8:AC47" si="5">D8/J8</f>
        <v>#DIV/0!</v>
      </c>
    </row>
    <row r="9" spans="1:29" s="1218" customFormat="1" ht="15">
      <c r="A9" s="2890"/>
      <c r="B9" s="2897"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69" t="s">
        <v>535</v>
      </c>
      <c r="Q9" s="1149" t="str">
        <f t="shared" ref="Q9:Q15" si="6">B9</f>
        <v>用途</v>
      </c>
      <c r="R9" s="1566" t="s">
        <v>8</v>
      </c>
      <c r="S9" s="1567">
        <f t="shared" si="0"/>
        <v>100</v>
      </c>
      <c r="T9" s="1566" t="s">
        <v>8</v>
      </c>
      <c r="U9" s="1567">
        <f t="shared" si="1"/>
        <v>100</v>
      </c>
      <c r="V9" s="1566" t="s">
        <v>8</v>
      </c>
      <c r="W9" s="1567">
        <f t="shared" si="2"/>
        <v>100</v>
      </c>
      <c r="X9" s="1568"/>
      <c r="Y9" s="3315"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69"/>
      <c r="Q10" s="1149" t="str">
        <f t="shared" si="6"/>
        <v>土地使用年限（年）</v>
      </c>
      <c r="R10" s="1566" t="s">
        <v>8</v>
      </c>
      <c r="S10" s="1567">
        <f t="shared" si="0"/>
        <v>100</v>
      </c>
      <c r="T10" s="1566" t="s">
        <v>8</v>
      </c>
      <c r="U10" s="1567">
        <f t="shared" si="1"/>
        <v>100</v>
      </c>
      <c r="V10" s="1566" t="s">
        <v>8</v>
      </c>
      <c r="W10" s="1567">
        <f t="shared" si="2"/>
        <v>100</v>
      </c>
      <c r="X10" s="1568"/>
      <c r="Y10" s="3315"/>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69"/>
      <c r="Q11" s="1149" t="str">
        <f t="shared" si="6"/>
        <v>容积率</v>
      </c>
      <c r="R11" s="1566" t="s">
        <v>8</v>
      </c>
      <c r="S11" s="1567" t="e">
        <f t="shared" si="0"/>
        <v>#N/A</v>
      </c>
      <c r="T11" s="1566" t="s">
        <v>8</v>
      </c>
      <c r="U11" s="1567" t="e">
        <f t="shared" si="1"/>
        <v>#N/A</v>
      </c>
      <c r="V11" s="1566" t="s">
        <v>8</v>
      </c>
      <c r="W11" s="1567" t="e">
        <f t="shared" si="2"/>
        <v>#N/A</v>
      </c>
      <c r="X11" s="1568"/>
      <c r="Y11" s="3315"/>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369"/>
      <c r="Q12" s="1149">
        <f t="shared" si="6"/>
        <v>111</v>
      </c>
      <c r="R12" s="1566" t="s">
        <v>8</v>
      </c>
      <c r="S12" s="1567">
        <f t="shared" si="0"/>
        <v>100</v>
      </c>
      <c r="T12" s="1566" t="s">
        <v>8</v>
      </c>
      <c r="U12" s="1567">
        <f t="shared" si="1"/>
        <v>100</v>
      </c>
      <c r="V12" s="1566" t="s">
        <v>8</v>
      </c>
      <c r="W12" s="1567">
        <f t="shared" si="2"/>
        <v>100</v>
      </c>
      <c r="X12" s="1568"/>
      <c r="Y12" s="3315"/>
      <c r="Z12" s="1148">
        <f t="shared" si="7"/>
        <v>111</v>
      </c>
      <c r="AA12" s="1569">
        <f>D12/F12</f>
        <v>1</v>
      </c>
      <c r="AB12" s="1569">
        <f>D12/H12</f>
        <v>1</v>
      </c>
      <c r="AC12" s="1569">
        <f>D12/J12</f>
        <v>1</v>
      </c>
    </row>
    <row r="13" spans="1:29" ht="15">
      <c r="A13" s="2893"/>
      <c r="B13" s="2899">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369"/>
      <c r="Q13" s="1149">
        <f t="shared" si="6"/>
        <v>111</v>
      </c>
      <c r="R13" s="1566" t="s">
        <v>8</v>
      </c>
      <c r="S13" s="1567">
        <f t="shared" si="0"/>
        <v>100</v>
      </c>
      <c r="T13" s="1566" t="s">
        <v>8</v>
      </c>
      <c r="U13" s="1567">
        <f t="shared" si="1"/>
        <v>100</v>
      </c>
      <c r="V13" s="1566" t="s">
        <v>8</v>
      </c>
      <c r="W13" s="1567">
        <f t="shared" si="2"/>
        <v>100</v>
      </c>
      <c r="X13" s="1568"/>
      <c r="Y13" s="3315"/>
      <c r="Z13" s="1148">
        <f t="shared" si="7"/>
        <v>111</v>
      </c>
      <c r="AA13" s="1569">
        <f t="shared" si="3"/>
        <v>1</v>
      </c>
      <c r="AB13" s="1569">
        <f t="shared" si="4"/>
        <v>1</v>
      </c>
      <c r="AC13" s="1569">
        <f t="shared" si="5"/>
        <v>1</v>
      </c>
    </row>
    <row r="14" spans="1:29" ht="15.75" thickBot="1">
      <c r="A14" s="2894"/>
      <c r="B14" s="2900">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369"/>
      <c r="Q14" s="1149">
        <f t="shared" si="6"/>
        <v>111</v>
      </c>
      <c r="R14" s="1566" t="s">
        <v>8</v>
      </c>
      <c r="S14" s="1567">
        <f t="shared" si="0"/>
        <v>100</v>
      </c>
      <c r="T14" s="1566" t="s">
        <v>8</v>
      </c>
      <c r="U14" s="1567">
        <f t="shared" si="1"/>
        <v>100</v>
      </c>
      <c r="V14" s="1566" t="s">
        <v>8</v>
      </c>
      <c r="W14" s="1567">
        <f t="shared" si="2"/>
        <v>100</v>
      </c>
      <c r="X14" s="1568"/>
      <c r="Y14" s="3315"/>
      <c r="Z14" s="1148">
        <f t="shared" si="7"/>
        <v>111</v>
      </c>
      <c r="AA14" s="1569">
        <f t="shared" si="3"/>
        <v>1</v>
      </c>
      <c r="AB14" s="1569">
        <f t="shared" si="4"/>
        <v>1</v>
      </c>
      <c r="AC14" s="1569">
        <f t="shared" si="5"/>
        <v>1</v>
      </c>
    </row>
    <row r="15" spans="1:29" ht="71.25">
      <c r="A15" s="2886"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403" t="s">
        <v>540</v>
      </c>
      <c r="Q15" s="1570" t="str">
        <f t="shared" si="6"/>
        <v>办公集聚程度</v>
      </c>
      <c r="R15" s="1571" t="s">
        <v>8</v>
      </c>
      <c r="S15" s="1572">
        <f t="shared" si="0"/>
        <v>100</v>
      </c>
      <c r="T15" s="1571" t="s">
        <v>8</v>
      </c>
      <c r="U15" s="1572">
        <f t="shared" si="1"/>
        <v>100</v>
      </c>
      <c r="V15" s="1571" t="s">
        <v>8</v>
      </c>
      <c r="W15" s="1572">
        <f t="shared" si="2"/>
        <v>100</v>
      </c>
      <c r="X15" s="1565"/>
      <c r="Y15" s="3403"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0"/>
      <c r="M16" s="2132"/>
      <c r="N16" s="2132"/>
      <c r="O16" s="2132"/>
      <c r="P16" s="3404"/>
      <c r="Q16" s="1570"/>
      <c r="R16" s="1571"/>
      <c r="S16" s="1572"/>
      <c r="T16" s="1571"/>
      <c r="U16" s="1572"/>
      <c r="V16" s="1571"/>
      <c r="W16" s="1572"/>
      <c r="X16" s="1565"/>
      <c r="Y16" s="3404"/>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0"/>
      <c r="M18" s="2132"/>
      <c r="N18" s="2132"/>
      <c r="O18" s="2132"/>
      <c r="P18" s="3404"/>
      <c r="Q18" s="1570"/>
      <c r="R18" s="1571"/>
      <c r="S18" s="1572"/>
      <c r="T18" s="1571"/>
      <c r="U18" s="1572"/>
      <c r="V18" s="1571"/>
      <c r="W18" s="1572"/>
      <c r="X18" s="1565"/>
      <c r="Y18" s="3404"/>
      <c r="Z18" s="1573"/>
      <c r="AA18" s="1574">
        <v>1</v>
      </c>
      <c r="AB18" s="1574">
        <v>1</v>
      </c>
      <c r="AC18" s="1574">
        <v>1</v>
      </c>
    </row>
    <row r="19" spans="1:29" ht="42.75">
      <c r="A19" s="531"/>
      <c r="B19" s="2580"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0"/>
      <c r="M20" s="2132"/>
      <c r="N20" s="2132"/>
      <c r="O20" s="2132"/>
      <c r="P20" s="3404"/>
      <c r="Q20" s="1570"/>
      <c r="R20" s="1571"/>
      <c r="S20" s="1572"/>
      <c r="T20" s="1571"/>
      <c r="U20" s="1572"/>
      <c r="V20" s="1571"/>
      <c r="W20" s="1572"/>
      <c r="X20" s="1565"/>
      <c r="Y20" s="3404"/>
      <c r="Z20" s="1573"/>
      <c r="AA20" s="1574">
        <v>1</v>
      </c>
      <c r="AB20" s="1574">
        <v>1</v>
      </c>
      <c r="AC20" s="1574">
        <v>1</v>
      </c>
    </row>
    <row r="21" spans="1:29" ht="28.5">
      <c r="A21" s="531"/>
      <c r="B21" s="2568"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404"/>
      <c r="Q21" s="2556" t="str">
        <f>B21</f>
        <v>基础设施水平</v>
      </c>
      <c r="R21" s="1571" t="s">
        <v>8</v>
      </c>
      <c r="S21" s="1572">
        <f>F21</f>
        <v>100</v>
      </c>
      <c r="T21" s="1571" t="s">
        <v>8</v>
      </c>
      <c r="U21" s="1572">
        <f>H21</f>
        <v>100</v>
      </c>
      <c r="V21" s="1571" t="s">
        <v>8</v>
      </c>
      <c r="W21" s="1572">
        <f>J21</f>
        <v>100</v>
      </c>
      <c r="X21" s="2558"/>
      <c r="Y21" s="3404"/>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404"/>
      <c r="Q22" s="2556"/>
      <c r="R22" s="1571"/>
      <c r="S22" s="1572"/>
      <c r="T22" s="1571"/>
      <c r="U22" s="1572"/>
      <c r="V22" s="1571"/>
      <c r="W22" s="1572"/>
      <c r="X22" s="2558"/>
      <c r="Y22" s="3404"/>
      <c r="Z22" s="2557"/>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0"/>
      <c r="M24" s="2132"/>
      <c r="N24" s="2132"/>
      <c r="O24" s="2132"/>
      <c r="P24" s="3404"/>
      <c r="Q24" s="1570"/>
      <c r="R24" s="1571"/>
      <c r="S24" s="1572"/>
      <c r="T24" s="1571"/>
      <c r="U24" s="1572"/>
      <c r="V24" s="1571"/>
      <c r="W24" s="1572"/>
      <c r="X24" s="1565"/>
      <c r="Y24" s="3404"/>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404"/>
      <c r="Q25" s="1570" t="str">
        <f>B25</f>
        <v>毗邻道路的类型与等级</v>
      </c>
      <c r="R25" s="1571" t="s">
        <v>8</v>
      </c>
      <c r="S25" s="1572">
        <f>F25</f>
        <v>100</v>
      </c>
      <c r="T25" s="1571" t="s">
        <v>8</v>
      </c>
      <c r="U25" s="1572">
        <f>H25</f>
        <v>100</v>
      </c>
      <c r="V25" s="1571" t="s">
        <v>8</v>
      </c>
      <c r="W25" s="1572">
        <f>J25</f>
        <v>100</v>
      </c>
      <c r="X25" s="1565"/>
      <c r="Y25" s="3404"/>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0"/>
      <c r="M26" s="2132"/>
      <c r="N26" s="2132"/>
      <c r="O26" s="2132"/>
      <c r="P26" s="3404"/>
      <c r="Q26" s="1570"/>
      <c r="R26" s="1571"/>
      <c r="S26" s="1572"/>
      <c r="T26" s="1571"/>
      <c r="U26" s="1572"/>
      <c r="V26" s="1571"/>
      <c r="W26" s="1572"/>
      <c r="X26" s="1565"/>
      <c r="Y26" s="3404"/>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4"/>
      <c r="Q27" s="1570" t="str">
        <f t="shared" ref="Q27:Q47" si="11">B27</f>
        <v>楼层</v>
      </c>
      <c r="R27" s="1571" t="s">
        <v>8</v>
      </c>
      <c r="S27" s="1572">
        <f>F27</f>
        <v>100</v>
      </c>
      <c r="T27" s="1571" t="s">
        <v>8</v>
      </c>
      <c r="U27" s="1572">
        <f>H27</f>
        <v>100</v>
      </c>
      <c r="V27" s="1571" t="s">
        <v>8</v>
      </c>
      <c r="W27" s="1572">
        <f>J27</f>
        <v>100</v>
      </c>
      <c r="X27" s="1565"/>
      <c r="Y27" s="3404"/>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04"/>
      <c r="Q28" s="1149" t="str">
        <f t="shared" si="11"/>
        <v>朝向</v>
      </c>
      <c r="R28" s="1566" t="s">
        <v>8</v>
      </c>
      <c r="S28" s="1567">
        <f>F28</f>
        <v>100</v>
      </c>
      <c r="T28" s="1566" t="s">
        <v>8</v>
      </c>
      <c r="U28" s="1567">
        <f>H28</f>
        <v>100</v>
      </c>
      <c r="V28" s="1566" t="s">
        <v>8</v>
      </c>
      <c r="W28" s="1567">
        <f>J28</f>
        <v>100</v>
      </c>
      <c r="X28" s="1568"/>
      <c r="Y28" s="3404"/>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04"/>
      <c r="Q29" s="1570">
        <f t="shared" si="11"/>
        <v>111</v>
      </c>
      <c r="R29" s="1571" t="s">
        <v>8</v>
      </c>
      <c r="S29" s="1572">
        <f t="shared" ref="S29:S47" si="12">F29</f>
        <v>100</v>
      </c>
      <c r="T29" s="1571" t="s">
        <v>8</v>
      </c>
      <c r="U29" s="1572">
        <f t="shared" ref="U29:U47" si="13">H29</f>
        <v>100</v>
      </c>
      <c r="V29" s="1571" t="s">
        <v>8</v>
      </c>
      <c r="W29" s="1572">
        <f t="shared" ref="W29:W47" si="14">J29</f>
        <v>100</v>
      </c>
      <c r="X29" s="1565"/>
      <c r="Y29" s="3404"/>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04"/>
      <c r="Q32" s="1570">
        <f t="shared" si="11"/>
        <v>111</v>
      </c>
      <c r="R32" s="1571" t="s">
        <v>8</v>
      </c>
      <c r="S32" s="1572">
        <f t="shared" si="12"/>
        <v>100</v>
      </c>
      <c r="T32" s="1571" t="s">
        <v>8</v>
      </c>
      <c r="U32" s="1572">
        <f t="shared" si="13"/>
        <v>100</v>
      </c>
      <c r="V32" s="1571" t="s">
        <v>8</v>
      </c>
      <c r="W32" s="1572">
        <f t="shared" si="14"/>
        <v>100</v>
      </c>
      <c r="X32" s="1565"/>
      <c r="Y32" s="3404"/>
      <c r="Z32" s="1573">
        <f t="shared" si="15"/>
        <v>111</v>
      </c>
      <c r="AA32" s="1574">
        <f t="shared" si="3"/>
        <v>1</v>
      </c>
      <c r="AB32" s="1574">
        <f t="shared" si="4"/>
        <v>1</v>
      </c>
      <c r="AC32" s="1574">
        <f t="shared" si="5"/>
        <v>1</v>
      </c>
    </row>
    <row r="33" spans="1:29" ht="15">
      <c r="A33" s="288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405" t="s">
        <v>550</v>
      </c>
      <c r="Q33" s="1570" t="str">
        <f t="shared" si="11"/>
        <v>建筑类型</v>
      </c>
      <c r="R33" s="1571" t="s">
        <v>8</v>
      </c>
      <c r="S33" s="1572">
        <f t="shared" si="12"/>
        <v>100</v>
      </c>
      <c r="T33" s="1571" t="s">
        <v>8</v>
      </c>
      <c r="U33" s="1572">
        <f t="shared" si="13"/>
        <v>100</v>
      </c>
      <c r="V33" s="1571" t="s">
        <v>8</v>
      </c>
      <c r="W33" s="1572">
        <f t="shared" si="14"/>
        <v>100</v>
      </c>
      <c r="X33" s="1565"/>
      <c r="Y33" s="3406"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6"/>
      <c r="Q34" s="1603" t="str">
        <f t="shared" si="11"/>
        <v>项目建筑规模</v>
      </c>
      <c r="R34" s="1575" t="s">
        <v>8</v>
      </c>
      <c r="S34" s="1576" t="e">
        <f t="shared" si="12"/>
        <v>#N/A</v>
      </c>
      <c r="T34" s="1575" t="s">
        <v>8</v>
      </c>
      <c r="U34" s="1576" t="e">
        <f t="shared" si="13"/>
        <v>#N/A</v>
      </c>
      <c r="V34" s="1575" t="s">
        <v>8</v>
      </c>
      <c r="W34" s="1576" t="e">
        <f t="shared" si="14"/>
        <v>#N/A</v>
      </c>
      <c r="X34" s="1577"/>
      <c r="Y34" s="3406"/>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6"/>
      <c r="Q35" s="1570" t="str">
        <f t="shared" si="11"/>
        <v>建筑结构</v>
      </c>
      <c r="R35" s="1571" t="s">
        <v>8</v>
      </c>
      <c r="S35" s="1572">
        <f t="shared" si="12"/>
        <v>100</v>
      </c>
      <c r="T35" s="1571" t="s">
        <v>8</v>
      </c>
      <c r="U35" s="1572">
        <f t="shared" si="13"/>
        <v>100</v>
      </c>
      <c r="V35" s="1571" t="s">
        <v>8</v>
      </c>
      <c r="W35" s="1572">
        <f t="shared" si="14"/>
        <v>100</v>
      </c>
      <c r="X35" s="1565"/>
      <c r="Y35" s="3406"/>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6"/>
      <c r="Q36" s="1570" t="str">
        <f t="shared" si="11"/>
        <v>公共部分装修</v>
      </c>
      <c r="R36" s="1571" t="s">
        <v>8</v>
      </c>
      <c r="S36" s="1572">
        <f t="shared" si="12"/>
        <v>100</v>
      </c>
      <c r="T36" s="1571" t="s">
        <v>8</v>
      </c>
      <c r="U36" s="1572">
        <f t="shared" si="13"/>
        <v>100</v>
      </c>
      <c r="V36" s="1571" t="s">
        <v>8</v>
      </c>
      <c r="W36" s="1572">
        <f t="shared" si="14"/>
        <v>100</v>
      </c>
      <c r="X36" s="1565"/>
      <c r="Y36" s="3406"/>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406"/>
      <c r="Q37" s="1570" t="str">
        <f t="shared" si="11"/>
        <v>成新度</v>
      </c>
      <c r="R37" s="1571" t="s">
        <v>8</v>
      </c>
      <c r="S37" s="1572" t="e">
        <f t="shared" si="12"/>
        <v>#N/A</v>
      </c>
      <c r="T37" s="1571" t="s">
        <v>8</v>
      </c>
      <c r="U37" s="1572" t="e">
        <f t="shared" si="13"/>
        <v>#N/A</v>
      </c>
      <c r="V37" s="1571" t="s">
        <v>8</v>
      </c>
      <c r="W37" s="1572" t="e">
        <f t="shared" si="14"/>
        <v>#N/A</v>
      </c>
      <c r="X37" s="1565"/>
      <c r="Y37" s="3406"/>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6"/>
      <c r="Q38" s="1149" t="str">
        <f t="shared" si="11"/>
        <v>写字楼等级</v>
      </c>
      <c r="R38" s="1566" t="s">
        <v>8</v>
      </c>
      <c r="S38" s="1567">
        <f t="shared" si="12"/>
        <v>100</v>
      </c>
      <c r="T38" s="1566" t="s">
        <v>8</v>
      </c>
      <c r="U38" s="1567">
        <f t="shared" si="13"/>
        <v>100</v>
      </c>
      <c r="V38" s="1566" t="s">
        <v>8</v>
      </c>
      <c r="W38" s="1567">
        <f t="shared" si="14"/>
        <v>100</v>
      </c>
      <c r="X38" s="1568"/>
      <c r="Y38" s="3406"/>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6" t="s">
        <v>550</v>
      </c>
      <c r="Q39" s="1570" t="str">
        <f t="shared" si="11"/>
        <v>物业管理</v>
      </c>
      <c r="R39" s="1571" t="s">
        <v>8</v>
      </c>
      <c r="S39" s="1572">
        <f t="shared" si="12"/>
        <v>100</v>
      </c>
      <c r="T39" s="1571" t="s">
        <v>8</v>
      </c>
      <c r="U39" s="1572">
        <f t="shared" si="13"/>
        <v>100</v>
      </c>
      <c r="V39" s="1571" t="s">
        <v>8</v>
      </c>
      <c r="W39" s="1572">
        <f t="shared" si="14"/>
        <v>100</v>
      </c>
      <c r="X39" s="1565"/>
      <c r="Y39" s="3406" t="s">
        <v>550</v>
      </c>
      <c r="Z39" s="1573" t="str">
        <f t="shared" si="15"/>
        <v>物业管理</v>
      </c>
      <c r="AA39" s="1574">
        <f t="shared" si="3"/>
        <v>1</v>
      </c>
      <c r="AB39" s="1574">
        <f t="shared" si="4"/>
        <v>1</v>
      </c>
      <c r="AC39" s="1574">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6"/>
      <c r="Q40" s="1570" t="str">
        <f t="shared" si="11"/>
        <v>市政基础设施</v>
      </c>
      <c r="R40" s="1571" t="s">
        <v>8</v>
      </c>
      <c r="S40" s="1572">
        <f t="shared" si="12"/>
        <v>100</v>
      </c>
      <c r="T40" s="1571" t="s">
        <v>8</v>
      </c>
      <c r="U40" s="1572">
        <f t="shared" si="13"/>
        <v>100</v>
      </c>
      <c r="V40" s="1571" t="s">
        <v>8</v>
      </c>
      <c r="W40" s="1572">
        <f t="shared" si="14"/>
        <v>100</v>
      </c>
      <c r="X40" s="1565"/>
      <c r="Y40" s="3406"/>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6"/>
      <c r="Q41" s="1570" t="str">
        <f t="shared" si="11"/>
        <v>层高</v>
      </c>
      <c r="R41" s="1571" t="s">
        <v>8</v>
      </c>
      <c r="S41" s="1572">
        <f t="shared" si="12"/>
        <v>100</v>
      </c>
      <c r="T41" s="1571" t="s">
        <v>8</v>
      </c>
      <c r="U41" s="1572">
        <f t="shared" si="13"/>
        <v>100</v>
      </c>
      <c r="V41" s="1571" t="s">
        <v>8</v>
      </c>
      <c r="W41" s="1572">
        <f t="shared" si="14"/>
        <v>100</v>
      </c>
      <c r="X41" s="1565"/>
      <c r="Y41" s="3406"/>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6"/>
      <c r="Q42" s="1603" t="str">
        <f t="shared" si="11"/>
        <v>单套建筑面积</v>
      </c>
      <c r="R42" s="1575" t="s">
        <v>8</v>
      </c>
      <c r="S42" s="1576">
        <f t="shared" si="12"/>
        <v>100</v>
      </c>
      <c r="T42" s="1575" t="s">
        <v>8</v>
      </c>
      <c r="U42" s="1576">
        <f t="shared" si="13"/>
        <v>100</v>
      </c>
      <c r="V42" s="1575" t="s">
        <v>8</v>
      </c>
      <c r="W42" s="1576">
        <f t="shared" si="14"/>
        <v>100</v>
      </c>
      <c r="X42" s="1577"/>
      <c r="Y42" s="3406"/>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6"/>
      <c r="Q43" s="1570" t="str">
        <f t="shared" si="11"/>
        <v>内部装修</v>
      </c>
      <c r="R43" s="1571" t="s">
        <v>8</v>
      </c>
      <c r="S43" s="1572">
        <f t="shared" si="12"/>
        <v>100</v>
      </c>
      <c r="T43" s="1571" t="s">
        <v>8</v>
      </c>
      <c r="U43" s="1572">
        <f t="shared" si="13"/>
        <v>100</v>
      </c>
      <c r="V43" s="1571" t="s">
        <v>8</v>
      </c>
      <c r="W43" s="1572">
        <f t="shared" si="14"/>
        <v>100</v>
      </c>
      <c r="X43" s="1565"/>
      <c r="Y43" s="3406"/>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6"/>
      <c r="Q44" s="1570" t="str">
        <f t="shared" si="11"/>
        <v>内部装修维护情况</v>
      </c>
      <c r="R44" s="1571" t="s">
        <v>8</v>
      </c>
      <c r="S44" s="1572">
        <f t="shared" si="12"/>
        <v>100</v>
      </c>
      <c r="T44" s="1571" t="s">
        <v>8</v>
      </c>
      <c r="U44" s="1572">
        <f t="shared" si="13"/>
        <v>100</v>
      </c>
      <c r="V44" s="1571" t="s">
        <v>8</v>
      </c>
      <c r="W44" s="1572">
        <f t="shared" si="14"/>
        <v>100</v>
      </c>
      <c r="X44" s="1565"/>
      <c r="Y44" s="3406"/>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6"/>
      <c r="Q45" s="1149">
        <f t="shared" si="11"/>
        <v>111</v>
      </c>
      <c r="R45" s="1566" t="s">
        <v>8</v>
      </c>
      <c r="S45" s="1567">
        <f t="shared" si="12"/>
        <v>100</v>
      </c>
      <c r="T45" s="1566" t="s">
        <v>8</v>
      </c>
      <c r="U45" s="1567">
        <f t="shared" si="13"/>
        <v>100</v>
      </c>
      <c r="V45" s="1566" t="s">
        <v>8</v>
      </c>
      <c r="W45" s="1567">
        <f t="shared" si="14"/>
        <v>100</v>
      </c>
      <c r="X45" s="1568"/>
      <c r="Y45" s="3406"/>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6"/>
      <c r="Q46" s="1570">
        <f t="shared" si="11"/>
        <v>111</v>
      </c>
      <c r="R46" s="1571" t="s">
        <v>8</v>
      </c>
      <c r="S46" s="1572">
        <f t="shared" si="12"/>
        <v>100</v>
      </c>
      <c r="T46" s="1571" t="s">
        <v>8</v>
      </c>
      <c r="U46" s="1572">
        <f t="shared" si="13"/>
        <v>100</v>
      </c>
      <c r="V46" s="1571" t="s">
        <v>8</v>
      </c>
      <c r="W46" s="1572">
        <f t="shared" si="14"/>
        <v>100</v>
      </c>
      <c r="X46" s="1565"/>
      <c r="Y46" s="3406"/>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61"/>
      <c r="Q47" s="1570">
        <f t="shared" si="11"/>
        <v>111</v>
      </c>
      <c r="R47" s="1571" t="s">
        <v>8</v>
      </c>
      <c r="S47" s="1572">
        <f t="shared" si="12"/>
        <v>100</v>
      </c>
      <c r="T47" s="1571" t="s">
        <v>8</v>
      </c>
      <c r="U47" s="1572">
        <f t="shared" si="13"/>
        <v>100</v>
      </c>
      <c r="V47" s="1571" t="s">
        <v>8</v>
      </c>
      <c r="W47" s="1572">
        <f t="shared" si="14"/>
        <v>100</v>
      </c>
      <c r="X47" s="1565"/>
      <c r="Y47" s="3461"/>
      <c r="Z47" s="1573">
        <f t="shared" si="15"/>
        <v>111</v>
      </c>
      <c r="AA47" s="1574">
        <f t="shared" si="3"/>
        <v>1</v>
      </c>
      <c r="AB47" s="1574">
        <f t="shared" si="4"/>
        <v>1</v>
      </c>
      <c r="AC47" s="1574">
        <f t="shared" si="5"/>
        <v>1</v>
      </c>
    </row>
    <row r="48" spans="1:29" ht="15">
      <c r="A48" s="606" t="s">
        <v>736</v>
      </c>
      <c r="B48" s="885"/>
      <c r="C48" s="2604" t="s">
        <v>1</v>
      </c>
      <c r="D48" s="2605"/>
      <c r="E48" s="2606"/>
      <c r="F48" s="2607"/>
      <c r="G48" s="2608"/>
      <c r="H48" s="2609"/>
      <c r="I48" s="2606"/>
      <c r="J48" s="2609"/>
      <c r="K48" s="1609"/>
      <c r="L48" s="2142"/>
      <c r="M48" s="2132"/>
      <c r="N48" s="2132"/>
      <c r="O48" s="2132"/>
      <c r="P48" s="3367" t="str">
        <f>A48</f>
        <v>成交单价（元/平方米）</v>
      </c>
      <c r="Q48" s="3369"/>
      <c r="R48" s="3460">
        <f>E48</f>
        <v>0</v>
      </c>
      <c r="S48" s="3460"/>
      <c r="T48" s="3460">
        <f>G48</f>
        <v>0</v>
      </c>
      <c r="U48" s="3460"/>
      <c r="V48" s="3460">
        <f>I48</f>
        <v>0</v>
      </c>
      <c r="W48" s="3460"/>
      <c r="X48" s="1557"/>
      <c r="Y48" s="1579"/>
      <c r="Z48" s="1557"/>
      <c r="AA48" s="1557"/>
      <c r="AB48" s="1557"/>
      <c r="AC48" s="1557"/>
    </row>
    <row r="49" spans="1:29" ht="15.75" thickBot="1">
      <c r="A49" s="614" t="s">
        <v>2760</v>
      </c>
      <c r="B49" s="886"/>
      <c r="C49" s="2610" t="e">
        <f>R50</f>
        <v>#DIV/0!</v>
      </c>
      <c r="D49" s="2611"/>
      <c r="E49" s="2612" t="e">
        <f>R49</f>
        <v>#DIV/0!</v>
      </c>
      <c r="F49" s="2612"/>
      <c r="G49" s="2610" t="e">
        <f>T49</f>
        <v>#DIV/0!</v>
      </c>
      <c r="H49" s="2611"/>
      <c r="I49" s="2612" t="e">
        <f>V49</f>
        <v>#DIV/0!</v>
      </c>
      <c r="J49" s="2611"/>
      <c r="K49" s="1610"/>
      <c r="L49" s="2142"/>
      <c r="M49" s="2132"/>
      <c r="N49" s="2132"/>
      <c r="O49" s="2132"/>
      <c r="P49" s="3367" t="str">
        <f>A49</f>
        <v>比较价格（元/平方米）</v>
      </c>
      <c r="Q49" s="336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7"/>
      <c r="Y49" s="1557"/>
      <c r="Z49" s="1557"/>
      <c r="AA49" s="1557"/>
      <c r="AB49" s="1557"/>
      <c r="AC49" s="1557"/>
    </row>
    <row r="50" spans="1:29" ht="15.75" thickBot="1">
      <c r="A50" s="620" t="s">
        <v>2936</v>
      </c>
      <c r="B50" s="621"/>
      <c r="C50" s="2613" t="e">
        <f>R50</f>
        <v>#DIV/0!</v>
      </c>
      <c r="D50" s="2613"/>
      <c r="E50" s="2613"/>
      <c r="F50" s="2613"/>
      <c r="G50" s="2613"/>
      <c r="H50" s="2613"/>
      <c r="I50" s="2613"/>
      <c r="J50" s="2613"/>
      <c r="K50" s="1611"/>
      <c r="L50" s="2142"/>
      <c r="M50" s="2132"/>
      <c r="N50" s="2132"/>
      <c r="O50" s="2132"/>
      <c r="P50" s="3489" t="str">
        <f>A50</f>
        <v>估价对象XX用房的比较价格（楼面单价，元/平方米）</v>
      </c>
      <c r="Q50" s="3367"/>
      <c r="R50" s="3459" t="e">
        <f>IF(F1="售价",ROUND(AVERAGE(R49:V49),0),ROUND(AVERAGE(R49:V49),1))</f>
        <v>#DIV/0!</v>
      </c>
      <c r="S50" s="3459"/>
      <c r="T50" s="3459"/>
      <c r="U50" s="3459"/>
      <c r="V50" s="3459"/>
      <c r="W50" s="3459"/>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4" t="s">
        <v>529</v>
      </c>
      <c r="B59" s="645"/>
      <c r="C59" s="2778" t="str">
        <f>YEAR(C7)&amp;"-"&amp;MONTH(C7)</f>
        <v>2019-1</v>
      </c>
      <c r="D59" s="2780">
        <f>EDATE(C59,-1)</f>
        <v>43435</v>
      </c>
      <c r="E59" s="2780">
        <f t="shared" ref="E59:O59" si="16">EDATE(D59,-1)</f>
        <v>43405</v>
      </c>
      <c r="F59" s="2780">
        <f t="shared" si="16"/>
        <v>43374</v>
      </c>
      <c r="G59" s="2780">
        <f t="shared" si="16"/>
        <v>43344</v>
      </c>
      <c r="H59" s="2780">
        <f t="shared" si="16"/>
        <v>43313</v>
      </c>
      <c r="I59" s="2780">
        <f t="shared" si="16"/>
        <v>43282</v>
      </c>
      <c r="J59" s="2780">
        <f t="shared" si="16"/>
        <v>43252</v>
      </c>
      <c r="K59" s="2780">
        <f t="shared" si="16"/>
        <v>43221</v>
      </c>
      <c r="L59" s="2780">
        <f t="shared" si="16"/>
        <v>43191</v>
      </c>
      <c r="M59" s="2780">
        <f t="shared" si="16"/>
        <v>43160</v>
      </c>
      <c r="N59" s="2780">
        <f t="shared" si="16"/>
        <v>43132</v>
      </c>
      <c r="O59" s="2780">
        <f t="shared" si="16"/>
        <v>43101</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2558</v>
      </c>
      <c r="C83" s="2575" t="s">
        <v>2559</v>
      </c>
      <c r="D83" s="2575" t="s">
        <v>2560</v>
      </c>
      <c r="E83" s="2575" t="s">
        <v>2561</v>
      </c>
      <c r="F83" s="2575" t="s">
        <v>2562</v>
      </c>
      <c r="G83" s="2575" t="s">
        <v>2563</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75" t="s">
        <v>522</v>
      </c>
      <c r="D4" s="3376"/>
      <c r="E4" s="3409" t="s">
        <v>523</v>
      </c>
      <c r="F4" s="3410"/>
      <c r="G4" s="3375" t="s">
        <v>524</v>
      </c>
      <c r="H4" s="3376"/>
      <c r="I4" s="3375" t="s">
        <v>525</v>
      </c>
      <c r="J4" s="3376"/>
      <c r="K4" s="513" t="s">
        <v>526</v>
      </c>
      <c r="L4" s="2131"/>
      <c r="M4" s="2132"/>
      <c r="N4" s="2132"/>
      <c r="O4" s="2132"/>
      <c r="P4" s="3377" t="s">
        <v>527</v>
      </c>
      <c r="Q4" s="3378"/>
      <c r="R4" s="3383" t="s">
        <v>523</v>
      </c>
      <c r="S4" s="3384"/>
      <c r="T4" s="3383" t="s">
        <v>524</v>
      </c>
      <c r="U4" s="3384"/>
      <c r="V4" s="3370" t="s">
        <v>525</v>
      </c>
      <c r="W4" s="3370"/>
      <c r="X4" s="1565"/>
      <c r="Y4" s="3383" t="s">
        <v>527</v>
      </c>
      <c r="Z4" s="3384"/>
      <c r="AA4" s="3372" t="s">
        <v>523</v>
      </c>
      <c r="AB4" s="3373" t="s">
        <v>524</v>
      </c>
      <c r="AC4" s="3372" t="s">
        <v>525</v>
      </c>
    </row>
    <row r="5" spans="1:29" ht="15">
      <c r="A5" s="514"/>
      <c r="B5" s="515"/>
      <c r="C5" s="3391" t="s">
        <v>2930</v>
      </c>
      <c r="D5" s="3392"/>
      <c r="E5" s="3411" t="s">
        <v>2931</v>
      </c>
      <c r="F5" s="3412"/>
      <c r="G5" s="3391" t="s">
        <v>2932</v>
      </c>
      <c r="H5" s="3392"/>
      <c r="I5" s="3391" t="s">
        <v>2933</v>
      </c>
      <c r="J5" s="3392"/>
      <c r="K5" s="513"/>
      <c r="L5" s="2131"/>
      <c r="M5" s="2132"/>
      <c r="N5" s="2132"/>
      <c r="O5" s="2132"/>
      <c r="P5" s="3379"/>
      <c r="Q5" s="3380"/>
      <c r="R5" s="3385"/>
      <c r="S5" s="3386"/>
      <c r="T5" s="3385"/>
      <c r="U5" s="3386"/>
      <c r="V5" s="3370"/>
      <c r="W5" s="3370"/>
      <c r="X5" s="1565"/>
      <c r="Y5" s="3385"/>
      <c r="Z5" s="3386"/>
      <c r="AA5" s="3373"/>
      <c r="AB5" s="3373"/>
      <c r="AC5" s="3373"/>
    </row>
    <row r="6" spans="1:29" ht="15.75" thickBot="1">
      <c r="A6" s="516"/>
      <c r="B6" s="517"/>
      <c r="C6" s="3389" t="s">
        <v>2934</v>
      </c>
      <c r="D6" s="3390"/>
      <c r="E6" s="3407" t="s">
        <v>2934</v>
      </c>
      <c r="F6" s="3408"/>
      <c r="G6" s="3389" t="s">
        <v>2934</v>
      </c>
      <c r="H6" s="3390"/>
      <c r="I6" s="3389" t="s">
        <v>2934</v>
      </c>
      <c r="J6" s="3390"/>
      <c r="K6" s="513" t="s">
        <v>528</v>
      </c>
      <c r="L6" s="2131"/>
      <c r="M6" s="2132"/>
      <c r="N6" s="2132"/>
      <c r="O6" s="2132"/>
      <c r="P6" s="3381"/>
      <c r="Q6" s="3382"/>
      <c r="R6" s="3385"/>
      <c r="S6" s="3386"/>
      <c r="T6" s="3387"/>
      <c r="U6" s="3388"/>
      <c r="V6" s="3370"/>
      <c r="W6" s="3370"/>
      <c r="X6" s="1565"/>
      <c r="Y6" s="3387"/>
      <c r="Z6" s="3388"/>
      <c r="AA6" s="3374"/>
      <c r="AB6" s="3374"/>
      <c r="AC6" s="3374"/>
    </row>
    <row r="7" spans="1:29" s="1218" customFormat="1" ht="15.75" thickBot="1">
      <c r="A7" s="2888"/>
      <c r="B7" s="2895" t="s">
        <v>529</v>
      </c>
      <c r="C7" s="518">
        <f>'数据-取费表'!B2</f>
        <v>43475</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00" t="s">
        <v>530</v>
      </c>
      <c r="Q7" s="3402"/>
      <c r="R7" s="1566" t="s">
        <v>8</v>
      </c>
      <c r="S7" s="1567">
        <f t="shared" ref="S7:S15" si="0">F7</f>
        <v>0</v>
      </c>
      <c r="T7" s="1566" t="s">
        <v>8</v>
      </c>
      <c r="U7" s="1567">
        <f t="shared" ref="U7:U15" si="1">H7</f>
        <v>0</v>
      </c>
      <c r="V7" s="1566" t="s">
        <v>8</v>
      </c>
      <c r="W7" s="1567">
        <f t="shared" ref="W7:W15" si="2">J7</f>
        <v>0</v>
      </c>
      <c r="X7" s="1568"/>
      <c r="Y7" s="3400" t="s">
        <v>530</v>
      </c>
      <c r="Z7" s="3401"/>
      <c r="AA7" s="1569" t="e">
        <f>D7/F7</f>
        <v>#DIV/0!</v>
      </c>
      <c r="AB7" s="1569" t="e">
        <f>D7/H7</f>
        <v>#DIV/0!</v>
      </c>
      <c r="AC7" s="1569" t="e">
        <f>D7/J7</f>
        <v>#DIV/0!</v>
      </c>
    </row>
    <row r="8" spans="1:29" s="1218"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00" t="s">
        <v>533</v>
      </c>
      <c r="Q8" s="3401"/>
      <c r="R8" s="1566" t="s">
        <v>8</v>
      </c>
      <c r="S8" s="1567">
        <f t="shared" si="0"/>
        <v>0</v>
      </c>
      <c r="T8" s="1566" t="s">
        <v>8</v>
      </c>
      <c r="U8" s="1567">
        <f t="shared" si="1"/>
        <v>0</v>
      </c>
      <c r="V8" s="1566" t="s">
        <v>8</v>
      </c>
      <c r="W8" s="1567">
        <f t="shared" si="2"/>
        <v>0</v>
      </c>
      <c r="X8" s="1568"/>
      <c r="Y8" s="3400" t="s">
        <v>533</v>
      </c>
      <c r="Z8" s="3401"/>
      <c r="AA8" s="1569" t="e">
        <f t="shared" ref="AA8:AA40" si="3">D8/F8</f>
        <v>#DIV/0!</v>
      </c>
      <c r="AB8" s="1569" t="e">
        <f t="shared" ref="AB8:AB40" si="4">D8/H8</f>
        <v>#DIV/0!</v>
      </c>
      <c r="AC8" s="1569" t="e">
        <f t="shared" ref="AC8:AC40" si="5">D8/J8</f>
        <v>#DIV/0!</v>
      </c>
    </row>
    <row r="9" spans="1:29" s="1218" customFormat="1" ht="15">
      <c r="A9" s="2890"/>
      <c r="B9" s="2897"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69" t="s">
        <v>535</v>
      </c>
      <c r="Q9" s="1149" t="str">
        <f t="shared" ref="Q9:Q15" si="6">B9</f>
        <v>用途</v>
      </c>
      <c r="R9" s="1566" t="s">
        <v>8</v>
      </c>
      <c r="S9" s="1567">
        <f t="shared" si="0"/>
        <v>100</v>
      </c>
      <c r="T9" s="1566" t="s">
        <v>8</v>
      </c>
      <c r="U9" s="1567">
        <f t="shared" si="1"/>
        <v>100</v>
      </c>
      <c r="V9" s="1566" t="s">
        <v>8</v>
      </c>
      <c r="W9" s="1567">
        <f t="shared" si="2"/>
        <v>100</v>
      </c>
      <c r="X9" s="1568"/>
      <c r="Y9" s="3315"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69"/>
      <c r="Q10" s="1149" t="str">
        <f t="shared" si="6"/>
        <v>土地使用年限（年）</v>
      </c>
      <c r="R10" s="1566" t="s">
        <v>8</v>
      </c>
      <c r="S10" s="1567">
        <f t="shared" si="0"/>
        <v>100</v>
      </c>
      <c r="T10" s="1566" t="s">
        <v>8</v>
      </c>
      <c r="U10" s="1567">
        <f t="shared" si="1"/>
        <v>100</v>
      </c>
      <c r="V10" s="1566" t="s">
        <v>8</v>
      </c>
      <c r="W10" s="1567">
        <f t="shared" si="2"/>
        <v>100</v>
      </c>
      <c r="X10" s="1568"/>
      <c r="Y10" s="3315"/>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69"/>
      <c r="Q11" s="1149" t="str">
        <f t="shared" si="6"/>
        <v>容积率</v>
      </c>
      <c r="R11" s="1566" t="s">
        <v>8</v>
      </c>
      <c r="S11" s="1567" t="e">
        <f t="shared" si="0"/>
        <v>#N/A</v>
      </c>
      <c r="T11" s="1566" t="s">
        <v>8</v>
      </c>
      <c r="U11" s="1567" t="e">
        <f t="shared" si="1"/>
        <v>#N/A</v>
      </c>
      <c r="V11" s="1566" t="s">
        <v>8</v>
      </c>
      <c r="W11" s="1567" t="e">
        <f t="shared" si="2"/>
        <v>#N/A</v>
      </c>
      <c r="X11" s="1568"/>
      <c r="Y11" s="3315"/>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369"/>
      <c r="Q12" s="1149">
        <f t="shared" si="6"/>
        <v>111</v>
      </c>
      <c r="R12" s="1566" t="s">
        <v>8</v>
      </c>
      <c r="S12" s="1567">
        <f t="shared" si="0"/>
        <v>100</v>
      </c>
      <c r="T12" s="1566" t="s">
        <v>8</v>
      </c>
      <c r="U12" s="1567">
        <f t="shared" si="1"/>
        <v>100</v>
      </c>
      <c r="V12" s="1566" t="s">
        <v>8</v>
      </c>
      <c r="W12" s="1567">
        <f t="shared" si="2"/>
        <v>100</v>
      </c>
      <c r="X12" s="1568"/>
      <c r="Y12" s="3315"/>
      <c r="Z12" s="1148">
        <f t="shared" si="7"/>
        <v>111</v>
      </c>
      <c r="AA12" s="1569">
        <f>D12/F12</f>
        <v>1</v>
      </c>
      <c r="AB12" s="1569">
        <f>D12/H12</f>
        <v>1</v>
      </c>
      <c r="AC12" s="1569">
        <f>D12/J12</f>
        <v>1</v>
      </c>
    </row>
    <row r="13" spans="1:29" ht="15">
      <c r="A13" s="2893"/>
      <c r="B13" s="2899">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369"/>
      <c r="Q13" s="1149">
        <f t="shared" si="6"/>
        <v>111</v>
      </c>
      <c r="R13" s="1566" t="s">
        <v>8</v>
      </c>
      <c r="S13" s="1567">
        <f t="shared" si="0"/>
        <v>100</v>
      </c>
      <c r="T13" s="1566" t="s">
        <v>8</v>
      </c>
      <c r="U13" s="1567">
        <f t="shared" si="1"/>
        <v>100</v>
      </c>
      <c r="V13" s="1566" t="s">
        <v>8</v>
      </c>
      <c r="W13" s="1567">
        <f t="shared" si="2"/>
        <v>100</v>
      </c>
      <c r="X13" s="1568"/>
      <c r="Y13" s="3315"/>
      <c r="Z13" s="1148">
        <f t="shared" si="7"/>
        <v>111</v>
      </c>
      <c r="AA13" s="1569">
        <f t="shared" si="3"/>
        <v>1</v>
      </c>
      <c r="AB13" s="1569">
        <f t="shared" si="4"/>
        <v>1</v>
      </c>
      <c r="AC13" s="1569">
        <f t="shared" si="5"/>
        <v>1</v>
      </c>
    </row>
    <row r="14" spans="1:29" ht="15.75" thickBot="1">
      <c r="A14" s="2894"/>
      <c r="B14" s="2900">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369"/>
      <c r="Q14" s="1149">
        <f t="shared" si="6"/>
        <v>111</v>
      </c>
      <c r="R14" s="1566" t="s">
        <v>8</v>
      </c>
      <c r="S14" s="1567">
        <f t="shared" si="0"/>
        <v>100</v>
      </c>
      <c r="T14" s="1566" t="s">
        <v>8</v>
      </c>
      <c r="U14" s="1567">
        <f t="shared" si="1"/>
        <v>100</v>
      </c>
      <c r="V14" s="1566" t="s">
        <v>8</v>
      </c>
      <c r="W14" s="1567">
        <f t="shared" si="2"/>
        <v>100</v>
      </c>
      <c r="X14" s="1568"/>
      <c r="Y14" s="3315"/>
      <c r="Z14" s="1148">
        <f t="shared" si="7"/>
        <v>111</v>
      </c>
      <c r="AA14" s="1569">
        <f t="shared" si="3"/>
        <v>1</v>
      </c>
      <c r="AB14" s="1569">
        <f t="shared" si="4"/>
        <v>1</v>
      </c>
      <c r="AC14" s="1569">
        <f t="shared" si="5"/>
        <v>1</v>
      </c>
    </row>
    <row r="15" spans="1:29" ht="57">
      <c r="A15" s="2886"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03" t="s">
        <v>540</v>
      </c>
      <c r="Q15" s="1570" t="str">
        <f t="shared" si="6"/>
        <v>产业集聚程度</v>
      </c>
      <c r="R15" s="1571" t="s">
        <v>8</v>
      </c>
      <c r="S15" s="1572">
        <f t="shared" si="0"/>
        <v>100</v>
      </c>
      <c r="T15" s="1571" t="s">
        <v>8</v>
      </c>
      <c r="U15" s="1572">
        <f t="shared" si="1"/>
        <v>100</v>
      </c>
      <c r="V15" s="1571" t="s">
        <v>8</v>
      </c>
      <c r="W15" s="1572">
        <f t="shared" si="2"/>
        <v>100</v>
      </c>
      <c r="X15" s="1565"/>
      <c r="Y15" s="3403"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04"/>
      <c r="Q16" s="1570"/>
      <c r="R16" s="1571"/>
      <c r="S16" s="1572"/>
      <c r="T16" s="1571"/>
      <c r="U16" s="1572"/>
      <c r="V16" s="1571"/>
      <c r="W16" s="1572"/>
      <c r="X16" s="1565"/>
      <c r="Y16" s="3404"/>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04"/>
      <c r="Q18" s="1570"/>
      <c r="R18" s="1571"/>
      <c r="S18" s="1572"/>
      <c r="T18" s="1571"/>
      <c r="U18" s="1572"/>
      <c r="V18" s="1571"/>
      <c r="W18" s="1572"/>
      <c r="X18" s="1565"/>
      <c r="Y18" s="3404"/>
      <c r="Z18" s="1573"/>
      <c r="AA18" s="1574">
        <v>1</v>
      </c>
      <c r="AB18" s="1574">
        <v>1</v>
      </c>
      <c r="AC18" s="1574">
        <v>1</v>
      </c>
    </row>
    <row r="19" spans="1:29" ht="42.75">
      <c r="A19" s="531"/>
      <c r="B19" s="2580"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8.5">
      <c r="A21" s="531"/>
      <c r="B21" s="2568"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04"/>
      <c r="Q21" s="2556" t="str">
        <f>B21</f>
        <v>基础设施水平</v>
      </c>
      <c r="R21" s="1571" t="s">
        <v>8</v>
      </c>
      <c r="S21" s="1572">
        <f>F21</f>
        <v>100</v>
      </c>
      <c r="T21" s="1571" t="s">
        <v>8</v>
      </c>
      <c r="U21" s="1572">
        <f>H21</f>
        <v>100</v>
      </c>
      <c r="V21" s="1571" t="s">
        <v>8</v>
      </c>
      <c r="W21" s="1572">
        <f>J21</f>
        <v>100</v>
      </c>
      <c r="X21" s="2558"/>
      <c r="Y21" s="3404"/>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404"/>
      <c r="Q22" s="2556"/>
      <c r="R22" s="1571"/>
      <c r="S22" s="1572"/>
      <c r="T22" s="1571"/>
      <c r="U22" s="1572"/>
      <c r="V22" s="1571"/>
      <c r="W22" s="1572"/>
      <c r="X22" s="2558"/>
      <c r="Y22" s="3404"/>
      <c r="Z22" s="2557"/>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4"/>
      <c r="Q25" s="1570">
        <f>B25</f>
        <v>111</v>
      </c>
      <c r="R25" s="1571" t="s">
        <v>8</v>
      </c>
      <c r="S25" s="1572">
        <f>F25</f>
        <v>100</v>
      </c>
      <c r="T25" s="1571" t="s">
        <v>8</v>
      </c>
      <c r="U25" s="1572">
        <f>H25</f>
        <v>100</v>
      </c>
      <c r="V25" s="1571" t="s">
        <v>8</v>
      </c>
      <c r="W25" s="1572">
        <f>J25</f>
        <v>100</v>
      </c>
      <c r="X25" s="1565"/>
      <c r="Y25" s="3404"/>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4"/>
      <c r="Q26" s="1570">
        <f t="shared" ref="Q26:Q40" si="11">B26</f>
        <v>111</v>
      </c>
      <c r="R26" s="1571" t="s">
        <v>8</v>
      </c>
      <c r="S26" s="1572">
        <f>F26</f>
        <v>100</v>
      </c>
      <c r="T26" s="1571" t="s">
        <v>8</v>
      </c>
      <c r="U26" s="1572">
        <f>H26</f>
        <v>100</v>
      </c>
      <c r="V26" s="1571" t="s">
        <v>8</v>
      </c>
      <c r="W26" s="1572">
        <f>J26</f>
        <v>100</v>
      </c>
      <c r="X26" s="1565"/>
      <c r="Y26" s="3404"/>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4"/>
      <c r="Q27" s="1149">
        <f t="shared" si="11"/>
        <v>111</v>
      </c>
      <c r="R27" s="1566" t="s">
        <v>8</v>
      </c>
      <c r="S27" s="1567">
        <f>F27</f>
        <v>100</v>
      </c>
      <c r="T27" s="1566" t="s">
        <v>8</v>
      </c>
      <c r="U27" s="1567">
        <f>H27</f>
        <v>100</v>
      </c>
      <c r="V27" s="1566" t="s">
        <v>8</v>
      </c>
      <c r="W27" s="1567">
        <f>J27</f>
        <v>100</v>
      </c>
      <c r="X27" s="1568"/>
      <c r="Y27" s="3404"/>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04"/>
      <c r="Q28" s="1570">
        <f t="shared" si="11"/>
        <v>111</v>
      </c>
      <c r="R28" s="1571" t="s">
        <v>8</v>
      </c>
      <c r="S28" s="1572">
        <f t="shared" ref="S28:S40" si="12">F28</f>
        <v>100</v>
      </c>
      <c r="T28" s="1571" t="s">
        <v>8</v>
      </c>
      <c r="U28" s="1572">
        <f t="shared" ref="U28:U40" si="13">H28</f>
        <v>100</v>
      </c>
      <c r="V28" s="1571" t="s">
        <v>8</v>
      </c>
      <c r="W28" s="1572">
        <f t="shared" ref="W28:W40" si="14">J28</f>
        <v>100</v>
      </c>
      <c r="X28" s="1565"/>
      <c r="Y28" s="3404"/>
      <c r="Z28" s="1573">
        <f t="shared" ref="Z28:Z40" si="15">Q28</f>
        <v>111</v>
      </c>
      <c r="AA28" s="1574">
        <f t="shared" si="3"/>
        <v>1</v>
      </c>
      <c r="AB28" s="1574">
        <f t="shared" si="4"/>
        <v>1</v>
      </c>
      <c r="AC28" s="1574">
        <f t="shared" si="5"/>
        <v>1</v>
      </c>
    </row>
    <row r="29" spans="1:29" ht="15">
      <c r="A29" s="288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05" t="s">
        <v>550</v>
      </c>
      <c r="Q29" s="1570" t="str">
        <f t="shared" si="11"/>
        <v>建筑类型</v>
      </c>
      <c r="R29" s="1571" t="s">
        <v>8</v>
      </c>
      <c r="S29" s="1572">
        <f t="shared" si="12"/>
        <v>100</v>
      </c>
      <c r="T29" s="1571" t="s">
        <v>8</v>
      </c>
      <c r="U29" s="1572">
        <f t="shared" si="13"/>
        <v>100</v>
      </c>
      <c r="V29" s="1571" t="s">
        <v>8</v>
      </c>
      <c r="W29" s="1572">
        <f t="shared" si="14"/>
        <v>100</v>
      </c>
      <c r="X29" s="1565"/>
      <c r="Y29" s="3406"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6"/>
      <c r="Q30" s="1603" t="str">
        <f t="shared" si="11"/>
        <v>项目建筑规模</v>
      </c>
      <c r="R30" s="1575" t="s">
        <v>8</v>
      </c>
      <c r="S30" s="1576" t="e">
        <f t="shared" si="12"/>
        <v>#N/A</v>
      </c>
      <c r="T30" s="1575" t="s">
        <v>8</v>
      </c>
      <c r="U30" s="1576" t="e">
        <f t="shared" si="13"/>
        <v>#N/A</v>
      </c>
      <c r="V30" s="1575" t="s">
        <v>8</v>
      </c>
      <c r="W30" s="1576" t="e">
        <f t="shared" si="14"/>
        <v>#N/A</v>
      </c>
      <c r="X30" s="1577"/>
      <c r="Y30" s="3406"/>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6"/>
      <c r="Q31" s="1570" t="str">
        <f t="shared" si="11"/>
        <v>建筑结构</v>
      </c>
      <c r="R31" s="1571" t="s">
        <v>8</v>
      </c>
      <c r="S31" s="1572">
        <f t="shared" si="12"/>
        <v>100</v>
      </c>
      <c r="T31" s="1571" t="s">
        <v>8</v>
      </c>
      <c r="U31" s="1572">
        <f t="shared" si="13"/>
        <v>100</v>
      </c>
      <c r="V31" s="1571" t="s">
        <v>8</v>
      </c>
      <c r="W31" s="1572">
        <f t="shared" si="14"/>
        <v>100</v>
      </c>
      <c r="X31" s="1565"/>
      <c r="Y31" s="3406"/>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6"/>
      <c r="Q32" s="1570" t="str">
        <f t="shared" si="11"/>
        <v>公共部分装修</v>
      </c>
      <c r="R32" s="1571" t="s">
        <v>8</v>
      </c>
      <c r="S32" s="1572">
        <f t="shared" si="12"/>
        <v>100</v>
      </c>
      <c r="T32" s="1571" t="s">
        <v>8</v>
      </c>
      <c r="U32" s="1572">
        <f t="shared" si="13"/>
        <v>100</v>
      </c>
      <c r="V32" s="1571" t="s">
        <v>8</v>
      </c>
      <c r="W32" s="1572">
        <f t="shared" si="14"/>
        <v>100</v>
      </c>
      <c r="X32" s="1565"/>
      <c r="Y32" s="3406"/>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06"/>
      <c r="Q33" s="1570" t="str">
        <f t="shared" si="11"/>
        <v>成新度</v>
      </c>
      <c r="R33" s="1571" t="s">
        <v>8</v>
      </c>
      <c r="S33" s="1572" t="e">
        <f t="shared" si="12"/>
        <v>#N/A</v>
      </c>
      <c r="T33" s="1571" t="s">
        <v>8</v>
      </c>
      <c r="U33" s="1572" t="e">
        <f t="shared" si="13"/>
        <v>#N/A</v>
      </c>
      <c r="V33" s="1571" t="s">
        <v>8</v>
      </c>
      <c r="W33" s="1572" t="e">
        <f t="shared" si="14"/>
        <v>#N/A</v>
      </c>
      <c r="X33" s="1565"/>
      <c r="Y33" s="3406"/>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6"/>
      <c r="Q34" s="1149" t="str">
        <f t="shared" si="11"/>
        <v>物业管理</v>
      </c>
      <c r="R34" s="1566" t="s">
        <v>8</v>
      </c>
      <c r="S34" s="1567">
        <f t="shared" si="12"/>
        <v>100</v>
      </c>
      <c r="T34" s="1566" t="s">
        <v>8</v>
      </c>
      <c r="U34" s="1567">
        <f t="shared" si="13"/>
        <v>100</v>
      </c>
      <c r="V34" s="1566" t="s">
        <v>8</v>
      </c>
      <c r="W34" s="1567">
        <f t="shared" si="14"/>
        <v>100</v>
      </c>
      <c r="X34" s="1568"/>
      <c r="Y34" s="3406"/>
      <c r="Z34" s="1148"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6" t="s">
        <v>550</v>
      </c>
      <c r="Q35" s="1570" t="str">
        <f t="shared" si="11"/>
        <v>市政基础设施</v>
      </c>
      <c r="R35" s="1571" t="s">
        <v>8</v>
      </c>
      <c r="S35" s="1572">
        <f t="shared" si="12"/>
        <v>100</v>
      </c>
      <c r="T35" s="1571" t="s">
        <v>8</v>
      </c>
      <c r="U35" s="1572">
        <f t="shared" si="13"/>
        <v>100</v>
      </c>
      <c r="V35" s="1571" t="s">
        <v>8</v>
      </c>
      <c r="W35" s="1572">
        <f t="shared" si="14"/>
        <v>100</v>
      </c>
      <c r="X35" s="1565"/>
      <c r="Y35" s="3406"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6"/>
      <c r="Q36" s="1570" t="str">
        <f t="shared" si="11"/>
        <v>内部装修</v>
      </c>
      <c r="R36" s="1571" t="s">
        <v>8</v>
      </c>
      <c r="S36" s="1572">
        <f t="shared" si="12"/>
        <v>100</v>
      </c>
      <c r="T36" s="1571" t="s">
        <v>8</v>
      </c>
      <c r="U36" s="1572">
        <f t="shared" si="13"/>
        <v>100</v>
      </c>
      <c r="V36" s="1571" t="s">
        <v>8</v>
      </c>
      <c r="W36" s="1572">
        <f t="shared" si="14"/>
        <v>100</v>
      </c>
      <c r="X36" s="1565"/>
      <c r="Y36" s="3406"/>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6"/>
      <c r="Q37" s="1570" t="str">
        <f t="shared" si="11"/>
        <v>内部装修状况</v>
      </c>
      <c r="R37" s="1571" t="s">
        <v>8</v>
      </c>
      <c r="S37" s="1572">
        <f t="shared" si="12"/>
        <v>100</v>
      </c>
      <c r="T37" s="1571" t="s">
        <v>8</v>
      </c>
      <c r="U37" s="1572">
        <f t="shared" si="13"/>
        <v>100</v>
      </c>
      <c r="V37" s="1571" t="s">
        <v>8</v>
      </c>
      <c r="W37" s="1572">
        <f t="shared" si="14"/>
        <v>100</v>
      </c>
      <c r="X37" s="1565"/>
      <c r="Y37" s="3406"/>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06"/>
      <c r="Q38" s="1603">
        <f t="shared" si="11"/>
        <v>111</v>
      </c>
      <c r="R38" s="1575" t="s">
        <v>8</v>
      </c>
      <c r="S38" s="1576">
        <f t="shared" si="12"/>
        <v>100</v>
      </c>
      <c r="T38" s="1575" t="s">
        <v>8</v>
      </c>
      <c r="U38" s="1576">
        <f t="shared" si="13"/>
        <v>100</v>
      </c>
      <c r="V38" s="1575" t="s">
        <v>8</v>
      </c>
      <c r="W38" s="1576">
        <f t="shared" si="14"/>
        <v>100</v>
      </c>
      <c r="X38" s="1577"/>
      <c r="Y38" s="3406"/>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06"/>
      <c r="Q39" s="1570">
        <f t="shared" si="11"/>
        <v>111</v>
      </c>
      <c r="R39" s="1571" t="s">
        <v>8</v>
      </c>
      <c r="S39" s="1572">
        <f t="shared" si="12"/>
        <v>100</v>
      </c>
      <c r="T39" s="1571" t="s">
        <v>8</v>
      </c>
      <c r="U39" s="1572">
        <f t="shared" si="13"/>
        <v>100</v>
      </c>
      <c r="V39" s="1571" t="s">
        <v>8</v>
      </c>
      <c r="W39" s="1572">
        <f t="shared" si="14"/>
        <v>100</v>
      </c>
      <c r="X39" s="1565"/>
      <c r="Y39" s="3406"/>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61"/>
      <c r="Q40" s="1570">
        <f t="shared" si="11"/>
        <v>111</v>
      </c>
      <c r="R40" s="1571" t="s">
        <v>8</v>
      </c>
      <c r="S40" s="1572">
        <f t="shared" si="12"/>
        <v>100</v>
      </c>
      <c r="T40" s="1571" t="s">
        <v>8</v>
      </c>
      <c r="U40" s="1572">
        <f t="shared" si="13"/>
        <v>100</v>
      </c>
      <c r="V40" s="1571" t="s">
        <v>8</v>
      </c>
      <c r="W40" s="1572">
        <f t="shared" si="14"/>
        <v>100</v>
      </c>
      <c r="X40" s="1565"/>
      <c r="Y40" s="3461"/>
      <c r="Z40" s="1573">
        <f t="shared" si="15"/>
        <v>111</v>
      </c>
      <c r="AA40" s="1574">
        <f t="shared" si="3"/>
        <v>1</v>
      </c>
      <c r="AB40" s="1574">
        <f t="shared" si="4"/>
        <v>1</v>
      </c>
      <c r="AC40" s="1574">
        <f t="shared" si="5"/>
        <v>1</v>
      </c>
    </row>
    <row r="41" spans="1:29" ht="15">
      <c r="A41" s="606" t="s">
        <v>736</v>
      </c>
      <c r="B41" s="885"/>
      <c r="C41" s="2604" t="s">
        <v>1</v>
      </c>
      <c r="D41" s="2605"/>
      <c r="E41" s="2606"/>
      <c r="F41" s="2607"/>
      <c r="G41" s="2608"/>
      <c r="H41" s="2609"/>
      <c r="I41" s="2606"/>
      <c r="J41" s="2609"/>
      <c r="K41" s="1609"/>
      <c r="L41" s="2142"/>
      <c r="M41" s="2143"/>
      <c r="N41" s="2132"/>
      <c r="O41" s="2143"/>
      <c r="P41" s="3369" t="str">
        <f>A41</f>
        <v>成交单价（元/平方米）</v>
      </c>
      <c r="Q41" s="3369"/>
      <c r="R41" s="3460">
        <f>E41</f>
        <v>0</v>
      </c>
      <c r="S41" s="3460"/>
      <c r="T41" s="3460">
        <f>G41</f>
        <v>0</v>
      </c>
      <c r="U41" s="3460"/>
      <c r="V41" s="3460">
        <f>I41</f>
        <v>0</v>
      </c>
      <c r="W41" s="3460"/>
      <c r="X41" s="1557"/>
      <c r="Y41" s="1579"/>
      <c r="Z41" s="1557"/>
      <c r="AA41" s="1557"/>
      <c r="AB41" s="1557"/>
      <c r="AC41" s="1557"/>
    </row>
    <row r="42" spans="1:29" ht="15.75" thickBot="1">
      <c r="A42" s="614" t="s">
        <v>2760</v>
      </c>
      <c r="B42" s="886"/>
      <c r="C42" s="2610" t="e">
        <f>R43</f>
        <v>#DIV/0!</v>
      </c>
      <c r="D42" s="2611"/>
      <c r="E42" s="2612" t="e">
        <f>R42</f>
        <v>#DIV/0!</v>
      </c>
      <c r="F42" s="2612"/>
      <c r="G42" s="2610" t="e">
        <f>T42</f>
        <v>#DIV/0!</v>
      </c>
      <c r="H42" s="2611"/>
      <c r="I42" s="2612" t="e">
        <f>V42</f>
        <v>#DIV/0!</v>
      </c>
      <c r="J42" s="2611"/>
      <c r="K42" s="1610"/>
      <c r="L42" s="2142"/>
      <c r="M42" s="2143"/>
      <c r="N42" s="2132"/>
      <c r="O42" s="2143"/>
      <c r="P42" s="3369" t="str">
        <f>A42</f>
        <v>比较价格（元/平方米）</v>
      </c>
      <c r="Q42" s="336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7"/>
      <c r="Y42" s="1557"/>
      <c r="Z42" s="1557"/>
      <c r="AA42" s="1557"/>
      <c r="AB42" s="1557"/>
      <c r="AC42" s="1557"/>
    </row>
    <row r="43" spans="1:29" ht="15.75" thickBot="1">
      <c r="A43" s="620" t="s">
        <v>2936</v>
      </c>
      <c r="B43" s="621"/>
      <c r="C43" s="2613" t="e">
        <f>R43</f>
        <v>#DIV/0!</v>
      </c>
      <c r="D43" s="2613"/>
      <c r="E43" s="2613"/>
      <c r="F43" s="2613"/>
      <c r="G43" s="2613"/>
      <c r="H43" s="2613"/>
      <c r="I43" s="2613"/>
      <c r="J43" s="2613"/>
      <c r="K43" s="1611"/>
      <c r="L43" s="2142"/>
      <c r="M43" s="2143"/>
      <c r="N43" s="2143"/>
      <c r="O43" s="2143"/>
      <c r="P43" s="3366" t="str">
        <f>A43</f>
        <v>估价对象XX用房的比较价格（楼面单价，元/平方米）</v>
      </c>
      <c r="Q43" s="3367"/>
      <c r="R43" s="3459" t="e">
        <f>IF(F1="售价",ROUND(AVERAGE(R42:V42),0),ROUND(AVERAGE(R42:V42),1))</f>
        <v>#DIV/0!</v>
      </c>
      <c r="S43" s="3459"/>
      <c r="T43" s="3459"/>
      <c r="U43" s="3459"/>
      <c r="V43" s="3459"/>
      <c r="W43" s="3459"/>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4" t="s">
        <v>529</v>
      </c>
      <c r="B52" s="645"/>
      <c r="C52" s="2778" t="str">
        <f>YEAR(C7)&amp;"-"&amp;MONTH(C7)</f>
        <v>2019-1</v>
      </c>
      <c r="D52" s="2780">
        <f>EDATE(C52,-1)</f>
        <v>43435</v>
      </c>
      <c r="E52" s="2780">
        <f t="shared" ref="E52:O52" si="16">EDATE(D52,-1)</f>
        <v>43405</v>
      </c>
      <c r="F52" s="2780">
        <f t="shared" si="16"/>
        <v>43374</v>
      </c>
      <c r="G52" s="2780">
        <f t="shared" si="16"/>
        <v>43344</v>
      </c>
      <c r="H52" s="2780">
        <f t="shared" si="16"/>
        <v>43313</v>
      </c>
      <c r="I52" s="2780">
        <f t="shared" si="16"/>
        <v>43282</v>
      </c>
      <c r="J52" s="2780">
        <f t="shared" si="16"/>
        <v>43252</v>
      </c>
      <c r="K52" s="2780">
        <f t="shared" si="16"/>
        <v>43221</v>
      </c>
      <c r="L52" s="2780">
        <f t="shared" si="16"/>
        <v>43191</v>
      </c>
      <c r="M52" s="2780">
        <f t="shared" si="16"/>
        <v>43160</v>
      </c>
      <c r="N52" s="2780">
        <f t="shared" si="16"/>
        <v>43132</v>
      </c>
      <c r="O52" s="2780">
        <f t="shared" si="16"/>
        <v>43101</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2558</v>
      </c>
      <c r="C76" s="2575" t="s">
        <v>2559</v>
      </c>
      <c r="D76" s="2575" t="s">
        <v>2560</v>
      </c>
      <c r="E76" s="2575" t="s">
        <v>2561</v>
      </c>
      <c r="F76" s="2575" t="s">
        <v>2562</v>
      </c>
      <c r="G76" s="2575" t="s">
        <v>2563</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75" t="s">
        <v>798</v>
      </c>
      <c r="D4" s="3376"/>
      <c r="E4" s="3375" t="s">
        <v>799</v>
      </c>
      <c r="F4" s="3376"/>
      <c r="G4" s="3375" t="s">
        <v>800</v>
      </c>
      <c r="H4" s="3376"/>
      <c r="I4" s="3375" t="s">
        <v>801</v>
      </c>
      <c r="J4" s="3376"/>
      <c r="K4" s="513" t="s">
        <v>802</v>
      </c>
      <c r="L4" s="2131"/>
      <c r="M4" s="2132"/>
      <c r="N4" s="2132"/>
      <c r="O4" s="2132"/>
      <c r="P4" s="3377" t="s">
        <v>803</v>
      </c>
      <c r="Q4" s="3378"/>
      <c r="R4" s="3383" t="s">
        <v>799</v>
      </c>
      <c r="S4" s="3384"/>
      <c r="T4" s="3383" t="s">
        <v>800</v>
      </c>
      <c r="U4" s="3384"/>
      <c r="V4" s="3370" t="s">
        <v>801</v>
      </c>
      <c r="W4" s="3370"/>
      <c r="X4" s="1565"/>
      <c r="Y4" s="3383" t="s">
        <v>803</v>
      </c>
      <c r="Z4" s="3384"/>
      <c r="AA4" s="3372" t="s">
        <v>799</v>
      </c>
      <c r="AB4" s="3373" t="s">
        <v>800</v>
      </c>
      <c r="AC4" s="3372" t="s">
        <v>801</v>
      </c>
    </row>
    <row r="5" spans="1:29" ht="15">
      <c r="A5" s="514"/>
      <c r="B5" s="515"/>
      <c r="C5" s="3391" t="s">
        <v>2930</v>
      </c>
      <c r="D5" s="3392"/>
      <c r="E5" s="3391" t="s">
        <v>2931</v>
      </c>
      <c r="F5" s="3392"/>
      <c r="G5" s="3391" t="s">
        <v>2932</v>
      </c>
      <c r="H5" s="3392"/>
      <c r="I5" s="3391" t="s">
        <v>2933</v>
      </c>
      <c r="J5" s="3392"/>
      <c r="K5" s="513"/>
      <c r="L5" s="2131"/>
      <c r="M5" s="2132"/>
      <c r="N5" s="2132"/>
      <c r="O5" s="2132"/>
      <c r="P5" s="3379"/>
      <c r="Q5" s="3380"/>
      <c r="R5" s="3385"/>
      <c r="S5" s="3386"/>
      <c r="T5" s="3385"/>
      <c r="U5" s="3386"/>
      <c r="V5" s="3370"/>
      <c r="W5" s="3370"/>
      <c r="X5" s="1565"/>
      <c r="Y5" s="3385"/>
      <c r="Z5" s="3386"/>
      <c r="AA5" s="3373"/>
      <c r="AB5" s="3373"/>
      <c r="AC5" s="3373"/>
    </row>
    <row r="6" spans="1:29" ht="15.75" thickBot="1">
      <c r="A6" s="516"/>
      <c r="B6" s="517"/>
      <c r="C6" s="3389" t="s">
        <v>2934</v>
      </c>
      <c r="D6" s="3390"/>
      <c r="E6" s="3393" t="s">
        <v>2934</v>
      </c>
      <c r="F6" s="3394"/>
      <c r="G6" s="3389" t="s">
        <v>2934</v>
      </c>
      <c r="H6" s="3390"/>
      <c r="I6" s="3389" t="s">
        <v>2934</v>
      </c>
      <c r="J6" s="3390"/>
      <c r="K6" s="513" t="s">
        <v>528</v>
      </c>
      <c r="L6" s="2131"/>
      <c r="M6" s="2132"/>
      <c r="N6" s="2132"/>
      <c r="O6" s="2132"/>
      <c r="P6" s="3381"/>
      <c r="Q6" s="3382"/>
      <c r="R6" s="3385"/>
      <c r="S6" s="3386"/>
      <c r="T6" s="3387"/>
      <c r="U6" s="3388"/>
      <c r="V6" s="3370"/>
      <c r="W6" s="3370"/>
      <c r="X6" s="1565"/>
      <c r="Y6" s="3387"/>
      <c r="Z6" s="3388"/>
      <c r="AA6" s="3374"/>
      <c r="AB6" s="3374"/>
      <c r="AC6" s="3374"/>
    </row>
    <row r="7" spans="1:29" s="1218" customFormat="1" ht="15.75" thickBot="1">
      <c r="A7" s="2888"/>
      <c r="B7" s="2895" t="s">
        <v>529</v>
      </c>
      <c r="C7" s="518">
        <f>'数据-取费表'!B2</f>
        <v>43475</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00" t="s">
        <v>530</v>
      </c>
      <c r="Q7" s="3402"/>
      <c r="R7" s="1566" t="s">
        <v>8</v>
      </c>
      <c r="S7" s="1567">
        <f t="shared" ref="S7:S14" si="0">F7</f>
        <v>0</v>
      </c>
      <c r="T7" s="1566" t="s">
        <v>8</v>
      </c>
      <c r="U7" s="1567">
        <f t="shared" ref="U7:U14" si="1">H7</f>
        <v>0</v>
      </c>
      <c r="V7" s="1566" t="s">
        <v>8</v>
      </c>
      <c r="W7" s="1567">
        <f t="shared" ref="W7:W14" si="2">J7</f>
        <v>0</v>
      </c>
      <c r="X7" s="1568"/>
      <c r="Y7" s="3400" t="s">
        <v>530</v>
      </c>
      <c r="Z7" s="3401"/>
      <c r="AA7" s="1569" t="e">
        <f>D7/F7</f>
        <v>#DIV/0!</v>
      </c>
      <c r="AB7" s="1569" t="e">
        <f>D7/H7</f>
        <v>#DIV/0!</v>
      </c>
      <c r="AC7" s="1569" t="e">
        <f>D7/J7</f>
        <v>#DIV/0!</v>
      </c>
    </row>
    <row r="8" spans="1:29" s="1218"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00" t="s">
        <v>533</v>
      </c>
      <c r="Q8" s="3401"/>
      <c r="R8" s="1566" t="s">
        <v>8</v>
      </c>
      <c r="S8" s="1567">
        <f t="shared" si="0"/>
        <v>0</v>
      </c>
      <c r="T8" s="1566" t="s">
        <v>8</v>
      </c>
      <c r="U8" s="1567">
        <f t="shared" si="1"/>
        <v>0</v>
      </c>
      <c r="V8" s="1566" t="s">
        <v>8</v>
      </c>
      <c r="W8" s="1567">
        <f t="shared" si="2"/>
        <v>0</v>
      </c>
      <c r="X8" s="1568"/>
      <c r="Y8" s="3400" t="s">
        <v>533</v>
      </c>
      <c r="Z8" s="3401"/>
      <c r="AA8" s="1569" t="e">
        <f t="shared" ref="AA8:AA36" si="3">D8/F8</f>
        <v>#DIV/0!</v>
      </c>
      <c r="AB8" s="1569" t="e">
        <f t="shared" ref="AB8:AB36" si="4">D8/H8</f>
        <v>#DIV/0!</v>
      </c>
      <c r="AC8" s="1569" t="e">
        <f t="shared" ref="AC8:AC36" si="5">D8/J8</f>
        <v>#DIV/0!</v>
      </c>
    </row>
    <row r="9" spans="1:29" s="1218" customFormat="1" ht="15">
      <c r="A9" s="2890"/>
      <c r="B9" s="2897"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69" t="s">
        <v>535</v>
      </c>
      <c r="Q9" s="1149" t="str">
        <f t="shared" ref="Q9:Q14" si="6">B9</f>
        <v>用途</v>
      </c>
      <c r="R9" s="1566" t="s">
        <v>8</v>
      </c>
      <c r="S9" s="1567">
        <f t="shared" si="0"/>
        <v>100</v>
      </c>
      <c r="T9" s="1566" t="s">
        <v>8</v>
      </c>
      <c r="U9" s="1567">
        <f t="shared" si="1"/>
        <v>100</v>
      </c>
      <c r="V9" s="1566" t="s">
        <v>8</v>
      </c>
      <c r="W9" s="1567">
        <f t="shared" si="2"/>
        <v>100</v>
      </c>
      <c r="X9" s="1568"/>
      <c r="Y9" s="3315"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69"/>
      <c r="Q10" s="1149" t="str">
        <f t="shared" si="6"/>
        <v>土地使用年限（年）</v>
      </c>
      <c r="R10" s="1566" t="s">
        <v>8</v>
      </c>
      <c r="S10" s="1567">
        <f t="shared" si="0"/>
        <v>100</v>
      </c>
      <c r="T10" s="1566" t="s">
        <v>8</v>
      </c>
      <c r="U10" s="1567">
        <f t="shared" si="1"/>
        <v>100</v>
      </c>
      <c r="V10" s="1566" t="s">
        <v>8</v>
      </c>
      <c r="W10" s="1567">
        <f t="shared" si="2"/>
        <v>100</v>
      </c>
      <c r="X10" s="1568"/>
      <c r="Y10" s="3315"/>
      <c r="Z10" s="1148" t="str">
        <f t="shared" si="7"/>
        <v>土地使用年限（年）</v>
      </c>
      <c r="AA10" s="1569">
        <f t="shared" si="3"/>
        <v>1</v>
      </c>
      <c r="AB10" s="1569">
        <f t="shared" si="4"/>
        <v>1</v>
      </c>
      <c r="AC10" s="1569">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69"/>
      <c r="Q11" s="1149">
        <f t="shared" si="6"/>
        <v>111</v>
      </c>
      <c r="R11" s="1566" t="s">
        <v>8</v>
      </c>
      <c r="S11" s="1567">
        <f t="shared" si="0"/>
        <v>100</v>
      </c>
      <c r="T11" s="1566" t="s">
        <v>8</v>
      </c>
      <c r="U11" s="1567">
        <f t="shared" si="1"/>
        <v>100</v>
      </c>
      <c r="V11" s="1566" t="s">
        <v>8</v>
      </c>
      <c r="W11" s="1567">
        <f t="shared" si="2"/>
        <v>100</v>
      </c>
      <c r="X11" s="1568"/>
      <c r="Y11" s="3315"/>
      <c r="Z11" s="1148">
        <f t="shared" si="7"/>
        <v>111</v>
      </c>
      <c r="AA11" s="1569">
        <f t="shared" si="3"/>
        <v>1</v>
      </c>
      <c r="AB11" s="1569">
        <f t="shared" si="4"/>
        <v>1</v>
      </c>
      <c r="AC11" s="1569">
        <f t="shared" si="5"/>
        <v>1</v>
      </c>
    </row>
    <row r="12" spans="1:29" s="1218"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69"/>
      <c r="Q12" s="1149">
        <f t="shared" si="6"/>
        <v>111</v>
      </c>
      <c r="R12" s="1566" t="s">
        <v>8</v>
      </c>
      <c r="S12" s="1567">
        <f t="shared" si="0"/>
        <v>100</v>
      </c>
      <c r="T12" s="1566" t="s">
        <v>8</v>
      </c>
      <c r="U12" s="1567">
        <f t="shared" si="1"/>
        <v>100</v>
      </c>
      <c r="V12" s="1566" t="s">
        <v>8</v>
      </c>
      <c r="W12" s="1567">
        <f t="shared" si="2"/>
        <v>100</v>
      </c>
      <c r="X12" s="1568"/>
      <c r="Y12" s="3315"/>
      <c r="Z12" s="1148">
        <f t="shared" si="7"/>
        <v>111</v>
      </c>
      <c r="AA12" s="1569">
        <f>D12/F12</f>
        <v>1</v>
      </c>
      <c r="AB12" s="1569">
        <f>D12/H12</f>
        <v>1</v>
      </c>
      <c r="AC12" s="1569">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69"/>
      <c r="Q13" s="1149">
        <f t="shared" si="6"/>
        <v>111</v>
      </c>
      <c r="R13" s="1566" t="s">
        <v>8</v>
      </c>
      <c r="S13" s="1567">
        <f t="shared" si="0"/>
        <v>100</v>
      </c>
      <c r="T13" s="1566" t="s">
        <v>8</v>
      </c>
      <c r="U13" s="1567">
        <f t="shared" si="1"/>
        <v>100</v>
      </c>
      <c r="V13" s="1566" t="s">
        <v>8</v>
      </c>
      <c r="W13" s="1567">
        <f t="shared" si="2"/>
        <v>100</v>
      </c>
      <c r="X13" s="1568"/>
      <c r="Y13" s="3315"/>
      <c r="Z13" s="1148">
        <f t="shared" si="7"/>
        <v>111</v>
      </c>
      <c r="AA13" s="1569">
        <f t="shared" si="3"/>
        <v>1</v>
      </c>
      <c r="AB13" s="1569">
        <f t="shared" si="4"/>
        <v>1</v>
      </c>
      <c r="AC13" s="1569">
        <f t="shared" si="5"/>
        <v>1</v>
      </c>
    </row>
    <row r="14" spans="1:29" ht="85.5">
      <c r="A14" s="2886"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403" t="s">
        <v>540</v>
      </c>
      <c r="Q14" s="1570" t="str">
        <f t="shared" si="6"/>
        <v>交通便捷度</v>
      </c>
      <c r="R14" s="1571" t="s">
        <v>8</v>
      </c>
      <c r="S14" s="1572">
        <f t="shared" si="0"/>
        <v>100</v>
      </c>
      <c r="T14" s="1571" t="s">
        <v>8</v>
      </c>
      <c r="U14" s="1572">
        <f t="shared" si="1"/>
        <v>100</v>
      </c>
      <c r="V14" s="1571" t="s">
        <v>8</v>
      </c>
      <c r="W14" s="1572">
        <f t="shared" si="2"/>
        <v>100</v>
      </c>
      <c r="X14" s="1565"/>
      <c r="Y14" s="3403"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0"/>
      <c r="M15" s="2132"/>
      <c r="N15" s="2132"/>
      <c r="O15" s="2139"/>
      <c r="P15" s="3404"/>
      <c r="Q15" s="1570"/>
      <c r="R15" s="1571"/>
      <c r="S15" s="1572"/>
      <c r="T15" s="1571"/>
      <c r="U15" s="1572"/>
      <c r="V15" s="1571"/>
      <c r="W15" s="1572"/>
      <c r="X15" s="1565"/>
      <c r="Y15" s="3404"/>
      <c r="Z15" s="1573"/>
      <c r="AA15" s="1574">
        <v>1</v>
      </c>
      <c r="AB15" s="1574">
        <v>1</v>
      </c>
      <c r="AC15" s="1574">
        <v>1</v>
      </c>
    </row>
    <row r="16" spans="1:29" ht="42.75">
      <c r="A16" s="514"/>
      <c r="B16" s="2580"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404"/>
      <c r="Q16" s="1570" t="str">
        <f>B16</f>
        <v>公共配套设施</v>
      </c>
      <c r="R16" s="1571" t="s">
        <v>8</v>
      </c>
      <c r="S16" s="1572">
        <f>F16</f>
        <v>100</v>
      </c>
      <c r="T16" s="1571" t="s">
        <v>8</v>
      </c>
      <c r="U16" s="1572">
        <f>H16</f>
        <v>100</v>
      </c>
      <c r="V16" s="1571" t="s">
        <v>8</v>
      </c>
      <c r="W16" s="1572">
        <f>J16</f>
        <v>100</v>
      </c>
      <c r="X16" s="1565"/>
      <c r="Y16" s="3404"/>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0"/>
      <c r="M17" s="2132"/>
      <c r="N17" s="2132"/>
      <c r="O17" s="2139"/>
      <c r="P17" s="3404"/>
      <c r="Q17" s="1570"/>
      <c r="R17" s="1571"/>
      <c r="S17" s="1572"/>
      <c r="T17" s="1571"/>
      <c r="U17" s="1572"/>
      <c r="V17" s="1571"/>
      <c r="W17" s="1572"/>
      <c r="X17" s="1565"/>
      <c r="Y17" s="3404"/>
      <c r="Z17" s="1573"/>
      <c r="AA17" s="1574">
        <v>1</v>
      </c>
      <c r="AB17" s="1574">
        <v>1</v>
      </c>
      <c r="AC17" s="1574">
        <v>1</v>
      </c>
    </row>
    <row r="18" spans="1:29" ht="28.5">
      <c r="A18" s="514"/>
      <c r="B18" s="2568"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404"/>
      <c r="Q18" s="2556" t="str">
        <f>B18</f>
        <v>基础设施水平</v>
      </c>
      <c r="R18" s="1571" t="s">
        <v>8</v>
      </c>
      <c r="S18" s="1572">
        <f>F18</f>
        <v>100</v>
      </c>
      <c r="T18" s="1571" t="s">
        <v>8</v>
      </c>
      <c r="U18" s="1572">
        <f>H18</f>
        <v>100</v>
      </c>
      <c r="V18" s="1571" t="s">
        <v>8</v>
      </c>
      <c r="W18" s="1572">
        <f>J18</f>
        <v>100</v>
      </c>
      <c r="X18" s="2558"/>
      <c r="Y18" s="3404"/>
      <c r="Z18" s="2557"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9"/>
      <c r="L19" s="2140"/>
      <c r="M19" s="2132"/>
      <c r="N19" s="2132"/>
      <c r="O19" s="2139"/>
      <c r="P19" s="3404"/>
      <c r="Q19" s="2556"/>
      <c r="R19" s="1571"/>
      <c r="S19" s="1572"/>
      <c r="T19" s="1571"/>
      <c r="U19" s="1572"/>
      <c r="V19" s="1571"/>
      <c r="W19" s="1572"/>
      <c r="X19" s="2558"/>
      <c r="Y19" s="3404"/>
      <c r="Z19" s="2557"/>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404"/>
      <c r="Q20" s="1570" t="str">
        <f>B20</f>
        <v>自然及人文环境</v>
      </c>
      <c r="R20" s="1571" t="s">
        <v>8</v>
      </c>
      <c r="S20" s="1572">
        <f>F20</f>
        <v>100</v>
      </c>
      <c r="T20" s="1571" t="s">
        <v>8</v>
      </c>
      <c r="U20" s="1572">
        <f>H20</f>
        <v>100</v>
      </c>
      <c r="V20" s="1571" t="s">
        <v>8</v>
      </c>
      <c r="W20" s="1572">
        <f>J20</f>
        <v>100</v>
      </c>
      <c r="X20" s="1565"/>
      <c r="Y20" s="3404"/>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0"/>
      <c r="M21" s="2132"/>
      <c r="N21" s="2132"/>
      <c r="O21" s="2139"/>
      <c r="P21" s="3404"/>
      <c r="Q21" s="1570"/>
      <c r="R21" s="1571"/>
      <c r="S21" s="1572"/>
      <c r="T21" s="1571"/>
      <c r="U21" s="1572"/>
      <c r="V21" s="1571"/>
      <c r="W21" s="1572"/>
      <c r="X21" s="1565"/>
      <c r="Y21" s="3404"/>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4"/>
      <c r="Q23" s="1570">
        <f>B23</f>
        <v>111</v>
      </c>
      <c r="R23" s="1571" t="s">
        <v>8</v>
      </c>
      <c r="S23" s="1572">
        <f>F23</f>
        <v>100</v>
      </c>
      <c r="T23" s="1571" t="s">
        <v>8</v>
      </c>
      <c r="U23" s="1572">
        <f>H23</f>
        <v>100</v>
      </c>
      <c r="V23" s="1571" t="s">
        <v>8</v>
      </c>
      <c r="W23" s="1572">
        <f>J23</f>
        <v>100</v>
      </c>
      <c r="X23" s="1565"/>
      <c r="Y23" s="3404"/>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4"/>
      <c r="Q24" s="1570">
        <f t="shared" ref="Q24:Q36" si="11">B24</f>
        <v>111</v>
      </c>
      <c r="R24" s="1571" t="s">
        <v>8</v>
      </c>
      <c r="S24" s="1572">
        <f>F24</f>
        <v>100</v>
      </c>
      <c r="T24" s="1571" t="s">
        <v>8</v>
      </c>
      <c r="U24" s="1572">
        <f>H24</f>
        <v>100</v>
      </c>
      <c r="V24" s="1571" t="s">
        <v>8</v>
      </c>
      <c r="W24" s="1572">
        <f>J24</f>
        <v>100</v>
      </c>
      <c r="X24" s="1565"/>
      <c r="Y24" s="3404"/>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04"/>
      <c r="Q25" s="1149">
        <f t="shared" si="11"/>
        <v>111</v>
      </c>
      <c r="R25" s="1566" t="s">
        <v>8</v>
      </c>
      <c r="S25" s="1567">
        <f>F25</f>
        <v>100</v>
      </c>
      <c r="T25" s="1566" t="s">
        <v>8</v>
      </c>
      <c r="U25" s="1567">
        <f>H25</f>
        <v>100</v>
      </c>
      <c r="V25" s="1566" t="s">
        <v>8</v>
      </c>
      <c r="W25" s="1567">
        <f>J25</f>
        <v>100</v>
      </c>
      <c r="X25" s="1568"/>
      <c r="Y25" s="3404"/>
      <c r="Z25" s="1148">
        <f>Q25</f>
        <v>111</v>
      </c>
      <c r="AA25" s="1574">
        <f>D25/F25</f>
        <v>1</v>
      </c>
      <c r="AB25" s="1574">
        <f>D25/H25</f>
        <v>1</v>
      </c>
      <c r="AC25" s="1574">
        <f>D25/J25</f>
        <v>1</v>
      </c>
    </row>
    <row r="26" spans="1:29" ht="15">
      <c r="A26" s="2883"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5"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6"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06"/>
      <c r="Q27" s="1603" t="str">
        <f t="shared" si="11"/>
        <v>项目停车位配比</v>
      </c>
      <c r="R27" s="1575" t="s">
        <v>8</v>
      </c>
      <c r="S27" s="1576">
        <f t="shared" si="12"/>
        <v>100</v>
      </c>
      <c r="T27" s="1575" t="s">
        <v>8</v>
      </c>
      <c r="U27" s="1576">
        <f t="shared" si="13"/>
        <v>100</v>
      </c>
      <c r="V27" s="1575" t="s">
        <v>8</v>
      </c>
      <c r="W27" s="1576">
        <f t="shared" si="14"/>
        <v>100</v>
      </c>
      <c r="X27" s="1577"/>
      <c r="Y27" s="3406"/>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6"/>
      <c r="Q28" s="1570" t="str">
        <f t="shared" si="11"/>
        <v>公共部分装修</v>
      </c>
      <c r="R28" s="1571" t="s">
        <v>8</v>
      </c>
      <c r="S28" s="1572">
        <f t="shared" si="12"/>
        <v>100</v>
      </c>
      <c r="T28" s="1571" t="s">
        <v>8</v>
      </c>
      <c r="U28" s="1572">
        <f t="shared" si="13"/>
        <v>100</v>
      </c>
      <c r="V28" s="1571" t="s">
        <v>8</v>
      </c>
      <c r="W28" s="1572">
        <f t="shared" si="14"/>
        <v>100</v>
      </c>
      <c r="X28" s="1565"/>
      <c r="Y28" s="3406"/>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406"/>
      <c r="Q29" s="1570" t="str">
        <f t="shared" si="11"/>
        <v>成新率</v>
      </c>
      <c r="R29" s="1571" t="s">
        <v>8</v>
      </c>
      <c r="S29" s="1572" t="e">
        <f t="shared" si="12"/>
        <v>#N/A</v>
      </c>
      <c r="T29" s="1571" t="s">
        <v>8</v>
      </c>
      <c r="U29" s="1572" t="e">
        <f t="shared" si="13"/>
        <v>#N/A</v>
      </c>
      <c r="V29" s="1571" t="s">
        <v>8</v>
      </c>
      <c r="W29" s="1572" t="e">
        <f t="shared" si="14"/>
        <v>#N/A</v>
      </c>
      <c r="X29" s="1565"/>
      <c r="Y29" s="3406"/>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406"/>
      <c r="Q30" s="1570" t="str">
        <f t="shared" si="11"/>
        <v>物业等级</v>
      </c>
      <c r="R30" s="1571" t="s">
        <v>8</v>
      </c>
      <c r="S30" s="1572">
        <f t="shared" si="12"/>
        <v>100</v>
      </c>
      <c r="T30" s="1571" t="s">
        <v>8</v>
      </c>
      <c r="U30" s="1572">
        <f t="shared" si="13"/>
        <v>100</v>
      </c>
      <c r="V30" s="1571" t="s">
        <v>8</v>
      </c>
      <c r="W30" s="1572">
        <f t="shared" si="14"/>
        <v>100</v>
      </c>
      <c r="X30" s="1565"/>
      <c r="Y30" s="3406"/>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406"/>
      <c r="Q31" s="1149" t="str">
        <f t="shared" si="11"/>
        <v>停车位面积</v>
      </c>
      <c r="R31" s="1566" t="s">
        <v>8</v>
      </c>
      <c r="S31" s="1567" t="e">
        <f t="shared" si="12"/>
        <v>#N/A</v>
      </c>
      <c r="T31" s="1566" t="s">
        <v>8</v>
      </c>
      <c r="U31" s="1567" t="e">
        <f t="shared" si="13"/>
        <v>#N/A</v>
      </c>
      <c r="V31" s="1566" t="s">
        <v>8</v>
      </c>
      <c r="W31" s="1567" t="e">
        <f t="shared" si="14"/>
        <v>#N/A</v>
      </c>
      <c r="X31" s="1568"/>
      <c r="Y31" s="3406"/>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6" t="s">
        <v>550</v>
      </c>
      <c r="Q32" s="1570" t="str">
        <f t="shared" si="11"/>
        <v>车位类型</v>
      </c>
      <c r="R32" s="1571" t="s">
        <v>8</v>
      </c>
      <c r="S32" s="1572">
        <f t="shared" si="12"/>
        <v>100</v>
      </c>
      <c r="T32" s="1571" t="s">
        <v>8</v>
      </c>
      <c r="U32" s="1572">
        <f t="shared" si="13"/>
        <v>100</v>
      </c>
      <c r="V32" s="1571" t="s">
        <v>8</v>
      </c>
      <c r="W32" s="1572">
        <f t="shared" si="14"/>
        <v>100</v>
      </c>
      <c r="X32" s="1565"/>
      <c r="Y32" s="3406"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6"/>
      <c r="Q33" s="1570" t="str">
        <f t="shared" si="11"/>
        <v>是否直接入户</v>
      </c>
      <c r="R33" s="1571" t="s">
        <v>8</v>
      </c>
      <c r="S33" s="1572">
        <f t="shared" si="12"/>
        <v>100</v>
      </c>
      <c r="T33" s="1571" t="s">
        <v>8</v>
      </c>
      <c r="U33" s="1572">
        <f t="shared" si="13"/>
        <v>100</v>
      </c>
      <c r="V33" s="1571" t="s">
        <v>8</v>
      </c>
      <c r="W33" s="1572">
        <f t="shared" si="14"/>
        <v>100</v>
      </c>
      <c r="X33" s="1565"/>
      <c r="Y33" s="3406"/>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6"/>
      <c r="Q34" s="1570">
        <f t="shared" si="11"/>
        <v>111</v>
      </c>
      <c r="R34" s="1571" t="s">
        <v>8</v>
      </c>
      <c r="S34" s="1572">
        <f t="shared" si="12"/>
        <v>100</v>
      </c>
      <c r="T34" s="1571" t="s">
        <v>8</v>
      </c>
      <c r="U34" s="1572">
        <f t="shared" si="13"/>
        <v>100</v>
      </c>
      <c r="V34" s="1571" t="s">
        <v>8</v>
      </c>
      <c r="W34" s="1572">
        <f t="shared" si="14"/>
        <v>100</v>
      </c>
      <c r="X34" s="1565"/>
      <c r="Y34" s="3406"/>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6"/>
      <c r="Q35" s="1603">
        <f t="shared" si="11"/>
        <v>111</v>
      </c>
      <c r="R35" s="1575" t="s">
        <v>8</v>
      </c>
      <c r="S35" s="1576">
        <f t="shared" si="12"/>
        <v>100</v>
      </c>
      <c r="T35" s="1575" t="s">
        <v>8</v>
      </c>
      <c r="U35" s="1576">
        <f t="shared" si="13"/>
        <v>100</v>
      </c>
      <c r="V35" s="1575" t="s">
        <v>8</v>
      </c>
      <c r="W35" s="1576">
        <f t="shared" si="14"/>
        <v>100</v>
      </c>
      <c r="X35" s="1577"/>
      <c r="Y35" s="3406"/>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6"/>
      <c r="Q36" s="1570">
        <f t="shared" si="11"/>
        <v>111</v>
      </c>
      <c r="R36" s="1571" t="s">
        <v>8</v>
      </c>
      <c r="S36" s="1572">
        <f t="shared" si="12"/>
        <v>100</v>
      </c>
      <c r="T36" s="1571" t="s">
        <v>8</v>
      </c>
      <c r="U36" s="1572">
        <f t="shared" si="13"/>
        <v>100</v>
      </c>
      <c r="V36" s="1571" t="s">
        <v>8</v>
      </c>
      <c r="W36" s="1572">
        <f t="shared" si="14"/>
        <v>100</v>
      </c>
      <c r="X36" s="1565"/>
      <c r="Y36" s="3406"/>
      <c r="Z36" s="1573">
        <f t="shared" si="15"/>
        <v>111</v>
      </c>
      <c r="AA36" s="1574">
        <f t="shared" si="3"/>
        <v>1</v>
      </c>
      <c r="AB36" s="1574">
        <f t="shared" si="4"/>
        <v>1</v>
      </c>
      <c r="AC36" s="1574">
        <f t="shared" si="5"/>
        <v>1</v>
      </c>
    </row>
    <row r="37" spans="1:29" ht="15">
      <c r="A37" s="1844" t="s">
        <v>2078</v>
      </c>
      <c r="B37" s="1845" t="s">
        <v>2079</v>
      </c>
      <c r="C37" s="2604" t="s">
        <v>1</v>
      </c>
      <c r="D37" s="2605"/>
      <c r="E37" s="2606"/>
      <c r="F37" s="2607"/>
      <c r="G37" s="2608"/>
      <c r="H37" s="2609"/>
      <c r="I37" s="2606"/>
      <c r="J37" s="2609"/>
      <c r="K37" s="1609"/>
      <c r="L37" s="2142"/>
      <c r="M37" s="2143"/>
      <c r="N37" s="2132"/>
      <c r="O37" s="2143"/>
      <c r="P37" s="3369" t="str">
        <f>A37</f>
        <v>成交单价</v>
      </c>
      <c r="Q37" s="3369"/>
      <c r="R37" s="3460">
        <f>E37</f>
        <v>0</v>
      </c>
      <c r="S37" s="3460"/>
      <c r="T37" s="3460">
        <f>G37</f>
        <v>0</v>
      </c>
      <c r="U37" s="3460"/>
      <c r="V37" s="3460">
        <f>I37</f>
        <v>0</v>
      </c>
      <c r="W37" s="3460"/>
      <c r="X37" s="1557"/>
      <c r="Y37" s="1579"/>
      <c r="Z37" s="1557"/>
      <c r="AA37" s="1557"/>
      <c r="AB37" s="1557"/>
      <c r="AC37" s="1557"/>
    </row>
    <row r="38" spans="1:29" ht="15.75" thickBot="1">
      <c r="A38" s="614" t="s">
        <v>2760</v>
      </c>
      <c r="B38" s="886"/>
      <c r="C38" s="2610" t="e">
        <f>R39</f>
        <v>#DIV/0!</v>
      </c>
      <c r="D38" s="2611"/>
      <c r="E38" s="2612" t="e">
        <f>R38</f>
        <v>#DIV/0!</v>
      </c>
      <c r="F38" s="2612"/>
      <c r="G38" s="2610" t="e">
        <f>T38</f>
        <v>#DIV/0!</v>
      </c>
      <c r="H38" s="2611"/>
      <c r="I38" s="2612" t="e">
        <f>V38</f>
        <v>#DIV/0!</v>
      </c>
      <c r="J38" s="2611"/>
      <c r="K38" s="1610"/>
      <c r="L38" s="2142"/>
      <c r="M38" s="2143"/>
      <c r="N38" s="2143"/>
      <c r="O38" s="2143"/>
      <c r="P38" s="3369" t="str">
        <f>A38</f>
        <v>比较价格（元/平方米）</v>
      </c>
      <c r="Q38" s="336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57"/>
      <c r="Y38" s="1557"/>
      <c r="Z38" s="1557"/>
      <c r="AA38" s="1557"/>
      <c r="AB38" s="1557"/>
      <c r="AC38" s="1557"/>
    </row>
    <row r="39" spans="1:29" ht="15.75" thickBot="1">
      <c r="A39" s="620" t="s">
        <v>2936</v>
      </c>
      <c r="B39" s="621"/>
      <c r="C39" s="2613" t="e">
        <f>R39</f>
        <v>#DIV/0!</v>
      </c>
      <c r="D39" s="2613"/>
      <c r="E39" s="2613"/>
      <c r="F39" s="2613"/>
      <c r="G39" s="2613"/>
      <c r="H39" s="2613"/>
      <c r="I39" s="2613"/>
      <c r="J39" s="2613"/>
      <c r="K39" s="1611"/>
      <c r="L39" s="2142"/>
      <c r="M39" s="2143"/>
      <c r="N39" s="2143"/>
      <c r="O39" s="2143"/>
      <c r="P39" s="3366" t="str">
        <f>A39</f>
        <v>估价对象XX用房的比较价格（楼面单价，元/平方米）</v>
      </c>
      <c r="Q39" s="3367"/>
      <c r="R39" s="3459" t="e">
        <f>IF(F1="售价",ROUND(AVERAGE(R38:V38),0),ROUND(AVERAGE(R38:V38),1))</f>
        <v>#DIV/0!</v>
      </c>
      <c r="S39" s="3459"/>
      <c r="T39" s="3459"/>
      <c r="U39" s="3459"/>
      <c r="V39" s="3459"/>
      <c r="W39" s="3459"/>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778" t="str">
        <f>YEAR(C7)&amp;"-"&amp;MONTH(C7)</f>
        <v>2019-1</v>
      </c>
      <c r="D48" s="2780">
        <f>EDATE(C48,-1)</f>
        <v>43435</v>
      </c>
      <c r="E48" s="2780">
        <f t="shared" ref="E48:O48" si="16">EDATE(D48,-1)</f>
        <v>43405</v>
      </c>
      <c r="F48" s="2780">
        <f t="shared" si="16"/>
        <v>43374</v>
      </c>
      <c r="G48" s="2780">
        <f t="shared" si="16"/>
        <v>43344</v>
      </c>
      <c r="H48" s="2780">
        <f t="shared" si="16"/>
        <v>43313</v>
      </c>
      <c r="I48" s="2780">
        <f t="shared" si="16"/>
        <v>43282</v>
      </c>
      <c r="J48" s="2780">
        <f t="shared" si="16"/>
        <v>43252</v>
      </c>
      <c r="K48" s="2780">
        <f t="shared" si="16"/>
        <v>43221</v>
      </c>
      <c r="L48" s="2780">
        <f t="shared" si="16"/>
        <v>43191</v>
      </c>
      <c r="M48" s="2780">
        <f t="shared" si="16"/>
        <v>43160</v>
      </c>
      <c r="N48" s="2780">
        <f t="shared" si="16"/>
        <v>43132</v>
      </c>
      <c r="O48" s="2780">
        <f t="shared" si="16"/>
        <v>43101</v>
      </c>
      <c r="P48" s="2158"/>
      <c r="Q48" s="2159"/>
      <c r="R48" s="2159"/>
      <c r="S48" s="2159"/>
      <c r="T48" s="2159"/>
      <c r="U48" s="2159"/>
      <c r="V48" s="2159"/>
      <c r="W48" s="2159"/>
      <c r="X48" s="2159"/>
      <c r="Y48" s="2159"/>
      <c r="Z48" s="2159"/>
      <c r="AA48" s="2159"/>
      <c r="AB48" s="2159"/>
      <c r="AC48" s="2159"/>
    </row>
    <row r="49" spans="1:29" s="1218"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2558</v>
      </c>
      <c r="C67" s="2575" t="s">
        <v>2559</v>
      </c>
      <c r="D67" s="2575" t="s">
        <v>2560</v>
      </c>
      <c r="E67" s="2575" t="s">
        <v>2561</v>
      </c>
      <c r="F67" s="2575" t="s">
        <v>2562</v>
      </c>
      <c r="G67" s="2575" t="s">
        <v>2563</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75" t="s">
        <v>798</v>
      </c>
      <c r="D4" s="3376"/>
      <c r="E4" s="3409" t="s">
        <v>799</v>
      </c>
      <c r="F4" s="3410"/>
      <c r="G4" s="3375" t="s">
        <v>800</v>
      </c>
      <c r="H4" s="3376"/>
      <c r="I4" s="3375" t="s">
        <v>801</v>
      </c>
      <c r="J4" s="3376"/>
      <c r="K4" s="513" t="s">
        <v>802</v>
      </c>
      <c r="L4" s="2131"/>
      <c r="M4" s="2132"/>
      <c r="N4" s="2132"/>
      <c r="O4" s="2132"/>
      <c r="P4" s="3377" t="s">
        <v>803</v>
      </c>
      <c r="Q4" s="3378"/>
      <c r="R4" s="3383" t="s">
        <v>799</v>
      </c>
      <c r="S4" s="3384"/>
      <c r="T4" s="3383" t="s">
        <v>800</v>
      </c>
      <c r="U4" s="3384"/>
      <c r="V4" s="3370" t="s">
        <v>801</v>
      </c>
      <c r="W4" s="3370"/>
      <c r="X4" s="1565"/>
      <c r="Y4" s="3383" t="s">
        <v>803</v>
      </c>
      <c r="Z4" s="3384"/>
      <c r="AA4" s="3372" t="s">
        <v>799</v>
      </c>
      <c r="AB4" s="3373" t="s">
        <v>800</v>
      </c>
      <c r="AC4" s="3372" t="s">
        <v>801</v>
      </c>
    </row>
    <row r="5" spans="1:29" ht="15">
      <c r="A5" s="514"/>
      <c r="B5" s="515"/>
      <c r="C5" s="3391" t="s">
        <v>2930</v>
      </c>
      <c r="D5" s="3392"/>
      <c r="E5" s="3411" t="s">
        <v>2931</v>
      </c>
      <c r="F5" s="3412"/>
      <c r="G5" s="3391" t="s">
        <v>2932</v>
      </c>
      <c r="H5" s="3392"/>
      <c r="I5" s="3391" t="s">
        <v>2933</v>
      </c>
      <c r="J5" s="3392"/>
      <c r="K5" s="513"/>
      <c r="L5" s="2131"/>
      <c r="M5" s="2132"/>
      <c r="N5" s="2132"/>
      <c r="O5" s="2132"/>
      <c r="P5" s="3379"/>
      <c r="Q5" s="3380"/>
      <c r="R5" s="3385"/>
      <c r="S5" s="3386"/>
      <c r="T5" s="3385"/>
      <c r="U5" s="3386"/>
      <c r="V5" s="3370"/>
      <c r="W5" s="3370"/>
      <c r="X5" s="1565"/>
      <c r="Y5" s="3385"/>
      <c r="Z5" s="3386"/>
      <c r="AA5" s="3373"/>
      <c r="AB5" s="3373"/>
      <c r="AC5" s="3373"/>
    </row>
    <row r="6" spans="1:29" ht="15.75" thickBot="1">
      <c r="A6" s="516"/>
      <c r="B6" s="517"/>
      <c r="C6" s="3389" t="s">
        <v>2934</v>
      </c>
      <c r="D6" s="3390"/>
      <c r="E6" s="3407" t="s">
        <v>2934</v>
      </c>
      <c r="F6" s="3408"/>
      <c r="G6" s="3389" t="s">
        <v>2934</v>
      </c>
      <c r="H6" s="3390"/>
      <c r="I6" s="3389" t="s">
        <v>2934</v>
      </c>
      <c r="J6" s="3390"/>
      <c r="K6" s="513" t="s">
        <v>528</v>
      </c>
      <c r="L6" s="2131"/>
      <c r="M6" s="2132"/>
      <c r="N6" s="2132"/>
      <c r="O6" s="2132"/>
      <c r="P6" s="3381"/>
      <c r="Q6" s="3382"/>
      <c r="R6" s="3385"/>
      <c r="S6" s="3386"/>
      <c r="T6" s="3387"/>
      <c r="U6" s="3388"/>
      <c r="V6" s="3370"/>
      <c r="W6" s="3370"/>
      <c r="X6" s="1565"/>
      <c r="Y6" s="3387"/>
      <c r="Z6" s="3388"/>
      <c r="AA6" s="3374"/>
      <c r="AB6" s="3374"/>
      <c r="AC6" s="3374"/>
    </row>
    <row r="7" spans="1:29" s="1218" customFormat="1" ht="15.75" thickBot="1">
      <c r="A7" s="2888"/>
      <c r="B7" s="2895" t="s">
        <v>529</v>
      </c>
      <c r="C7" s="518">
        <f>'数据-取费表'!B2</f>
        <v>43475</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00" t="s">
        <v>530</v>
      </c>
      <c r="Q7" s="3402"/>
      <c r="R7" s="1566" t="s">
        <v>8</v>
      </c>
      <c r="S7" s="1567">
        <f t="shared" ref="S7:S14" si="0">F7</f>
        <v>0</v>
      </c>
      <c r="T7" s="1566" t="s">
        <v>8</v>
      </c>
      <c r="U7" s="1567">
        <f t="shared" ref="U7:U14" si="1">H7</f>
        <v>0</v>
      </c>
      <c r="V7" s="1566" t="s">
        <v>8</v>
      </c>
      <c r="W7" s="1567">
        <f t="shared" ref="W7:W14" si="2">J7</f>
        <v>0</v>
      </c>
      <c r="X7" s="1568"/>
      <c r="Y7" s="3400" t="s">
        <v>530</v>
      </c>
      <c r="Z7" s="3401"/>
      <c r="AA7" s="1569" t="e">
        <f>D7/F7</f>
        <v>#DIV/0!</v>
      </c>
      <c r="AB7" s="1569" t="e">
        <f>D7/H7</f>
        <v>#DIV/0!</v>
      </c>
      <c r="AC7" s="1569" t="e">
        <f>D7/J7</f>
        <v>#DIV/0!</v>
      </c>
    </row>
    <row r="8" spans="1:29" s="1218"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00" t="s">
        <v>533</v>
      </c>
      <c r="Q8" s="3401"/>
      <c r="R8" s="1566" t="s">
        <v>8</v>
      </c>
      <c r="S8" s="1567">
        <f t="shared" si="0"/>
        <v>0</v>
      </c>
      <c r="T8" s="1566" t="s">
        <v>8</v>
      </c>
      <c r="U8" s="1567">
        <f t="shared" si="1"/>
        <v>0</v>
      </c>
      <c r="V8" s="1566" t="s">
        <v>8</v>
      </c>
      <c r="W8" s="1567">
        <f t="shared" si="2"/>
        <v>0</v>
      </c>
      <c r="X8" s="1568"/>
      <c r="Y8" s="3400" t="s">
        <v>533</v>
      </c>
      <c r="Z8" s="3401"/>
      <c r="AA8" s="1569" t="e">
        <f t="shared" ref="AA8:AA34" si="3">D8/F8</f>
        <v>#DIV/0!</v>
      </c>
      <c r="AB8" s="1569" t="e">
        <f t="shared" ref="AB8:AB34" si="4">D8/H8</f>
        <v>#DIV/0!</v>
      </c>
      <c r="AC8" s="1569" t="e">
        <f t="shared" ref="AC8:AC34" si="5">D8/J8</f>
        <v>#DIV/0!</v>
      </c>
    </row>
    <row r="9" spans="1:29" s="1218" customFormat="1" ht="15">
      <c r="A9" s="2890"/>
      <c r="B9" s="2897"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69" t="s">
        <v>535</v>
      </c>
      <c r="Q9" s="1149" t="str">
        <f t="shared" ref="Q9:Q14" si="6">B9</f>
        <v>用途</v>
      </c>
      <c r="R9" s="1566" t="s">
        <v>8</v>
      </c>
      <c r="S9" s="1567">
        <f t="shared" si="0"/>
        <v>100</v>
      </c>
      <c r="T9" s="1566" t="s">
        <v>8</v>
      </c>
      <c r="U9" s="1567">
        <f t="shared" si="1"/>
        <v>100</v>
      </c>
      <c r="V9" s="1566" t="s">
        <v>8</v>
      </c>
      <c r="W9" s="1567">
        <f t="shared" si="2"/>
        <v>100</v>
      </c>
      <c r="X9" s="1568"/>
      <c r="Y9" s="3315"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69"/>
      <c r="Q10" s="1149" t="str">
        <f t="shared" si="6"/>
        <v>土地使用年限（年）</v>
      </c>
      <c r="R10" s="1566" t="s">
        <v>8</v>
      </c>
      <c r="S10" s="1567">
        <f t="shared" si="0"/>
        <v>100</v>
      </c>
      <c r="T10" s="1566" t="s">
        <v>8</v>
      </c>
      <c r="U10" s="1567">
        <f t="shared" si="1"/>
        <v>100</v>
      </c>
      <c r="V10" s="1566" t="s">
        <v>8</v>
      </c>
      <c r="W10" s="1567">
        <f t="shared" si="2"/>
        <v>100</v>
      </c>
      <c r="X10" s="1568"/>
      <c r="Y10" s="3315"/>
      <c r="Z10" s="1148" t="str">
        <f t="shared" si="7"/>
        <v>土地使用年限（年）</v>
      </c>
      <c r="AA10" s="1569">
        <f t="shared" si="3"/>
        <v>1</v>
      </c>
      <c r="AB10" s="1569">
        <f t="shared" si="4"/>
        <v>1</v>
      </c>
      <c r="AC10" s="1569">
        <f t="shared" si="5"/>
        <v>1</v>
      </c>
    </row>
    <row r="11" spans="1:29" ht="15">
      <c r="A11" s="2893"/>
      <c r="B11" s="2899">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369"/>
      <c r="Q11" s="1149">
        <f t="shared" si="6"/>
        <v>111</v>
      </c>
      <c r="R11" s="1566" t="s">
        <v>8</v>
      </c>
      <c r="S11" s="1567">
        <f t="shared" si="0"/>
        <v>100</v>
      </c>
      <c r="T11" s="1566" t="s">
        <v>8</v>
      </c>
      <c r="U11" s="1567">
        <f t="shared" si="1"/>
        <v>100</v>
      </c>
      <c r="V11" s="1566" t="s">
        <v>8</v>
      </c>
      <c r="W11" s="1567">
        <f t="shared" si="2"/>
        <v>100</v>
      </c>
      <c r="X11" s="1568"/>
      <c r="Y11" s="3315"/>
      <c r="Z11" s="1148">
        <f t="shared" si="7"/>
        <v>111</v>
      </c>
      <c r="AA11" s="1569">
        <f t="shared" si="3"/>
        <v>1</v>
      </c>
      <c r="AB11" s="1569">
        <f t="shared" si="4"/>
        <v>1</v>
      </c>
      <c r="AC11" s="1569">
        <f t="shared" si="5"/>
        <v>1</v>
      </c>
    </row>
    <row r="12" spans="1:29" s="1218" customFormat="1" ht="15">
      <c r="A12" s="2893"/>
      <c r="B12" s="2899">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369"/>
      <c r="Q12" s="1149">
        <f t="shared" si="6"/>
        <v>111</v>
      </c>
      <c r="R12" s="1566" t="s">
        <v>8</v>
      </c>
      <c r="S12" s="1567">
        <f t="shared" si="0"/>
        <v>100</v>
      </c>
      <c r="T12" s="1566" t="s">
        <v>8</v>
      </c>
      <c r="U12" s="1567">
        <f t="shared" si="1"/>
        <v>100</v>
      </c>
      <c r="V12" s="1566" t="s">
        <v>8</v>
      </c>
      <c r="W12" s="1567">
        <f t="shared" si="2"/>
        <v>100</v>
      </c>
      <c r="X12" s="1568"/>
      <c r="Y12" s="3315"/>
      <c r="Z12" s="1148">
        <f t="shared" si="7"/>
        <v>111</v>
      </c>
      <c r="AA12" s="1569">
        <f>D12/F12</f>
        <v>1</v>
      </c>
      <c r="AB12" s="1569">
        <f>D12/H12</f>
        <v>1</v>
      </c>
      <c r="AC12" s="1569">
        <f>D12/J12</f>
        <v>1</v>
      </c>
    </row>
    <row r="13" spans="1:29" ht="15.75" thickBot="1">
      <c r="A13" s="2894"/>
      <c r="B13" s="2900">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369"/>
      <c r="Q13" s="1149">
        <f t="shared" si="6"/>
        <v>111</v>
      </c>
      <c r="R13" s="1566" t="s">
        <v>8</v>
      </c>
      <c r="S13" s="1567">
        <f t="shared" si="0"/>
        <v>100</v>
      </c>
      <c r="T13" s="1566" t="s">
        <v>8</v>
      </c>
      <c r="U13" s="1567">
        <f t="shared" si="1"/>
        <v>100</v>
      </c>
      <c r="V13" s="1566" t="s">
        <v>8</v>
      </c>
      <c r="W13" s="1567">
        <f t="shared" si="2"/>
        <v>100</v>
      </c>
      <c r="X13" s="1568"/>
      <c r="Y13" s="3315"/>
      <c r="Z13" s="1148">
        <f t="shared" si="7"/>
        <v>111</v>
      </c>
      <c r="AA13" s="1569">
        <f t="shared" si="3"/>
        <v>1</v>
      </c>
      <c r="AB13" s="1569">
        <f t="shared" si="4"/>
        <v>1</v>
      </c>
      <c r="AC13" s="1569">
        <f t="shared" si="5"/>
        <v>1</v>
      </c>
    </row>
    <row r="14" spans="1:29" ht="85.5">
      <c r="A14" s="2886"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03" t="s">
        <v>540</v>
      </c>
      <c r="Q14" s="1570" t="str">
        <f t="shared" si="6"/>
        <v>交通便捷度</v>
      </c>
      <c r="R14" s="1571" t="s">
        <v>8</v>
      </c>
      <c r="S14" s="1572">
        <f t="shared" si="0"/>
        <v>100</v>
      </c>
      <c r="T14" s="1571" t="s">
        <v>8</v>
      </c>
      <c r="U14" s="1572">
        <f t="shared" si="1"/>
        <v>100</v>
      </c>
      <c r="V14" s="1571" t="s">
        <v>8</v>
      </c>
      <c r="W14" s="1572">
        <f t="shared" si="2"/>
        <v>100</v>
      </c>
      <c r="X14" s="1565"/>
      <c r="Y14" s="3403"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0"/>
      <c r="M15" s="2132"/>
      <c r="N15" s="2132"/>
      <c r="O15" s="2139"/>
      <c r="P15" s="3404"/>
      <c r="Q15" s="1570"/>
      <c r="R15" s="1571"/>
      <c r="S15" s="1572"/>
      <c r="T15" s="1571"/>
      <c r="U15" s="1572"/>
      <c r="V15" s="1571"/>
      <c r="W15" s="1572"/>
      <c r="X15" s="1565"/>
      <c r="Y15" s="3404"/>
      <c r="Z15" s="1573"/>
      <c r="AA15" s="1574">
        <v>1</v>
      </c>
      <c r="AB15" s="1574">
        <v>1</v>
      </c>
      <c r="AC15" s="1574">
        <v>1</v>
      </c>
    </row>
    <row r="16" spans="1:29" ht="42.75">
      <c r="A16" s="531"/>
      <c r="B16" s="2580"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04"/>
      <c r="Q16" s="1570" t="str">
        <f>B16</f>
        <v>公共配套设施</v>
      </c>
      <c r="R16" s="1571" t="s">
        <v>8</v>
      </c>
      <c r="S16" s="1572">
        <f>F16</f>
        <v>100</v>
      </c>
      <c r="T16" s="1571" t="s">
        <v>8</v>
      </c>
      <c r="U16" s="1572">
        <f>H16</f>
        <v>100</v>
      </c>
      <c r="V16" s="1571" t="s">
        <v>8</v>
      </c>
      <c r="W16" s="1572">
        <f>J16</f>
        <v>100</v>
      </c>
      <c r="X16" s="1565"/>
      <c r="Y16" s="3404"/>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0"/>
      <c r="M17" s="2132"/>
      <c r="N17" s="2132"/>
      <c r="O17" s="2139"/>
      <c r="P17" s="3404"/>
      <c r="Q17" s="1570"/>
      <c r="R17" s="1571"/>
      <c r="S17" s="1572"/>
      <c r="T17" s="1571"/>
      <c r="U17" s="1572"/>
      <c r="V17" s="1571"/>
      <c r="W17" s="1572"/>
      <c r="X17" s="1565"/>
      <c r="Y17" s="3404"/>
      <c r="Z17" s="1573"/>
      <c r="AA17" s="1574">
        <v>1</v>
      </c>
      <c r="AB17" s="1574">
        <v>1</v>
      </c>
      <c r="AC17" s="1574">
        <v>1</v>
      </c>
    </row>
    <row r="18" spans="1:29" ht="28.5">
      <c r="A18" s="531"/>
      <c r="B18" s="2568"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04"/>
      <c r="Q18" s="2556" t="str">
        <f>B18</f>
        <v>基础设施水平</v>
      </c>
      <c r="R18" s="1571" t="s">
        <v>8</v>
      </c>
      <c r="S18" s="1572">
        <f>F18</f>
        <v>100</v>
      </c>
      <c r="T18" s="1571" t="s">
        <v>8</v>
      </c>
      <c r="U18" s="1572">
        <f>H18</f>
        <v>100</v>
      </c>
      <c r="V18" s="1571" t="s">
        <v>8</v>
      </c>
      <c r="W18" s="1572">
        <f>J18</f>
        <v>100</v>
      </c>
      <c r="X18" s="2558"/>
      <c r="Y18" s="3404"/>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404"/>
      <c r="Q19" s="2556"/>
      <c r="R19" s="1571"/>
      <c r="S19" s="1572"/>
      <c r="T19" s="1571"/>
      <c r="U19" s="1572"/>
      <c r="V19" s="1571"/>
      <c r="W19" s="1572"/>
      <c r="X19" s="2558"/>
      <c r="Y19" s="3404"/>
      <c r="Z19" s="2557"/>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04"/>
      <c r="Q20" s="1570" t="str">
        <f>B20</f>
        <v>自然及人文环境</v>
      </c>
      <c r="R20" s="1571" t="s">
        <v>8</v>
      </c>
      <c r="S20" s="1572">
        <f>F20</f>
        <v>100</v>
      </c>
      <c r="T20" s="1571" t="s">
        <v>8</v>
      </c>
      <c r="U20" s="1572">
        <f>H20</f>
        <v>100</v>
      </c>
      <c r="V20" s="1571" t="s">
        <v>8</v>
      </c>
      <c r="W20" s="1572">
        <f>J20</f>
        <v>100</v>
      </c>
      <c r="X20" s="1565"/>
      <c r="Y20" s="3404"/>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0"/>
      <c r="M21" s="2132"/>
      <c r="N21" s="2132"/>
      <c r="O21" s="2139"/>
      <c r="P21" s="3404"/>
      <c r="Q21" s="1570"/>
      <c r="R21" s="1571"/>
      <c r="S21" s="1572"/>
      <c r="T21" s="1571"/>
      <c r="U21" s="1572"/>
      <c r="V21" s="1571"/>
      <c r="W21" s="1572"/>
      <c r="X21" s="1565"/>
      <c r="Y21" s="3404"/>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4"/>
      <c r="Q23" s="1570">
        <f>B23</f>
        <v>111</v>
      </c>
      <c r="R23" s="1571" t="s">
        <v>8</v>
      </c>
      <c r="S23" s="1572">
        <f>F23</f>
        <v>100</v>
      </c>
      <c r="T23" s="1571" t="s">
        <v>8</v>
      </c>
      <c r="U23" s="1572">
        <f>H23</f>
        <v>100</v>
      </c>
      <c r="V23" s="1571" t="s">
        <v>8</v>
      </c>
      <c r="W23" s="1572">
        <f>J23</f>
        <v>100</v>
      </c>
      <c r="X23" s="1565"/>
      <c r="Y23" s="3404"/>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4"/>
      <c r="Q24" s="1570">
        <f t="shared" ref="Q24:Q34" si="11">B24</f>
        <v>111</v>
      </c>
      <c r="R24" s="1571" t="s">
        <v>8</v>
      </c>
      <c r="S24" s="1572">
        <f>F24</f>
        <v>100</v>
      </c>
      <c r="T24" s="1571" t="s">
        <v>8</v>
      </c>
      <c r="U24" s="1572">
        <f>H24</f>
        <v>100</v>
      </c>
      <c r="V24" s="1571" t="s">
        <v>8</v>
      </c>
      <c r="W24" s="1572">
        <f>J24</f>
        <v>100</v>
      </c>
      <c r="X24" s="1565"/>
      <c r="Y24" s="3404"/>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04"/>
      <c r="Q25" s="1149">
        <f t="shared" si="11"/>
        <v>111</v>
      </c>
      <c r="R25" s="1566" t="s">
        <v>8</v>
      </c>
      <c r="S25" s="1567">
        <f>F25</f>
        <v>100</v>
      </c>
      <c r="T25" s="1566" t="s">
        <v>8</v>
      </c>
      <c r="U25" s="1567">
        <f>H25</f>
        <v>100</v>
      </c>
      <c r="V25" s="1566" t="s">
        <v>8</v>
      </c>
      <c r="W25" s="1567">
        <f>J25</f>
        <v>100</v>
      </c>
      <c r="X25" s="1568"/>
      <c r="Y25" s="3404"/>
      <c r="Z25" s="1148">
        <f>Q25</f>
        <v>111</v>
      </c>
      <c r="AA25" s="1574">
        <f>D25/F25</f>
        <v>1</v>
      </c>
      <c r="AB25" s="1574">
        <f>D25/H25</f>
        <v>1</v>
      </c>
      <c r="AC25" s="1574">
        <f>D25/J25</f>
        <v>1</v>
      </c>
    </row>
    <row r="26" spans="1:29" ht="15">
      <c r="A26" s="288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05"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6"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06"/>
      <c r="Q27" s="1603" t="str">
        <f t="shared" si="11"/>
        <v>成新率</v>
      </c>
      <c r="R27" s="1575" t="s">
        <v>8</v>
      </c>
      <c r="S27" s="1576" t="e">
        <f t="shared" si="12"/>
        <v>#N/A</v>
      </c>
      <c r="T27" s="1575" t="s">
        <v>8</v>
      </c>
      <c r="U27" s="1576" t="e">
        <f t="shared" si="13"/>
        <v>#N/A</v>
      </c>
      <c r="V27" s="1575" t="s">
        <v>8</v>
      </c>
      <c r="W27" s="1576" t="e">
        <f t="shared" si="14"/>
        <v>#N/A</v>
      </c>
      <c r="X27" s="1577"/>
      <c r="Y27" s="3406"/>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6"/>
      <c r="Q28" s="1570" t="str">
        <f t="shared" si="11"/>
        <v>物业等级</v>
      </c>
      <c r="R28" s="1571" t="s">
        <v>8</v>
      </c>
      <c r="S28" s="1572">
        <f t="shared" si="12"/>
        <v>100</v>
      </c>
      <c r="T28" s="1571" t="s">
        <v>8</v>
      </c>
      <c r="U28" s="1572">
        <f t="shared" si="13"/>
        <v>100</v>
      </c>
      <c r="V28" s="1571" t="s">
        <v>8</v>
      </c>
      <c r="W28" s="1572">
        <f t="shared" si="14"/>
        <v>100</v>
      </c>
      <c r="X28" s="1565"/>
      <c r="Y28" s="3406"/>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06"/>
      <c r="Q29" s="1570" t="str">
        <f t="shared" si="11"/>
        <v>有无电梯</v>
      </c>
      <c r="R29" s="1571" t="s">
        <v>8</v>
      </c>
      <c r="S29" s="1572">
        <f t="shared" si="12"/>
        <v>100</v>
      </c>
      <c r="T29" s="1571" t="s">
        <v>8</v>
      </c>
      <c r="U29" s="1572">
        <f t="shared" si="13"/>
        <v>100</v>
      </c>
      <c r="V29" s="1571" t="s">
        <v>8</v>
      </c>
      <c r="W29" s="1572">
        <f t="shared" si="14"/>
        <v>100</v>
      </c>
      <c r="X29" s="1565"/>
      <c r="Y29" s="3406"/>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06"/>
      <c r="Q30" s="1570" t="str">
        <f t="shared" si="11"/>
        <v>建筑面积</v>
      </c>
      <c r="R30" s="1571" t="s">
        <v>8</v>
      </c>
      <c r="S30" s="1572" t="e">
        <f t="shared" si="12"/>
        <v>#N/A</v>
      </c>
      <c r="T30" s="1571" t="s">
        <v>8</v>
      </c>
      <c r="U30" s="1572" t="e">
        <f t="shared" si="13"/>
        <v>#N/A</v>
      </c>
      <c r="V30" s="1571" t="s">
        <v>8</v>
      </c>
      <c r="W30" s="1572" t="e">
        <f t="shared" si="14"/>
        <v>#N/A</v>
      </c>
      <c r="X30" s="1565"/>
      <c r="Y30" s="3406"/>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06"/>
      <c r="Q31" s="1149" t="str">
        <f t="shared" si="11"/>
        <v>是否封闭</v>
      </c>
      <c r="R31" s="1566" t="s">
        <v>8</v>
      </c>
      <c r="S31" s="1567">
        <f t="shared" si="12"/>
        <v>100</v>
      </c>
      <c r="T31" s="1566" t="s">
        <v>8</v>
      </c>
      <c r="U31" s="1567">
        <f t="shared" si="13"/>
        <v>100</v>
      </c>
      <c r="V31" s="1566" t="s">
        <v>8</v>
      </c>
      <c r="W31" s="1567">
        <f t="shared" si="14"/>
        <v>100</v>
      </c>
      <c r="X31" s="1568"/>
      <c r="Y31" s="3406"/>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06" t="s">
        <v>550</v>
      </c>
      <c r="Q32" s="1570">
        <f t="shared" si="11"/>
        <v>111</v>
      </c>
      <c r="R32" s="1571" t="s">
        <v>8</v>
      </c>
      <c r="S32" s="1572">
        <f t="shared" si="12"/>
        <v>100</v>
      </c>
      <c r="T32" s="1571" t="s">
        <v>8</v>
      </c>
      <c r="U32" s="1572">
        <f t="shared" si="13"/>
        <v>100</v>
      </c>
      <c r="V32" s="1571" t="s">
        <v>8</v>
      </c>
      <c r="W32" s="1572">
        <f t="shared" si="14"/>
        <v>100</v>
      </c>
      <c r="X32" s="1565"/>
      <c r="Y32" s="3406"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06"/>
      <c r="Q33" s="1570">
        <f t="shared" si="11"/>
        <v>111</v>
      </c>
      <c r="R33" s="1571" t="s">
        <v>8</v>
      </c>
      <c r="S33" s="1572">
        <f t="shared" si="12"/>
        <v>100</v>
      </c>
      <c r="T33" s="1571" t="s">
        <v>8</v>
      </c>
      <c r="U33" s="1572">
        <f t="shared" si="13"/>
        <v>100</v>
      </c>
      <c r="V33" s="1571" t="s">
        <v>8</v>
      </c>
      <c r="W33" s="1572">
        <f t="shared" si="14"/>
        <v>100</v>
      </c>
      <c r="X33" s="1565"/>
      <c r="Y33" s="3406"/>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06"/>
      <c r="Q34" s="1570">
        <f t="shared" si="11"/>
        <v>111</v>
      </c>
      <c r="R34" s="1571" t="s">
        <v>8</v>
      </c>
      <c r="S34" s="1572">
        <f t="shared" si="12"/>
        <v>100</v>
      </c>
      <c r="T34" s="1571" t="s">
        <v>8</v>
      </c>
      <c r="U34" s="1572">
        <f t="shared" si="13"/>
        <v>100</v>
      </c>
      <c r="V34" s="1571" t="s">
        <v>8</v>
      </c>
      <c r="W34" s="1572">
        <f t="shared" si="14"/>
        <v>100</v>
      </c>
      <c r="X34" s="1565"/>
      <c r="Y34" s="3406"/>
      <c r="Z34" s="1573">
        <f t="shared" si="15"/>
        <v>111</v>
      </c>
      <c r="AA34" s="1574">
        <f t="shared" si="3"/>
        <v>1</v>
      </c>
      <c r="AB34" s="1574">
        <f t="shared" si="4"/>
        <v>1</v>
      </c>
      <c r="AC34" s="1574">
        <f t="shared" si="5"/>
        <v>1</v>
      </c>
    </row>
    <row r="35" spans="1:29" ht="15">
      <c r="A35" s="606" t="s">
        <v>736</v>
      </c>
      <c r="B35" s="885"/>
      <c r="C35" s="2604" t="s">
        <v>1</v>
      </c>
      <c r="D35" s="2605"/>
      <c r="E35" s="2606"/>
      <c r="F35" s="2607"/>
      <c r="G35" s="2608"/>
      <c r="H35" s="2609"/>
      <c r="I35" s="2606"/>
      <c r="J35" s="2609"/>
      <c r="K35" s="1609"/>
      <c r="L35" s="2142"/>
      <c r="M35" s="2143"/>
      <c r="N35" s="2132"/>
      <c r="O35" s="2143"/>
      <c r="P35" s="3369" t="str">
        <f>A35</f>
        <v>成交单价（元/平方米）</v>
      </c>
      <c r="Q35" s="3369"/>
      <c r="R35" s="3460">
        <f>E35</f>
        <v>0</v>
      </c>
      <c r="S35" s="3460"/>
      <c r="T35" s="3460">
        <f>G35</f>
        <v>0</v>
      </c>
      <c r="U35" s="3460"/>
      <c r="V35" s="3460">
        <f>I35</f>
        <v>0</v>
      </c>
      <c r="W35" s="3460"/>
      <c r="X35" s="1557"/>
      <c r="Y35" s="1579"/>
      <c r="Z35" s="1557"/>
      <c r="AA35" s="1557"/>
      <c r="AB35" s="1557"/>
      <c r="AC35" s="1557"/>
    </row>
    <row r="36" spans="1:29" ht="15.75" thickBot="1">
      <c r="A36" s="614" t="s">
        <v>2760</v>
      </c>
      <c r="B36" s="886"/>
      <c r="C36" s="2610" t="e">
        <f>R37</f>
        <v>#DIV/0!</v>
      </c>
      <c r="D36" s="2611"/>
      <c r="E36" s="2612" t="e">
        <f>R36</f>
        <v>#DIV/0!</v>
      </c>
      <c r="F36" s="2612"/>
      <c r="G36" s="2610" t="e">
        <f>T36</f>
        <v>#DIV/0!</v>
      </c>
      <c r="H36" s="2611"/>
      <c r="I36" s="2612" t="e">
        <f>V36</f>
        <v>#DIV/0!</v>
      </c>
      <c r="J36" s="2611"/>
      <c r="K36" s="1610"/>
      <c r="L36" s="2142"/>
      <c r="M36" s="2143"/>
      <c r="N36" s="2132"/>
      <c r="O36" s="2143"/>
      <c r="P36" s="3369" t="str">
        <f>A36</f>
        <v>比较价格（元/平方米）</v>
      </c>
      <c r="Q36" s="336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7"/>
      <c r="Y36" s="1557"/>
      <c r="Z36" s="1557"/>
      <c r="AA36" s="1557"/>
      <c r="AB36" s="1557"/>
      <c r="AC36" s="1557"/>
    </row>
    <row r="37" spans="1:29" ht="15.75" thickBot="1">
      <c r="A37" s="620" t="s">
        <v>2936</v>
      </c>
      <c r="B37" s="621"/>
      <c r="C37" s="2613" t="e">
        <f>R37</f>
        <v>#DIV/0!</v>
      </c>
      <c r="D37" s="2613"/>
      <c r="E37" s="2613"/>
      <c r="F37" s="2613"/>
      <c r="G37" s="2613"/>
      <c r="H37" s="2613"/>
      <c r="I37" s="2613"/>
      <c r="J37" s="2613"/>
      <c r="K37" s="1611"/>
      <c r="L37" s="2142"/>
      <c r="M37" s="2143"/>
      <c r="N37" s="2143"/>
      <c r="O37" s="2143"/>
      <c r="P37" s="3366" t="str">
        <f>A37</f>
        <v>估价对象XX用房的比较价格（楼面单价，元/平方米）</v>
      </c>
      <c r="Q37" s="3367"/>
      <c r="R37" s="3459" t="e">
        <f>IF(F1="售价",ROUND(AVERAGE(R36:V36),0),ROUND(AVERAGE(R36:V36),1))</f>
        <v>#DIV/0!</v>
      </c>
      <c r="S37" s="3459"/>
      <c r="T37" s="3459"/>
      <c r="U37" s="3459"/>
      <c r="V37" s="3459"/>
      <c r="W37" s="3459"/>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4" t="s">
        <v>529</v>
      </c>
      <c r="B46" s="645"/>
      <c r="C46" s="2778" t="str">
        <f>YEAR(C7)&amp;"-"&amp;MONTH(C7)</f>
        <v>2019-1</v>
      </c>
      <c r="D46" s="2780">
        <f>EDATE(C46,-1)</f>
        <v>43435</v>
      </c>
      <c r="E46" s="2780">
        <f t="shared" ref="E46:O46" si="16">EDATE(D46,-1)</f>
        <v>43405</v>
      </c>
      <c r="F46" s="2780">
        <f t="shared" si="16"/>
        <v>43374</v>
      </c>
      <c r="G46" s="2780">
        <f t="shared" si="16"/>
        <v>43344</v>
      </c>
      <c r="H46" s="2780">
        <f t="shared" si="16"/>
        <v>43313</v>
      </c>
      <c r="I46" s="2780">
        <f t="shared" si="16"/>
        <v>43282</v>
      </c>
      <c r="J46" s="2780">
        <f t="shared" si="16"/>
        <v>43252</v>
      </c>
      <c r="K46" s="2780">
        <f t="shared" si="16"/>
        <v>43221</v>
      </c>
      <c r="L46" s="2780">
        <f t="shared" si="16"/>
        <v>43191</v>
      </c>
      <c r="M46" s="2780">
        <f t="shared" si="16"/>
        <v>43160</v>
      </c>
      <c r="N46" s="2780">
        <f t="shared" si="16"/>
        <v>43132</v>
      </c>
      <c r="O46" s="2780">
        <f t="shared" si="16"/>
        <v>43101</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2558</v>
      </c>
      <c r="C65" s="2575" t="s">
        <v>2559</v>
      </c>
      <c r="D65" s="2575" t="s">
        <v>2560</v>
      </c>
      <c r="E65" s="2575" t="s">
        <v>2561</v>
      </c>
      <c r="F65" s="2575" t="s">
        <v>2562</v>
      </c>
      <c r="G65" s="2575" t="s">
        <v>2563</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2304</v>
      </c>
      <c r="C1" s="3496" t="s">
        <v>2305</v>
      </c>
      <c r="D1" s="3497"/>
      <c r="E1" s="3497"/>
      <c r="F1" s="3497"/>
      <c r="G1" s="3497"/>
      <c r="H1" s="3497"/>
      <c r="I1" s="3497"/>
      <c r="J1" s="3497"/>
      <c r="K1" s="3497"/>
      <c r="L1" s="3497"/>
      <c r="M1" s="3497"/>
      <c r="N1" s="3497"/>
      <c r="O1" s="3497"/>
      <c r="P1" s="3497"/>
      <c r="Q1" s="3497"/>
      <c r="R1" s="3497"/>
      <c r="S1" s="3498"/>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3"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5" t="s">
        <v>2928</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5" t="s">
        <v>2927</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3"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3"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3"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3" t="s">
        <v>20</v>
      </c>
      <c r="D22" s="3494"/>
      <c r="E22" s="3494"/>
      <c r="F22" s="3494"/>
      <c r="G22" s="3494"/>
      <c r="H22" s="3494"/>
      <c r="I22" s="3494"/>
      <c r="J22" s="3494"/>
      <c r="K22" s="3494"/>
      <c r="L22" s="3494"/>
      <c r="M22" s="3494"/>
      <c r="N22" s="3494"/>
      <c r="O22" s="3494"/>
      <c r="P22" s="3494"/>
      <c r="Q22" s="3495"/>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93.75">
      <c r="A7" s="2849" t="s">
        <v>2748</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1" t="s">
        <v>2749</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2788</v>
      </c>
      <c r="C1" s="2980">
        <f>项目基本情况!D3</f>
        <v>43475</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2819</v>
      </c>
      <c r="C2" s="2981">
        <f>'数据-取费表'!B22</f>
        <v>2.5</v>
      </c>
      <c r="D2" s="2976" t="s">
        <v>2789</v>
      </c>
      <c r="E2" s="2979">
        <f ca="1">INDIRECT("I"&amp;$I$1)/100</f>
        <v>4.7500000000000001E-2</v>
      </c>
      <c r="G2" s="2916"/>
      <c r="H2" s="2916"/>
      <c r="I2" s="2916" t="s">
        <v>2790</v>
      </c>
      <c r="K2" s="2916"/>
      <c r="L2" s="2916"/>
      <c r="M2" s="2916"/>
      <c r="N2" s="2916" t="s">
        <v>2791</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2821</v>
      </c>
      <c r="C3" s="2978">
        <f>'数据-取费表'!B19</f>
        <v>0</v>
      </c>
      <c r="D3" s="2976" t="s">
        <v>2789</v>
      </c>
      <c r="E3" s="2979">
        <f ca="1">INDIRECT("J"&amp;$J$1)/100</f>
        <v>0</v>
      </c>
      <c r="G3" s="2918" t="s">
        <v>2792</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2820</v>
      </c>
      <c r="C4" s="2979">
        <f ca="1">N4/100</f>
        <v>1.4999999999999999E-2</v>
      </c>
      <c r="G4" s="2924" t="s">
        <v>2793</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2794</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2795</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2796</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2797</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2798</v>
      </c>
      <c r="C10" s="2943"/>
      <c r="D10" s="2943"/>
      <c r="E10" s="2943"/>
      <c r="F10" s="2943"/>
      <c r="G10" s="2943"/>
      <c r="H10" s="2943"/>
      <c r="I10" s="2917"/>
      <c r="J10" s="2917"/>
      <c r="K10" s="2943"/>
      <c r="L10" s="2944" t="s">
        <v>2799</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2800</v>
      </c>
      <c r="C11" s="2948" t="s">
        <v>2801</v>
      </c>
      <c r="D11" s="2949" t="s">
        <v>2802</v>
      </c>
      <c r="E11" s="2950"/>
      <c r="F11" s="2949" t="s">
        <v>2803</v>
      </c>
      <c r="G11" s="2951"/>
      <c r="H11" s="2950"/>
      <c r="I11" s="2949" t="s">
        <v>2804</v>
      </c>
      <c r="J11" s="2950"/>
      <c r="K11" s="2946"/>
      <c r="L11" s="2947" t="s">
        <v>2800</v>
      </c>
      <c r="M11" s="2948" t="s">
        <v>2801</v>
      </c>
      <c r="N11" s="2947" t="s">
        <v>2805</v>
      </c>
      <c r="O11" s="2949" t="s">
        <v>2806</v>
      </c>
      <c r="P11" s="2951"/>
      <c r="Q11" s="2951"/>
      <c r="R11" s="2951"/>
      <c r="S11" s="2951"/>
      <c r="T11" s="2950"/>
      <c r="U11" s="2949" t="s">
        <v>2807</v>
      </c>
      <c r="V11" s="2951"/>
      <c r="W11" s="2950"/>
      <c r="X11" s="2947" t="s">
        <v>2808</v>
      </c>
      <c r="Y11" s="2947" t="s">
        <v>2809</v>
      </c>
      <c r="Z11" s="2947" t="s">
        <v>2810</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2811</v>
      </c>
      <c r="E12" s="2956" t="s">
        <v>2812</v>
      </c>
      <c r="F12" s="2956" t="s">
        <v>2813</v>
      </c>
      <c r="G12" s="2956" t="s">
        <v>2814</v>
      </c>
      <c r="H12" s="2956" t="s">
        <v>2796</v>
      </c>
      <c r="I12" s="2957" t="s">
        <v>2815</v>
      </c>
      <c r="J12" s="2957" t="s">
        <v>2815</v>
      </c>
      <c r="K12" s="2953"/>
      <c r="L12" s="2954"/>
      <c r="M12" s="2955"/>
      <c r="N12" s="2954"/>
      <c r="O12" s="2957" t="s">
        <v>2816</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2817</v>
      </c>
      <c r="C13" s="2961">
        <v>42301</v>
      </c>
      <c r="D13" s="2962">
        <v>4.3499999999999996</v>
      </c>
      <c r="E13" s="2962">
        <v>4.3499999999999996</v>
      </c>
      <c r="F13" s="2962">
        <v>4.75</v>
      </c>
      <c r="G13" s="2962">
        <v>4.75</v>
      </c>
      <c r="H13" s="2962">
        <v>4.9000000000000004</v>
      </c>
      <c r="I13" s="2962">
        <v>2.75</v>
      </c>
      <c r="J13" s="2962">
        <v>3.25</v>
      </c>
      <c r="K13" s="2959"/>
      <c r="L13" s="2960" t="s">
        <v>2817</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2818</v>
      </c>
      <c r="Y42" s="2966" t="s">
        <v>2818</v>
      </c>
      <c r="Z42" s="2966" t="s">
        <v>2818</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2818</v>
      </c>
      <c r="Y43" s="2966" t="s">
        <v>2818</v>
      </c>
      <c r="Z43" s="2966" t="s">
        <v>2818</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2818</v>
      </c>
      <c r="Y44" s="2966" t="s">
        <v>2818</v>
      </c>
      <c r="Z44" s="2966" t="s">
        <v>2818</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2818</v>
      </c>
      <c r="Y45" s="2966" t="s">
        <v>2818</v>
      </c>
      <c r="Z45" s="2966" t="s">
        <v>2818</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2818</v>
      </c>
      <c r="Y46" s="2966" t="s">
        <v>2818</v>
      </c>
      <c r="Z46" s="2966" t="s">
        <v>2818</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2818</v>
      </c>
      <c r="Y47" s="2966" t="s">
        <v>2818</v>
      </c>
      <c r="Z47" s="2966" t="s">
        <v>2818</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2818</v>
      </c>
      <c r="Y48" s="2966" t="s">
        <v>2818</v>
      </c>
      <c r="Z48" s="2966" t="s">
        <v>2818</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2818</v>
      </c>
      <c r="Y49" s="2966" t="s">
        <v>2818</v>
      </c>
      <c r="Z49" s="2966" t="s">
        <v>2818</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2818</v>
      </c>
      <c r="Y50" s="2966" t="s">
        <v>2818</v>
      </c>
      <c r="Z50" s="2966" t="s">
        <v>2818</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2818</v>
      </c>
      <c r="V51" s="2966" t="s">
        <v>2818</v>
      </c>
      <c r="W51" s="2966" t="s">
        <v>2818</v>
      </c>
      <c r="X51" s="2966" t="s">
        <v>2818</v>
      </c>
      <c r="Y51" s="2966" t="s">
        <v>2818</v>
      </c>
      <c r="Z51" s="2966" t="s">
        <v>2818</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2818</v>
      </c>
      <c r="J55" s="2966" t="s">
        <v>2818</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80" zoomScaleNormal="80" workbookViewId="0">
      <selection activeCell="K38" sqref="K38:M39"/>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099" t="s">
        <v>3165</v>
      </c>
      <c r="E1" s="2364" t="s">
        <v>870</v>
      </c>
      <c r="F1" s="2365">
        <f ca="1">J53</f>
        <v>23.81</v>
      </c>
      <c r="G1" s="773">
        <f>MATCH(C1,'数据-取费表'!A6:A16,0)+5</f>
        <v>9</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18582</v>
      </c>
      <c r="C2" s="2055"/>
      <c r="D2" s="2053"/>
      <c r="E2" s="2054"/>
      <c r="F2" s="2054"/>
      <c r="G2" s="1588"/>
      <c r="H2" s="2055"/>
      <c r="I2" s="2055"/>
      <c r="J2" s="2055"/>
      <c r="K2" s="2056"/>
      <c r="L2" s="2055"/>
      <c r="M2" s="2055"/>
    </row>
    <row r="3" spans="1:33" ht="18" customHeight="1" thickBot="1">
      <c r="A3" s="832" t="s">
        <v>519</v>
      </c>
      <c r="B3" s="833">
        <f ca="1">IF(ISERROR(B2*10000/F43),0,ROUND(B2*10000/F43,0))</f>
        <v>2496</v>
      </c>
      <c r="C3" s="2055"/>
      <c r="D3" s="2053"/>
      <c r="E3" s="2054"/>
      <c r="F3" s="2054"/>
      <c r="G3" s="1588"/>
      <c r="H3" s="775" t="s">
        <v>695</v>
      </c>
      <c r="I3" s="1361"/>
      <c r="J3" s="1361"/>
      <c r="K3" s="1589"/>
      <c r="L3" s="1361"/>
      <c r="M3" s="1361"/>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1468</v>
      </c>
      <c r="D5" s="2473" t="s">
        <v>2461</v>
      </c>
      <c r="E5" s="2467"/>
      <c r="F5" s="2468"/>
      <c r="G5" s="1590"/>
      <c r="H5" s="780">
        <v>1</v>
      </c>
      <c r="I5" s="781" t="s">
        <v>2458</v>
      </c>
      <c r="J5" s="55">
        <f ca="1">J6+J10+J12</f>
        <v>0</v>
      </c>
      <c r="K5" s="2473" t="s">
        <v>2461</v>
      </c>
      <c r="L5" s="2467"/>
      <c r="M5" s="2468"/>
    </row>
    <row r="6" spans="1:33" ht="18" customHeight="1">
      <c r="A6" s="1828" t="s">
        <v>1825</v>
      </c>
      <c r="B6" s="3442" t="s">
        <v>2463</v>
      </c>
      <c r="C6" s="782">
        <f ca="1">ROUND(F6*F8*F7*(1-F9)/10000,0)</f>
        <v>1468</v>
      </c>
      <c r="D6" s="2474" t="s">
        <v>2462</v>
      </c>
      <c r="E6" s="783" t="s">
        <v>637</v>
      </c>
      <c r="F6" s="784">
        <f ca="1">INDIRECT("'数据-取费表'!u"&amp;$G$1)</f>
        <v>0.6</v>
      </c>
      <c r="G6" s="1590"/>
      <c r="H6" s="2481" t="s">
        <v>1825</v>
      </c>
      <c r="I6" s="3442" t="s">
        <v>2463</v>
      </c>
      <c r="J6" s="782">
        <f ca="1">ROUND(M6*M8*M7*(1-M9)/10000,0)</f>
        <v>0</v>
      </c>
      <c r="K6" s="340" t="s">
        <v>636</v>
      </c>
      <c r="L6" s="783" t="s">
        <v>637</v>
      </c>
      <c r="M6" s="784">
        <f ca="1">INDIRECT("'数据-取费表'!z"&amp;$G$1)</f>
        <v>0</v>
      </c>
    </row>
    <row r="7" spans="1:33" ht="18" customHeight="1">
      <c r="A7" s="2477"/>
      <c r="B7" s="3443"/>
      <c r="C7" s="787"/>
      <c r="D7" s="788"/>
      <c r="E7" s="783" t="s">
        <v>638</v>
      </c>
      <c r="F7" s="784">
        <f ca="1">IF(INDIRECT("'数据-取费表'!ah"&amp;$G$1)="",INDIRECT("'数据-取费表'!k"&amp;$G$1),INDIRECT("'数据-取费表'!ah"&amp;$G$1))</f>
        <v>74458</v>
      </c>
      <c r="G7" s="1590"/>
      <c r="H7" s="2466"/>
      <c r="I7" s="3443"/>
      <c r="J7" s="787"/>
      <c r="K7" s="788"/>
      <c r="L7" s="783" t="s">
        <v>638</v>
      </c>
      <c r="M7" s="784">
        <f ca="1">F7</f>
        <v>74458</v>
      </c>
    </row>
    <row r="8" spans="1:33" ht="18" customHeight="1">
      <c r="A8" s="2470"/>
      <c r="B8" s="3444"/>
      <c r="C8" s="787"/>
      <c r="D8" s="788"/>
      <c r="E8" s="783" t="s">
        <v>639</v>
      </c>
      <c r="F8" s="784">
        <f ca="1">INDIRECT("'数据-取费表'!ai"&amp;$G$1)</f>
        <v>365</v>
      </c>
      <c r="G8" s="1590"/>
      <c r="H8" s="2466"/>
      <c r="I8" s="3444"/>
      <c r="J8" s="787"/>
      <c r="K8" s="788"/>
      <c r="L8" s="783" t="s">
        <v>639</v>
      </c>
      <c r="M8" s="784">
        <f ca="1">INDIRECT("'数据-取费表'!ai"&amp;$G$1)</f>
        <v>365</v>
      </c>
    </row>
    <row r="9" spans="1:33" ht="18" customHeight="1">
      <c r="A9" s="785"/>
      <c r="B9" s="3445"/>
      <c r="C9" s="787"/>
      <c r="D9" s="788"/>
      <c r="E9" s="783" t="s">
        <v>640</v>
      </c>
      <c r="F9" s="793">
        <f ca="1">INDIRECT("'数据-取费表'!w"&amp;$G$1)</f>
        <v>0.1</v>
      </c>
      <c r="G9" s="1590"/>
      <c r="H9" s="2482"/>
      <c r="I9" s="3444"/>
      <c r="J9" s="787"/>
      <c r="K9" s="788"/>
      <c r="L9" s="794" t="s">
        <v>640</v>
      </c>
      <c r="M9" s="795">
        <f ca="1">INDIRECT("'数据-取费表'!ab"&amp;$G$1)</f>
        <v>0</v>
      </c>
    </row>
    <row r="10" spans="1:33" ht="18" customHeight="1">
      <c r="A10" s="1828" t="s">
        <v>1826</v>
      </c>
      <c r="B10" s="2471" t="s">
        <v>2459</v>
      </c>
      <c r="C10" s="798">
        <f ca="1">ROUND(IF(F10="押一",C6/12*F11,IF(F10="押二",C6/12*2*F11,IF(F10="押三",C6/12*3*F11,C11*F11))),0)</f>
        <v>0</v>
      </c>
      <c r="D10" s="2478" t="s">
        <v>2977</v>
      </c>
      <c r="E10" s="2475" t="s">
        <v>2464</v>
      </c>
      <c r="F10" s="2598"/>
      <c r="G10" s="1590"/>
      <c r="H10" s="2538" t="s">
        <v>1826</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2456</v>
      </c>
      <c r="F11" s="795">
        <f ca="1">'数据-取费表'!B39</f>
        <v>1.4999999999999999E-2</v>
      </c>
      <c r="G11" s="1590"/>
      <c r="H11" s="2539"/>
      <c r="I11" s="2472" t="s">
        <v>2573</v>
      </c>
      <c r="J11" s="2476"/>
      <c r="K11" s="2540"/>
      <c r="L11" s="2475" t="s">
        <v>2456</v>
      </c>
      <c r="M11" s="2469">
        <f ca="1">'数据-取费表'!B39</f>
        <v>1.4999999999999999E-2</v>
      </c>
    </row>
    <row r="12" spans="1:33" ht="18" customHeight="1" thickBot="1">
      <c r="A12" s="2514" t="s">
        <v>2467</v>
      </c>
      <c r="B12" s="2515" t="s">
        <v>2460</v>
      </c>
      <c r="C12" s="2516"/>
      <c r="D12" s="2517"/>
      <c r="E12" s="2518"/>
      <c r="F12" s="2519"/>
      <c r="G12" s="1590"/>
      <c r="H12" s="2528" t="s">
        <v>2467</v>
      </c>
      <c r="I12" s="2541" t="s">
        <v>2460</v>
      </c>
      <c r="J12" s="2542"/>
      <c r="K12" s="2517"/>
      <c r="L12" s="2518"/>
      <c r="M12" s="2531"/>
    </row>
    <row r="13" spans="1:33" ht="18" customHeight="1" thickTop="1">
      <c r="A13" s="1827">
        <v>2</v>
      </c>
      <c r="B13" s="1825" t="s">
        <v>644</v>
      </c>
      <c r="C13" s="791">
        <f ca="1">ROUND(C29*F13,0)</f>
        <v>20353</v>
      </c>
      <c r="D13" s="1832" t="s">
        <v>2298</v>
      </c>
      <c r="E13" s="1832" t="s">
        <v>643</v>
      </c>
      <c r="F13" s="2513">
        <f ca="1">INDIRECT("'数据-取费表'!y"&amp;$G$1)</f>
        <v>1</v>
      </c>
      <c r="G13" s="1590"/>
      <c r="H13" s="1827">
        <v>2</v>
      </c>
      <c r="I13" s="1825" t="s">
        <v>644</v>
      </c>
      <c r="J13" s="1817">
        <f ca="1">ROUND(J14*J15,0)</f>
        <v>0</v>
      </c>
      <c r="K13" s="1819" t="s">
        <v>642</v>
      </c>
      <c r="L13" s="2529"/>
      <c r="M13" s="2530"/>
    </row>
    <row r="14" spans="1:33" ht="18" customHeight="1">
      <c r="A14" s="1646" t="s">
        <v>1832</v>
      </c>
      <c r="B14" s="783" t="s">
        <v>645</v>
      </c>
      <c r="C14" s="803">
        <f ca="1">INDIRECT("'数据-取费表'!m"&amp;$G$1)+INDIRECT("'数据-取费表'!t"&amp;$G$1)</f>
        <v>14892</v>
      </c>
      <c r="D14" s="3176" t="s">
        <v>646</v>
      </c>
      <c r="E14" s="3175"/>
      <c r="F14" s="804"/>
      <c r="G14" s="1590"/>
      <c r="H14" s="1647" t="s">
        <v>1825</v>
      </c>
      <c r="I14" s="2229" t="s">
        <v>2825</v>
      </c>
      <c r="J14" s="53">
        <f ca="1">C29</f>
        <v>20353</v>
      </c>
      <c r="K14" s="26"/>
      <c r="L14" s="800"/>
      <c r="M14" s="801"/>
    </row>
    <row r="15" spans="1:33" s="2062" customFormat="1" ht="18" customHeight="1" thickBot="1">
      <c r="A15" s="1646" t="s">
        <v>1833</v>
      </c>
      <c r="B15" s="783" t="s">
        <v>647</v>
      </c>
      <c r="C15" s="53">
        <f ca="1">ROUND(C14*F15,0)</f>
        <v>447</v>
      </c>
      <c r="D15" s="805" t="s">
        <v>648</v>
      </c>
      <c r="E15" s="805" t="s">
        <v>649</v>
      </c>
      <c r="F15" s="806">
        <f>'数据-取费表'!B33</f>
        <v>0.03</v>
      </c>
      <c r="G15" s="1591"/>
      <c r="H15" s="2528" t="s">
        <v>1890</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3" t="s">
        <v>650</v>
      </c>
      <c r="C16" s="53">
        <f ca="1">ROUND(INDIRECT("'数据-取费表'!m"&amp;$G$1)*F16,0)</f>
        <v>0</v>
      </c>
      <c r="D16" s="783" t="s">
        <v>648</v>
      </c>
      <c r="E16" s="783" t="s">
        <v>649</v>
      </c>
      <c r="F16" s="808">
        <f ca="1">IF(INDIRECT("'数据-取费表'!c"&amp;$G$1)="住宅",'数据-取费表'!B34,0)</f>
        <v>0</v>
      </c>
      <c r="G16" s="1590"/>
      <c r="H16" s="1827" t="s">
        <v>1749</v>
      </c>
      <c r="I16" s="1825" t="s">
        <v>651</v>
      </c>
      <c r="J16" s="791">
        <f ca="1">ROUND(J17+J22+J23+J24,0)</f>
        <v>1923</v>
      </c>
      <c r="K16" s="1819" t="s">
        <v>652</v>
      </c>
      <c r="L16" s="3178"/>
      <c r="M16" s="2468"/>
    </row>
    <row r="17" spans="1:33" s="2062" customFormat="1" ht="18" customHeight="1">
      <c r="A17" s="1646" t="s">
        <v>1888</v>
      </c>
      <c r="B17" s="783" t="s">
        <v>653</v>
      </c>
      <c r="C17" s="53">
        <f ca="1">ROUND(F17*(F43+INDIRECT("'数据-取费表'!S"&amp;$G$1))/10000,0)</f>
        <v>1489</v>
      </c>
      <c r="D17" s="783" t="s">
        <v>654</v>
      </c>
      <c r="E17" s="783" t="s">
        <v>655</v>
      </c>
      <c r="F17" s="56">
        <f>'数据-取费表'!B35</f>
        <v>200</v>
      </c>
      <c r="G17" s="1591"/>
      <c r="H17" s="1647" t="s">
        <v>1825</v>
      </c>
      <c r="I17" s="783" t="s">
        <v>656</v>
      </c>
      <c r="J17" s="53">
        <f ca="1">ROUND(IF(项目基本情况!B11="自然人",J5*M17,J18+J19+J20),0)</f>
        <v>1719</v>
      </c>
      <c r="K17" s="3176" t="s">
        <v>657</v>
      </c>
      <c r="L17" s="3177" t="s">
        <v>658</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223</v>
      </c>
      <c r="D18" s="783" t="s">
        <v>648</v>
      </c>
      <c r="E18" s="783" t="s">
        <v>649</v>
      </c>
      <c r="F18" s="808">
        <f>'数据-取费表'!B36</f>
        <v>1.4999999999999999E-2</v>
      </c>
      <c r="G18" s="1591"/>
      <c r="H18" s="1646" t="s">
        <v>1832</v>
      </c>
      <c r="I18" s="783" t="s">
        <v>660</v>
      </c>
      <c r="J18" s="53">
        <f ca="1">ROUND(J5*M18/1.05,1)</f>
        <v>0</v>
      </c>
      <c r="K18" s="3177" t="s">
        <v>661</v>
      </c>
      <c r="L18" s="783" t="s">
        <v>649</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3" t="s">
        <v>662</v>
      </c>
      <c r="C19" s="53">
        <f ca="1">SUM(C14:C18)</f>
        <v>17051</v>
      </c>
      <c r="D19" s="260" t="s">
        <v>663</v>
      </c>
      <c r="E19" s="3179"/>
      <c r="F19" s="56"/>
      <c r="G19" s="1590"/>
      <c r="H19" s="1646" t="s">
        <v>1833</v>
      </c>
      <c r="I19" s="783" t="s">
        <v>664</v>
      </c>
      <c r="J19" s="53">
        <f ca="1">IF(K19="按租金收入计税",ROUND(J5*M19,1),ROUND(C29*F33*0.7,1))</f>
        <v>1709.7</v>
      </c>
      <c r="K19" s="810" t="s">
        <v>665</v>
      </c>
      <c r="L19" s="783" t="s">
        <v>649</v>
      </c>
      <c r="M19" s="808">
        <f>IF(K19="按租金收入计税",'数据-取费表'!B51,'数据-取费表'!B50)</f>
        <v>1.2E-2</v>
      </c>
    </row>
    <row r="20" spans="1:33" s="2062" customFormat="1" ht="18" customHeight="1">
      <c r="A20" s="1647" t="s">
        <v>1890</v>
      </c>
      <c r="B20" s="783" t="s">
        <v>666</v>
      </c>
      <c r="C20" s="53">
        <f ca="1">ROUND(C19*F20,0)</f>
        <v>341</v>
      </c>
      <c r="D20" s="811" t="s">
        <v>667</v>
      </c>
      <c r="E20" s="783" t="s">
        <v>649</v>
      </c>
      <c r="F20" s="808">
        <f>'数据-取费表'!B37</f>
        <v>0.02</v>
      </c>
      <c r="G20" s="1591"/>
      <c r="H20" s="1649" t="s">
        <v>1834</v>
      </c>
      <c r="I20" s="340" t="s">
        <v>668</v>
      </c>
      <c r="J20" s="54">
        <f ca="1">ROUND(M20*M21/10000,0)</f>
        <v>9</v>
      </c>
      <c r="K20" s="813" t="s">
        <v>669</v>
      </c>
      <c r="L20" s="783" t="s">
        <v>670</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671</v>
      </c>
      <c r="C21" s="53" t="s">
        <v>1765</v>
      </c>
      <c r="D21" s="811" t="s">
        <v>2299</v>
      </c>
      <c r="E21" s="783" t="s">
        <v>673</v>
      </c>
      <c r="F21" s="808">
        <f>'数据-取费表'!B38</f>
        <v>1.4999999999999999E-2</v>
      </c>
      <c r="G21" s="1591"/>
      <c r="H21" s="2483"/>
      <c r="I21" s="792"/>
      <c r="J21" s="69"/>
      <c r="K21" s="815"/>
      <c r="L21" s="783" t="s">
        <v>674</v>
      </c>
      <c r="M21" s="784">
        <f ca="1">INDIRECT("'数据-取费表'!r"&amp;$G$1)</f>
        <v>22108.42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675</v>
      </c>
      <c r="C22" s="53"/>
      <c r="D22" s="2549" t="str">
        <f>IF(F23&lt;=1,"单利计息。","复利计息。")&amp;"建造成本、管理费用、销售费用产生的利息。"</f>
        <v>复利计息。建造成本、管理费用、销售费用产生的利息。</v>
      </c>
      <c r="E22" s="3179"/>
      <c r="F22" s="56"/>
      <c r="G22" s="1590"/>
      <c r="H22" s="1647" t="s">
        <v>1890</v>
      </c>
      <c r="I22" s="783" t="s">
        <v>676</v>
      </c>
      <c r="J22" s="53">
        <f ca="1">ROUND(J14*M22,0)</f>
        <v>204</v>
      </c>
      <c r="K22" s="3177" t="s">
        <v>677</v>
      </c>
      <c r="L22" s="783" t="s">
        <v>649</v>
      </c>
      <c r="M22" s="816">
        <f ca="1">INDIRECT("'数据-取费表'!Ak"&amp;$G$1)</f>
        <v>0.01</v>
      </c>
    </row>
    <row r="23" spans="1:33" s="2062" customFormat="1" ht="18" customHeight="1">
      <c r="A23" s="1646" t="s">
        <v>1832</v>
      </c>
      <c r="B23" s="783" t="s">
        <v>2437</v>
      </c>
      <c r="C23" s="53">
        <f ca="1">ROUND(IF('数据-取费表'!B22&lt;=1,(C19+C20)*F24*F23/2,(C19+C20)*(POWER((1+F24),F23/2)-1)),0)</f>
        <v>1039</v>
      </c>
      <c r="D23" s="2548" t="str">
        <f>IF(F23&lt;=1,"(建造成本+管理费用)×利率×(建设周期÷2)","(建造成本+管理费用)×((1+利率)^(建设周期÷2)-1)")</f>
        <v>(建造成本+管理费用)×((1+利率)^(建设周期÷2)-1)</v>
      </c>
      <c r="E23" s="783" t="s">
        <v>678</v>
      </c>
      <c r="F23" s="639">
        <f>'数据-取费表'!B20</f>
        <v>2.5</v>
      </c>
      <c r="G23" s="1591"/>
      <c r="H23" s="1647" t="s">
        <v>1891</v>
      </c>
      <c r="I23" s="783" t="s">
        <v>679</v>
      </c>
      <c r="J23" s="53">
        <f ca="1">ROUND(J13*M23,0)</f>
        <v>0</v>
      </c>
      <c r="K23" s="3177" t="s">
        <v>680</v>
      </c>
      <c r="L23" s="783" t="s">
        <v>649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681</v>
      </c>
      <c r="C24" s="53">
        <f ca="1">ROUND(IF('数据-取费表'!B22&lt;=1,F21*F24*F23/2,F21*(POWER((1+F24),F23/2)-1)),4)</f>
        <v>8.9999999999999998E-4</v>
      </c>
      <c r="D24" s="2548" t="str">
        <f>IF(F23&lt;=1,"销售费用×利率×(建设周期÷2)","销售费用×((1+利率)^(建设周期÷2)-1)")</f>
        <v>销售费用×((1+利率)^(建设周期÷2)-1)</v>
      </c>
      <c r="E24" s="783" t="s">
        <v>682</v>
      </c>
      <c r="F24" s="818">
        <f ca="1">'数据-取费表'!B40</f>
        <v>4.7500000000000001E-2</v>
      </c>
      <c r="G24" s="1591"/>
      <c r="H24" s="2528" t="s">
        <v>1892</v>
      </c>
      <c r="I24" s="2523" t="s">
        <v>666</v>
      </c>
      <c r="J24" s="2521">
        <f ca="1">ROUND(J5*M24,0)</f>
        <v>0</v>
      </c>
      <c r="K24" s="2522" t="s">
        <v>683</v>
      </c>
      <c r="L24" s="2523" t="s">
        <v>649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685</v>
      </c>
      <c r="E25" s="3179"/>
      <c r="F25" s="56"/>
      <c r="G25" s="1590"/>
      <c r="H25" s="1827" t="s">
        <v>1777</v>
      </c>
      <c r="I25" s="2983" t="s">
        <v>2822</v>
      </c>
      <c r="J25" s="791">
        <f ca="1">J5-J16</f>
        <v>-1923</v>
      </c>
      <c r="K25" s="2525" t="s">
        <v>700</v>
      </c>
      <c r="L25" s="2526"/>
      <c r="M25" s="2527"/>
    </row>
    <row r="26" spans="1:33" ht="18" customHeight="1">
      <c r="A26" s="1646" t="s">
        <v>1832</v>
      </c>
      <c r="B26" s="783" t="s">
        <v>2438</v>
      </c>
      <c r="C26" s="53">
        <f ca="1">ROUND((C19+C20)*F26,0)</f>
        <v>522</v>
      </c>
      <c r="D26" s="811" t="s">
        <v>701</v>
      </c>
      <c r="E26" s="794" t="s">
        <v>702</v>
      </c>
      <c r="F26" s="793">
        <f ca="1">INDIRECT("'数据-取费表'!q"&amp;$G$1)</f>
        <v>0.03</v>
      </c>
      <c r="G26" s="1590"/>
      <c r="H26" s="2479" t="s">
        <v>1781</v>
      </c>
      <c r="I26" s="2230" t="s">
        <v>2827</v>
      </c>
      <c r="J26" s="782">
        <f ca="1">IF(J5&lt;&gt;0,ROUND(J25*(1-((1+M28)/(1+M26))^M27)/(M26-M28),0),0)</f>
        <v>0</v>
      </c>
      <c r="K26" s="813" t="s">
        <v>704</v>
      </c>
      <c r="L26" s="783" t="s">
        <v>2419</v>
      </c>
      <c r="M26" s="793">
        <f ca="1">INDIRECT("'数据-取费表'!I"&amp;$G$1)</f>
        <v>4.4999999999999998E-2</v>
      </c>
    </row>
    <row r="27" spans="1:33" ht="18" customHeight="1">
      <c r="A27" s="1646" t="s">
        <v>1833</v>
      </c>
      <c r="B27" s="783" t="s">
        <v>686</v>
      </c>
      <c r="C27" s="53">
        <f ca="1">ROUND(F21*F26,4)</f>
        <v>5.0000000000000001E-4</v>
      </c>
      <c r="D27" s="811" t="s">
        <v>706</v>
      </c>
      <c r="E27" s="805"/>
      <c r="F27" s="806"/>
      <c r="G27" s="1590"/>
      <c r="H27" s="2480"/>
      <c r="I27" s="786"/>
      <c r="J27" s="787"/>
      <c r="K27" s="820" t="s">
        <v>707</v>
      </c>
      <c r="L27" s="783" t="s">
        <v>708</v>
      </c>
      <c r="M27" s="821">
        <f ca="1">INDIRECT("'数据-取费表'!ag"&amp;$G$1)</f>
        <v>0</v>
      </c>
    </row>
    <row r="28" spans="1:33" s="2062" customFormat="1" ht="18" customHeight="1">
      <c r="A28" s="1648" t="s">
        <v>1842</v>
      </c>
      <c r="B28" s="783" t="s">
        <v>687</v>
      </c>
      <c r="C28" s="53">
        <f>ROUND(F28/(1+'数据-取费表'!C42),4)</f>
        <v>5.2400000000000002E-2</v>
      </c>
      <c r="D28" s="811" t="s">
        <v>2300</v>
      </c>
      <c r="E28" s="783" t="s">
        <v>649</v>
      </c>
      <c r="F28" s="808">
        <f>'数据-取费表'!B41</f>
        <v>5.5000000000000007E-2</v>
      </c>
      <c r="G28" s="1591"/>
      <c r="H28" s="1827"/>
      <c r="I28" s="790"/>
      <c r="J28" s="791"/>
      <c r="K28" s="815"/>
      <c r="L28" s="783" t="s">
        <v>710</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20353</v>
      </c>
      <c r="D29" s="2522"/>
      <c r="E29" s="2523"/>
      <c r="F29" s="2524"/>
      <c r="G29" s="1591"/>
      <c r="H29" s="822" t="s">
        <v>1788</v>
      </c>
      <c r="I29" s="823" t="s">
        <v>1789</v>
      </c>
      <c r="J29" s="824">
        <f ca="1">ROUND(J26/(1+F40)^F41,0)</f>
        <v>0</v>
      </c>
      <c r="K29" s="825" t="s">
        <v>688</v>
      </c>
      <c r="L29" s="826"/>
      <c r="M29" s="827">
        <f ca="1">INDIRECT("'数据-取费表'!k"&amp;$G$1)</f>
        <v>74458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651</v>
      </c>
      <c r="C30" s="791">
        <f ca="1">ROUND(C31+C36+C37+C38,0)</f>
        <v>511</v>
      </c>
      <c r="D30" s="1819" t="s">
        <v>652</v>
      </c>
      <c r="E30" s="3178"/>
      <c r="F30" s="2468"/>
      <c r="G30" s="2060"/>
      <c r="H30" s="2063"/>
      <c r="I30" s="2064"/>
      <c r="J30" s="2065"/>
      <c r="K30" s="2066"/>
      <c r="L30" s="2067"/>
      <c r="M30" s="2068"/>
    </row>
    <row r="31" spans="1:33" ht="18" customHeight="1">
      <c r="A31" s="1647" t="s">
        <v>1825</v>
      </c>
      <c r="B31" s="783" t="s">
        <v>656</v>
      </c>
      <c r="C31" s="53">
        <f ca="1">ROUND(IF(项目基本情况!B11="自然人",C5*F31,C32+C33+C34),1)</f>
        <v>261.89999999999998</v>
      </c>
      <c r="D31" s="3176" t="s">
        <v>657</v>
      </c>
      <c r="E31" s="317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660</v>
      </c>
      <c r="C32" s="53">
        <f ca="1">ROUND(C5*F32/1.05,1)</f>
        <v>76.900000000000006</v>
      </c>
      <c r="D32" s="3177" t="s">
        <v>661</v>
      </c>
      <c r="E32" s="783" t="s">
        <v>649</v>
      </c>
      <c r="F32" s="808">
        <f>'数据-取费表'!B41</f>
        <v>5.5000000000000007E-2</v>
      </c>
      <c r="G32" s="2060"/>
      <c r="H32" s="2069"/>
      <c r="I32" s="2070"/>
      <c r="J32" s="2071"/>
      <c r="K32" s="2072"/>
      <c r="L32" s="2073"/>
      <c r="M32" s="2074"/>
    </row>
    <row r="33" spans="1:18" ht="18" customHeight="1">
      <c r="A33" s="1646" t="s">
        <v>1833</v>
      </c>
      <c r="B33" s="783" t="s">
        <v>664</v>
      </c>
      <c r="C33" s="53">
        <f ca="1">IF(D33="按租金收入计税",ROUND(C5*F33,1),IF(D33="按房产原值计税",ROUND(C29*F33*0.7,1),INDIRECT("'数据-取费表'!Aj"&amp;$G$1)))</f>
        <v>176.2</v>
      </c>
      <c r="D33" s="810" t="s">
        <v>3168</v>
      </c>
      <c r="E33" s="783" t="s">
        <v>649</v>
      </c>
      <c r="F33" s="808">
        <f>IF(D33="按租金收入计税",'数据-取费表'!B51,'数据-取费表'!B50)</f>
        <v>0.12</v>
      </c>
      <c r="G33" s="2060"/>
      <c r="H33" s="2075"/>
      <c r="I33" s="2075"/>
      <c r="J33" s="2075"/>
      <c r="K33" s="2076"/>
      <c r="L33" s="2075"/>
      <c r="M33" s="2075"/>
    </row>
    <row r="34" spans="1:18" ht="18" customHeight="1">
      <c r="A34" s="1649" t="s">
        <v>1834</v>
      </c>
      <c r="B34" s="340" t="s">
        <v>668</v>
      </c>
      <c r="C34" s="54">
        <f ca="1">ROUND(F34*F35/10000,1)</f>
        <v>8.8000000000000007</v>
      </c>
      <c r="D34" s="813" t="s">
        <v>669</v>
      </c>
      <c r="E34" s="783" t="s">
        <v>670</v>
      </c>
      <c r="F34" s="639">
        <f>'数据-取费表'!B52</f>
        <v>4</v>
      </c>
      <c r="G34" s="2060"/>
      <c r="H34" s="2063"/>
      <c r="I34" s="834" t="s">
        <v>1814</v>
      </c>
      <c r="J34" s="835"/>
      <c r="K34" s="2078"/>
      <c r="L34" s="2077"/>
      <c r="M34" s="2077"/>
    </row>
    <row r="35" spans="1:18" ht="18" customHeight="1">
      <c r="A35" s="814"/>
      <c r="B35" s="792"/>
      <c r="C35" s="69"/>
      <c r="D35" s="815"/>
      <c r="E35" s="783" t="s">
        <v>674</v>
      </c>
      <c r="F35" s="784">
        <f ca="1">INDIRECT("'数据-取费表'!r"&amp;$G$1)</f>
        <v>22108.42</v>
      </c>
      <c r="G35" s="2060"/>
      <c r="H35" s="2063"/>
      <c r="I35" s="836" t="s">
        <v>1815</v>
      </c>
      <c r="J35" s="837">
        <f ca="1">ROUND(C13*J36,0)</f>
        <v>1730</v>
      </c>
      <c r="K35" s="2076"/>
      <c r="L35" s="2075"/>
      <c r="M35" s="2075"/>
    </row>
    <row r="36" spans="1:18" ht="18" customHeight="1">
      <c r="A36" s="1647" t="s">
        <v>1890</v>
      </c>
      <c r="B36" s="783" t="s">
        <v>676</v>
      </c>
      <c r="C36" s="53">
        <f ca="1">ROUND(C29*F36,1)</f>
        <v>203.5</v>
      </c>
      <c r="D36" s="3177" t="s">
        <v>691</v>
      </c>
      <c r="E36" s="783" t="s">
        <v>649</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30.5</v>
      </c>
      <c r="D37" s="3177" t="s">
        <v>680</v>
      </c>
      <c r="E37" s="783" t="s">
        <v>649</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14.7</v>
      </c>
      <c r="D38" s="2522" t="s">
        <v>683</v>
      </c>
      <c r="E38" s="2523" t="s">
        <v>649</v>
      </c>
      <c r="F38" s="2519">
        <f ca="1">INDIRECT("'数据-取费表'!Am"&amp;$G$1)</f>
        <v>0.01</v>
      </c>
      <c r="G38" s="2060"/>
      <c r="H38" s="2075"/>
      <c r="I38" s="842" t="s">
        <v>1818</v>
      </c>
      <c r="J38" s="843"/>
      <c r="K38" s="2081"/>
      <c r="L38" s="2075"/>
      <c r="M38" s="2075"/>
    </row>
    <row r="39" spans="1:18" ht="24.6" customHeight="1" thickTop="1">
      <c r="A39" s="1827" t="s">
        <v>1777</v>
      </c>
      <c r="B39" s="2983" t="s">
        <v>2822</v>
      </c>
      <c r="C39" s="791">
        <f ca="1">C5-C30</f>
        <v>957</v>
      </c>
      <c r="D39" s="2525" t="s">
        <v>700</v>
      </c>
      <c r="E39" s="2526"/>
      <c r="F39" s="2527"/>
      <c r="G39" s="2060"/>
      <c r="H39" s="2075"/>
      <c r="I39" s="836" t="s">
        <v>1819</v>
      </c>
      <c r="J39" s="844">
        <f ca="1">ROUND(J35/C39,3)</f>
        <v>1.8080000000000001</v>
      </c>
      <c r="K39" s="2081"/>
      <c r="L39" s="2075"/>
      <c r="M39" s="2075"/>
    </row>
    <row r="40" spans="1:18" ht="18" customHeight="1">
      <c r="A40" s="780" t="s">
        <v>1781</v>
      </c>
      <c r="B40" s="2230" t="s">
        <v>2302</v>
      </c>
      <c r="C40" s="782">
        <f ca="1">ROUND(C39*(1-((1+F42)/(1+F40))^F41)/(F40-F42),0)</f>
        <v>18582</v>
      </c>
      <c r="D40" s="813" t="s">
        <v>704</v>
      </c>
      <c r="E40" s="783" t="s">
        <v>2419</v>
      </c>
      <c r="F40" s="793">
        <f ca="1">INDIRECT("'数据-取费表'!I"&amp;$G$1)</f>
        <v>4.4999999999999998E-2</v>
      </c>
      <c r="G40" s="2060"/>
      <c r="H40" s="2060"/>
      <c r="I40" s="836" t="s">
        <v>1820</v>
      </c>
      <c r="J40" s="844">
        <f ca="1">1-J39</f>
        <v>-0.80800000000000005</v>
      </c>
      <c r="K40" s="2081"/>
      <c r="L40" s="2060"/>
      <c r="M40" s="2060"/>
    </row>
    <row r="41" spans="1:18" ht="18" customHeight="1">
      <c r="A41" s="785"/>
      <c r="B41" s="786"/>
      <c r="C41" s="787"/>
      <c r="D41" s="820" t="s">
        <v>1809</v>
      </c>
      <c r="E41" s="783" t="s">
        <v>708</v>
      </c>
      <c r="F41" s="821">
        <f ca="1">IF(INDIRECT("'数据-取费表'!af"&amp;$G$1)=0,INDIRECT("'数据-取费表'!ae"&amp;$G$1),INDIRECT("'数据-取费表'!af"&amp;$G$1))</f>
        <v>23.81</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1.095</v>
      </c>
      <c r="K42" s="2080"/>
      <c r="L42" s="1986"/>
      <c r="M42" s="1986"/>
    </row>
    <row r="43" spans="1:18" ht="18" customHeight="1" thickBot="1">
      <c r="A43" s="822" t="s">
        <v>1788</v>
      </c>
      <c r="B43" s="823" t="s">
        <v>1811</v>
      </c>
      <c r="C43" s="824">
        <f ca="1">ROUND(C40*10000/F43,0)</f>
        <v>2496</v>
      </c>
      <c r="D43" s="825" t="s">
        <v>1812</v>
      </c>
      <c r="E43" s="826" t="s">
        <v>1813</v>
      </c>
      <c r="F43" s="827">
        <f ca="1">INDIRECT("'数据-取费表'!k"&amp;$G$1)</f>
        <v>74458</v>
      </c>
      <c r="G43" s="2060"/>
      <c r="H43" s="1986"/>
      <c r="I43" s="846" t="s">
        <v>1823</v>
      </c>
      <c r="J43" s="847">
        <f ca="1">1-J42</f>
        <v>-9.4999999999999973E-2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-22089</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50</v>
      </c>
      <c r="M47" s="1602" t="str">
        <f>IF(ISNUMBER(FIND("住宅",C1)),"住宅","非住宅")</f>
        <v>非住宅</v>
      </c>
      <c r="O47" s="2372" t="s">
        <v>2375</v>
      </c>
      <c r="P47" s="2373" t="s">
        <v>2376</v>
      </c>
      <c r="Q47" s="2374" t="s">
        <v>2377</v>
      </c>
      <c r="R47" s="2373" t="s">
        <v>2378</v>
      </c>
    </row>
    <row r="48" spans="1:18" s="2057" customFormat="1" ht="18" customHeight="1" thickBot="1">
      <c r="A48" s="2619" t="s">
        <v>1871</v>
      </c>
      <c r="B48" s="2620" t="s">
        <v>2538</v>
      </c>
      <c r="C48" s="2351">
        <f ca="1">ROUND(F48*F50*F49*(1-F51)/10000,0)</f>
        <v>0</v>
      </c>
      <c r="D48" s="2352" t="s">
        <v>636</v>
      </c>
      <c r="E48" s="2353" t="s">
        <v>2297</v>
      </c>
      <c r="F48" s="2354"/>
      <c r="G48" s="2088"/>
      <c r="I48" s="3100" t="s">
        <v>2345</v>
      </c>
      <c r="J48" s="2359" t="s">
        <v>2350</v>
      </c>
      <c r="K48" s="3129" t="s">
        <v>2351</v>
      </c>
      <c r="L48" s="1906">
        <f ca="1">INDIRECT("'数据-取费表'!f"&amp;$G$1)</f>
        <v>26.31</v>
      </c>
      <c r="O48" s="2375" t="s">
        <v>2379</v>
      </c>
      <c r="P48" s="2376" t="s">
        <v>2405</v>
      </c>
      <c r="Q48" s="2377">
        <f ca="1">C40+J29</f>
        <v>18582</v>
      </c>
      <c r="R48" s="2376" t="s">
        <v>2380</v>
      </c>
    </row>
    <row r="49" spans="1:18" s="2057" customFormat="1" ht="18" customHeight="1" thickBot="1">
      <c r="A49" s="785"/>
      <c r="B49" s="786"/>
      <c r="C49" s="787"/>
      <c r="D49" s="788"/>
      <c r="E49" s="783" t="s">
        <v>638</v>
      </c>
      <c r="F49" s="784">
        <f ca="1">F7</f>
        <v>74458</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639</v>
      </c>
      <c r="F50" s="784">
        <f ca="1">F8</f>
        <v>365</v>
      </c>
      <c r="G50" s="2093"/>
      <c r="H50" s="2091"/>
      <c r="I50" s="3100" t="s">
        <v>2347</v>
      </c>
      <c r="J50" s="3125">
        <f>SUMPRODUCT((I63:I65=J47)*(J62:L62=J48)*(J63:L65))</f>
        <v>60</v>
      </c>
      <c r="K50" s="3130" t="s">
        <v>2353</v>
      </c>
      <c r="L50" s="2361"/>
      <c r="O50" s="2378" t="s">
        <v>2383</v>
      </c>
      <c r="P50" s="2376" t="s">
        <v>2407</v>
      </c>
      <c r="Q50" s="2377">
        <f ca="1">C29</f>
        <v>20353</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-12439</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2977</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23.81</v>
      </c>
      <c r="K53" s="3466" t="s">
        <v>2969</v>
      </c>
      <c r="L53" s="3467"/>
      <c r="O53" s="2378" t="s">
        <v>2388</v>
      </c>
      <c r="P53" s="2376" t="s">
        <v>2389</v>
      </c>
      <c r="Q53" s="2377">
        <f ca="1">J53</f>
        <v>23.81</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18582</v>
      </c>
      <c r="R54" s="2380" t="s">
        <v>2392</v>
      </c>
    </row>
    <row r="55" spans="1:18" s="2057" customFormat="1" ht="18" customHeight="1" thickTop="1" thickBot="1">
      <c r="A55" s="796">
        <v>2</v>
      </c>
      <c r="B55" s="797" t="s">
        <v>644</v>
      </c>
      <c r="C55" s="798">
        <f ca="1">C13</f>
        <v>20353</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2301</v>
      </c>
      <c r="C56" s="53">
        <f ca="1">C29</f>
        <v>20353</v>
      </c>
      <c r="D56" s="3177"/>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243</v>
      </c>
      <c r="D57" s="26" t="s">
        <v>652</v>
      </c>
      <c r="E57" s="3179"/>
      <c r="F57" s="56"/>
      <c r="I57" s="3139" t="s">
        <v>2358</v>
      </c>
      <c r="J57" s="3140" t="str">
        <f ca="1">IF(OR(M47="住宅",J51&lt;L48,J56="是"),"——",J51-L48)</f>
        <v>——</v>
      </c>
      <c r="K57" s="3100" t="s">
        <v>2363</v>
      </c>
      <c r="L57" s="1906" t="str">
        <f ca="1">IF(L48&lt;J51,"——",IF(L55="比较法",L49,IF(L55="基准地价",L50,L51)))</f>
        <v>——</v>
      </c>
      <c r="O57" s="2375" t="s">
        <v>2379</v>
      </c>
      <c r="P57" s="2376" t="s">
        <v>2405</v>
      </c>
      <c r="Q57" s="2377">
        <f ca="1">C40+J29</f>
        <v>18582</v>
      </c>
      <c r="R57" s="2376" t="s">
        <v>2380</v>
      </c>
    </row>
    <row r="58" spans="1:18" s="2057" customFormat="1" ht="28.5" customHeight="1" thickBot="1">
      <c r="A58" s="1647" t="s">
        <v>1825</v>
      </c>
      <c r="B58" s="783" t="s">
        <v>656</v>
      </c>
      <c r="C58" s="53">
        <f ca="1">ROUND(IF(项目基本情况!B11="自然人",C47*F58,C59+C60+C61),1)</f>
        <v>8.8000000000000007</v>
      </c>
      <c r="D58" s="3176" t="s">
        <v>657</v>
      </c>
      <c r="E58" s="3177"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3177" t="s">
        <v>661</v>
      </c>
      <c r="E59" s="783" t="s">
        <v>649</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664</v>
      </c>
      <c r="C60" s="53">
        <f ca="1">IF(D60="按租金收入计税",ROUND(C47*F60,1),IF(D60="按房产原值计税",ROUND(C56*F60*0.7,1),INDIRECT("'数据-取费表'!Aj"&amp;$G$1)))</f>
        <v>0</v>
      </c>
      <c r="D60" s="3177" t="str">
        <f>D33</f>
        <v>按租金收入计税</v>
      </c>
      <c r="E60" s="783" t="s">
        <v>649</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8.8000000000000007</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22108.42</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203.5</v>
      </c>
      <c r="D63" s="3177" t="s">
        <v>691</v>
      </c>
      <c r="E63" s="783" t="s">
        <v>649</v>
      </c>
      <c r="F63" s="816">
        <f t="shared" ca="1" si="0"/>
        <v>0.01</v>
      </c>
      <c r="I63" s="3144" t="s">
        <v>2370</v>
      </c>
      <c r="J63" s="3145">
        <v>70</v>
      </c>
      <c r="K63" s="3145">
        <v>50</v>
      </c>
      <c r="L63" s="3145">
        <v>80</v>
      </c>
      <c r="M63" s="3147">
        <v>0.02</v>
      </c>
      <c r="O63" s="2375" t="s">
        <v>2391</v>
      </c>
      <c r="P63" s="2376" t="s">
        <v>2408</v>
      </c>
      <c r="Q63" s="2377">
        <f ca="1">Q57+Q58</f>
        <v>18582</v>
      </c>
      <c r="R63" s="2380" t="s">
        <v>2392</v>
      </c>
    </row>
    <row r="64" spans="1:18" s="2057" customFormat="1" ht="16.5" thickBot="1">
      <c r="A64" s="1647" t="s">
        <v>1891</v>
      </c>
      <c r="B64" s="783" t="s">
        <v>679</v>
      </c>
      <c r="C64" s="53">
        <f ca="1">ROUND(C55*F64,1)</f>
        <v>30.5</v>
      </c>
      <c r="D64" s="3177" t="s">
        <v>680</v>
      </c>
      <c r="E64" s="783" t="s">
        <v>649</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3177" t="s">
        <v>683</v>
      </c>
      <c r="E65" s="783" t="s">
        <v>649</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-243</v>
      </c>
      <c r="D66" s="3176" t="s">
        <v>700</v>
      </c>
      <c r="E66" s="3174"/>
      <c r="F66" s="819"/>
      <c r="K66" s="2084"/>
      <c r="O66" s="2375" t="s">
        <v>2379</v>
      </c>
      <c r="P66" s="2376" t="s">
        <v>2405</v>
      </c>
      <c r="Q66" s="2377">
        <f ca="1">C40+J29</f>
        <v>18582</v>
      </c>
      <c r="R66" s="2376" t="s">
        <v>2380</v>
      </c>
    </row>
    <row r="67" spans="1:18" s="2057" customFormat="1" ht="20.25" thickBot="1">
      <c r="A67" s="780" t="s">
        <v>1781</v>
      </c>
      <c r="B67" s="2230" t="s">
        <v>2302</v>
      </c>
      <c r="C67" s="782">
        <f ca="1">ROUND(C66*(1-((1+F69)/(1+F67))^F68)/(F67-F69),0)</f>
        <v>-3507</v>
      </c>
      <c r="D67" s="813" t="s">
        <v>704</v>
      </c>
      <c r="E67" s="783" t="s">
        <v>705</v>
      </c>
      <c r="F67" s="793">
        <f ca="1">F40</f>
        <v>4.4999999999999998E-2</v>
      </c>
      <c r="K67" s="2084"/>
      <c r="O67" s="2375" t="s">
        <v>2381</v>
      </c>
      <c r="P67" s="2376" t="s">
        <v>2412</v>
      </c>
      <c r="Q67" s="2377">
        <f ca="1">L60</f>
        <v>0</v>
      </c>
      <c r="R67" s="2380" t="s">
        <v>2414</v>
      </c>
    </row>
    <row r="68" spans="1:18" ht="21.75" thickBot="1">
      <c r="A68" s="785"/>
      <c r="B68" s="786"/>
      <c r="C68" s="787"/>
      <c r="D68" s="820" t="s">
        <v>1809</v>
      </c>
      <c r="E68" s="783" t="s">
        <v>708</v>
      </c>
      <c r="F68" s="821">
        <f ca="1">F41</f>
        <v>23.81</v>
      </c>
      <c r="O68" s="2378" t="s">
        <v>2383</v>
      </c>
      <c r="P68" s="2376" t="s">
        <v>2413</v>
      </c>
      <c r="Q68" s="2382">
        <f ca="1">L51</f>
        <v>-12439</v>
      </c>
      <c r="R68" s="2383" t="s">
        <v>2416</v>
      </c>
    </row>
    <row r="69" spans="1:18" ht="20.25" thickBot="1">
      <c r="A69" s="789"/>
      <c r="B69" s="790"/>
      <c r="C69" s="791"/>
      <c r="D69" s="815"/>
      <c r="E69" s="783" t="s">
        <v>710</v>
      </c>
      <c r="F69" s="2348"/>
      <c r="O69" s="2378" t="s">
        <v>2384</v>
      </c>
      <c r="P69" s="2384" t="s">
        <v>2398</v>
      </c>
      <c r="Q69" s="2377">
        <f ca="1">ROUND(Q70-Q71*Q72,0)</f>
        <v>-773</v>
      </c>
      <c r="R69" s="2380"/>
    </row>
    <row r="70" spans="1:18" ht="15.75" thickBot="1">
      <c r="A70" s="822" t="s">
        <v>1788</v>
      </c>
      <c r="B70" s="823" t="s">
        <v>1811</v>
      </c>
      <c r="C70" s="824">
        <f ca="1">ROUND(C67*10000/F70,0)</f>
        <v>-471</v>
      </c>
      <c r="D70" s="825" t="s">
        <v>1812</v>
      </c>
      <c r="E70" s="826" t="s">
        <v>1813</v>
      </c>
      <c r="F70" s="827">
        <f ca="1">F43</f>
        <v>74458</v>
      </c>
      <c r="O70" s="2378" t="s">
        <v>2399</v>
      </c>
      <c r="P70" s="2384" t="s">
        <v>2400</v>
      </c>
      <c r="Q70" s="2377">
        <f ca="1">C39</f>
        <v>957</v>
      </c>
      <c r="R70" s="2376" t="s">
        <v>2380</v>
      </c>
    </row>
    <row r="71" spans="1:18" ht="15.75" thickBot="1">
      <c r="O71" s="2378" t="s">
        <v>2401</v>
      </c>
      <c r="P71" s="2384" t="s">
        <v>2402</v>
      </c>
      <c r="Q71" s="2377">
        <f ca="1">C13</f>
        <v>20353</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18582</v>
      </c>
      <c r="R76" s="2380"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H1" workbookViewId="0">
      <selection activeCell="O34" sqref="O34"/>
    </sheetView>
  </sheetViews>
  <sheetFormatPr defaultRowHeight="13.5"/>
  <cols>
    <col min="1" max="1" width="65.25" customWidth="1"/>
    <col min="3" max="3" width="16.5" bestFit="1" customWidth="1"/>
    <col min="7" max="7" width="21.875" bestFit="1" customWidth="1"/>
    <col min="8" max="8" width="21.375" bestFit="1" customWidth="1"/>
    <col min="11" max="11" width="24.25" bestFit="1" customWidth="1"/>
    <col min="12" max="12" width="10.875" bestFit="1" customWidth="1"/>
    <col min="14" max="14" width="31.75" bestFit="1" customWidth="1"/>
  </cols>
  <sheetData>
    <row r="1" spans="1:23" ht="16.5">
      <c r="A1" s="3184" t="s">
        <v>3018</v>
      </c>
      <c r="B1" s="3184" t="s">
        <v>3019</v>
      </c>
      <c r="C1" s="3184" t="s">
        <v>3020</v>
      </c>
      <c r="D1" s="3184" t="s">
        <v>3021</v>
      </c>
      <c r="E1" s="3184" t="s">
        <v>3022</v>
      </c>
      <c r="F1" s="3184" t="s">
        <v>3023</v>
      </c>
      <c r="G1" s="3184" t="s">
        <v>3024</v>
      </c>
      <c r="H1" s="3184" t="s">
        <v>3025</v>
      </c>
      <c r="I1" s="3184" t="s">
        <v>3026</v>
      </c>
      <c r="J1" s="3184" t="s">
        <v>3027</v>
      </c>
      <c r="K1" s="3184" t="s">
        <v>2033</v>
      </c>
      <c r="L1" s="3184" t="s">
        <v>3028</v>
      </c>
      <c r="M1" s="3184" t="s">
        <v>3029</v>
      </c>
      <c r="N1" s="3184" t="s">
        <v>3030</v>
      </c>
      <c r="O1" s="3184" t="s">
        <v>3031</v>
      </c>
      <c r="P1" s="3184" t="s">
        <v>3032</v>
      </c>
      <c r="Q1" s="3184" t="s">
        <v>3033</v>
      </c>
      <c r="R1" s="3184" t="s">
        <v>3034</v>
      </c>
      <c r="S1" s="3184" t="s">
        <v>3035</v>
      </c>
      <c r="T1" s="3184" t="s">
        <v>3036</v>
      </c>
      <c r="U1" s="3184"/>
      <c r="V1" s="2915"/>
      <c r="W1" s="2915"/>
    </row>
    <row r="2" spans="1:23" ht="16.5">
      <c r="A2" s="3185" t="s">
        <v>3139</v>
      </c>
      <c r="B2" s="3184" t="s">
        <v>3037</v>
      </c>
      <c r="C2" s="3184" t="s">
        <v>3038</v>
      </c>
      <c r="D2" s="3184" t="s">
        <v>2818</v>
      </c>
      <c r="E2" s="3184" t="s">
        <v>3039</v>
      </c>
      <c r="F2" s="3184" t="s">
        <v>3040</v>
      </c>
      <c r="G2" s="3184" t="s">
        <v>3041</v>
      </c>
      <c r="H2" s="3184" t="s">
        <v>3042</v>
      </c>
      <c r="I2" s="3184">
        <v>214261.8</v>
      </c>
      <c r="J2" s="3184">
        <v>476821.3</v>
      </c>
      <c r="K2" s="3184" t="s">
        <v>3043</v>
      </c>
      <c r="L2" s="3184" t="s">
        <v>3044</v>
      </c>
      <c r="M2" s="3184" t="s">
        <v>3045</v>
      </c>
      <c r="N2" s="3184" t="s">
        <v>3046</v>
      </c>
      <c r="O2" s="3184">
        <v>85192</v>
      </c>
      <c r="P2" s="3184">
        <v>265.07</v>
      </c>
      <c r="Q2" s="3184">
        <v>1786.67</v>
      </c>
      <c r="R2" s="3184">
        <v>4</v>
      </c>
      <c r="S2" s="3184" t="s">
        <v>3047</v>
      </c>
      <c r="T2" s="3184" t="s">
        <v>3048</v>
      </c>
      <c r="U2" s="3186" t="s">
        <v>3140</v>
      </c>
      <c r="V2" s="2915"/>
      <c r="W2" s="2915"/>
    </row>
    <row r="3" spans="1:23" ht="16.5" hidden="1">
      <c r="A3" s="3187" t="s">
        <v>3149</v>
      </c>
      <c r="B3" s="3188" t="s">
        <v>3037</v>
      </c>
      <c r="C3" s="3188" t="s">
        <v>3049</v>
      </c>
      <c r="D3" s="3188" t="s">
        <v>2818</v>
      </c>
      <c r="E3" s="3188" t="s">
        <v>3050</v>
      </c>
      <c r="F3" s="3188" t="s">
        <v>3040</v>
      </c>
      <c r="G3" s="3188" t="s">
        <v>3051</v>
      </c>
      <c r="H3" s="3188" t="s">
        <v>3052</v>
      </c>
      <c r="I3" s="3188">
        <v>15744.53</v>
      </c>
      <c r="J3" s="3188">
        <v>39361.33</v>
      </c>
      <c r="K3" s="3188" t="s">
        <v>3043</v>
      </c>
      <c r="L3" s="3188" t="s">
        <v>3053</v>
      </c>
      <c r="M3" s="3188" t="s">
        <v>3054</v>
      </c>
      <c r="N3" s="3188" t="s">
        <v>3055</v>
      </c>
      <c r="O3" s="3188">
        <v>2953.36</v>
      </c>
      <c r="P3" s="3188">
        <v>125.05</v>
      </c>
      <c r="Q3" s="3188">
        <v>750.32</v>
      </c>
      <c r="R3" s="3188">
        <v>56.32</v>
      </c>
      <c r="S3" s="3188" t="s">
        <v>3056</v>
      </c>
      <c r="T3" s="3188" t="s">
        <v>3048</v>
      </c>
      <c r="U3" s="3188"/>
      <c r="V3" s="3183"/>
      <c r="W3" s="3183"/>
    </row>
    <row r="4" spans="1:23" ht="16.5" hidden="1">
      <c r="A4" s="3187" t="s">
        <v>3150</v>
      </c>
      <c r="B4" s="3188" t="s">
        <v>3037</v>
      </c>
      <c r="C4" s="3188" t="s">
        <v>3049</v>
      </c>
      <c r="D4" s="3188" t="s">
        <v>2818</v>
      </c>
      <c r="E4" s="3188" t="s">
        <v>3057</v>
      </c>
      <c r="F4" s="3188" t="s">
        <v>3040</v>
      </c>
      <c r="G4" s="3188" t="s">
        <v>3058</v>
      </c>
      <c r="H4" s="3188" t="s">
        <v>3052</v>
      </c>
      <c r="I4" s="3188">
        <v>8282.7800000000007</v>
      </c>
      <c r="J4" s="3188">
        <v>16565.560000000001</v>
      </c>
      <c r="K4" s="3188" t="s">
        <v>3059</v>
      </c>
      <c r="L4" s="3188" t="s">
        <v>3060</v>
      </c>
      <c r="M4" s="3188" t="s">
        <v>3061</v>
      </c>
      <c r="N4" s="3188" t="s">
        <v>3062</v>
      </c>
      <c r="O4" s="3188">
        <v>1931.67</v>
      </c>
      <c r="P4" s="3188">
        <v>155.47999999999999</v>
      </c>
      <c r="Q4" s="3188">
        <v>1166.07</v>
      </c>
      <c r="R4" s="3188">
        <v>40.83</v>
      </c>
      <c r="S4" s="3188" t="s">
        <v>3056</v>
      </c>
      <c r="T4" s="3188" t="s">
        <v>3048</v>
      </c>
      <c r="U4" s="3188"/>
      <c r="V4" s="3183"/>
      <c r="W4" s="3183"/>
    </row>
    <row r="5" spans="1:23" ht="16.5" hidden="1">
      <c r="A5" s="3187" t="s">
        <v>3151</v>
      </c>
      <c r="B5" s="3188" t="s">
        <v>3037</v>
      </c>
      <c r="C5" s="3188" t="s">
        <v>3049</v>
      </c>
      <c r="D5" s="3188" t="s">
        <v>2818</v>
      </c>
      <c r="E5" s="3188" t="s">
        <v>3063</v>
      </c>
      <c r="F5" s="3188" t="s">
        <v>3040</v>
      </c>
      <c r="G5" s="3188" t="s">
        <v>3064</v>
      </c>
      <c r="H5" s="3188" t="s">
        <v>3052</v>
      </c>
      <c r="I5" s="3188">
        <v>1785.28</v>
      </c>
      <c r="J5" s="3188">
        <v>3570.56</v>
      </c>
      <c r="K5" s="3188" t="s">
        <v>3059</v>
      </c>
      <c r="L5" s="3188" t="s">
        <v>3065</v>
      </c>
      <c r="M5" s="3188" t="s">
        <v>3066</v>
      </c>
      <c r="N5" s="3188" t="s">
        <v>3067</v>
      </c>
      <c r="O5" s="3188">
        <v>83.9</v>
      </c>
      <c r="P5" s="3188">
        <v>31.33</v>
      </c>
      <c r="Q5" s="3188">
        <v>235</v>
      </c>
      <c r="R5" s="3188">
        <v>0</v>
      </c>
      <c r="S5" s="3188" t="s">
        <v>3056</v>
      </c>
      <c r="T5" s="3188" t="s">
        <v>3048</v>
      </c>
      <c r="U5" s="3188"/>
      <c r="V5" s="3183"/>
      <c r="W5" s="3183"/>
    </row>
    <row r="6" spans="1:23" s="3193" customFormat="1" ht="16.5">
      <c r="A6" s="3190" t="s">
        <v>3141</v>
      </c>
      <c r="B6" s="3191" t="s">
        <v>3037</v>
      </c>
      <c r="C6" s="3191" t="s">
        <v>3049</v>
      </c>
      <c r="D6" s="3191" t="s">
        <v>2818</v>
      </c>
      <c r="E6" s="3191" t="s">
        <v>3068</v>
      </c>
      <c r="F6" s="3191" t="s">
        <v>3040</v>
      </c>
      <c r="G6" s="3191" t="s">
        <v>3069</v>
      </c>
      <c r="H6" s="3191" t="s">
        <v>3052</v>
      </c>
      <c r="I6" s="3191">
        <v>68304.850000000006</v>
      </c>
      <c r="J6" s="3191">
        <v>170762.13</v>
      </c>
      <c r="K6" s="3191" t="s">
        <v>3043</v>
      </c>
      <c r="L6" s="3191" t="s">
        <v>3070</v>
      </c>
      <c r="M6" s="3191" t="s">
        <v>3071</v>
      </c>
      <c r="N6" s="3191" t="s">
        <v>3072</v>
      </c>
      <c r="O6" s="3191">
        <v>67074.66</v>
      </c>
      <c r="P6" s="3191">
        <v>654.66</v>
      </c>
      <c r="Q6" s="3191">
        <v>3927.96</v>
      </c>
      <c r="R6" s="3191">
        <v>138.19999999999999</v>
      </c>
      <c r="S6" s="3191" t="s">
        <v>3056</v>
      </c>
      <c r="T6" s="3191" t="s">
        <v>3048</v>
      </c>
      <c r="U6" s="3191" t="s">
        <v>3073</v>
      </c>
      <c r="V6" s="3192"/>
      <c r="W6" s="3192"/>
    </row>
    <row r="7" spans="1:23" s="3193" customFormat="1" ht="16.5">
      <c r="A7" s="3191" t="s">
        <v>3074</v>
      </c>
      <c r="B7" s="3191" t="s">
        <v>3037</v>
      </c>
      <c r="C7" s="3191" t="s">
        <v>3049</v>
      </c>
      <c r="D7" s="3191" t="s">
        <v>2818</v>
      </c>
      <c r="E7" s="3191" t="s">
        <v>3074</v>
      </c>
      <c r="F7" s="3191" t="s">
        <v>3040</v>
      </c>
      <c r="G7" s="3191" t="s">
        <v>3075</v>
      </c>
      <c r="H7" s="3191" t="s">
        <v>3052</v>
      </c>
      <c r="I7" s="3191">
        <v>28425.71</v>
      </c>
      <c r="J7" s="3191">
        <v>71064.28</v>
      </c>
      <c r="K7" s="3191" t="s">
        <v>3043</v>
      </c>
      <c r="L7" s="3191" t="s">
        <v>3070</v>
      </c>
      <c r="M7" s="3191" t="s">
        <v>3071</v>
      </c>
      <c r="N7" s="3191" t="s">
        <v>3072</v>
      </c>
      <c r="O7" s="3191">
        <v>25120.61</v>
      </c>
      <c r="P7" s="3191">
        <v>589.15</v>
      </c>
      <c r="Q7" s="3191">
        <v>3534.9</v>
      </c>
      <c r="R7" s="3191">
        <v>114.24</v>
      </c>
      <c r="S7" s="3191" t="s">
        <v>3056</v>
      </c>
      <c r="T7" s="3191" t="s">
        <v>3048</v>
      </c>
      <c r="U7" s="3191" t="s">
        <v>3076</v>
      </c>
      <c r="V7" s="3192"/>
      <c r="W7" s="3192"/>
    </row>
    <row r="8" spans="1:23" s="3193" customFormat="1" ht="16.5">
      <c r="A8" s="3190" t="s">
        <v>3142</v>
      </c>
      <c r="B8" s="3191" t="s">
        <v>3037</v>
      </c>
      <c r="C8" s="3191" t="s">
        <v>3049</v>
      </c>
      <c r="D8" s="3191" t="s">
        <v>2818</v>
      </c>
      <c r="E8" s="3191" t="s">
        <v>3077</v>
      </c>
      <c r="F8" s="3191" t="s">
        <v>3040</v>
      </c>
      <c r="G8" s="3191" t="s">
        <v>3078</v>
      </c>
      <c r="H8" s="3191" t="s">
        <v>3052</v>
      </c>
      <c r="I8" s="3191">
        <v>58410.58</v>
      </c>
      <c r="J8" s="3191">
        <v>146026.5</v>
      </c>
      <c r="K8" s="3191" t="s">
        <v>3043</v>
      </c>
      <c r="L8" s="3191" t="s">
        <v>3079</v>
      </c>
      <c r="M8" s="3191" t="s">
        <v>3080</v>
      </c>
      <c r="N8" s="3191" t="s">
        <v>3081</v>
      </c>
      <c r="O8" s="3191">
        <v>46824.56</v>
      </c>
      <c r="P8" s="3191">
        <v>534.42999999999995</v>
      </c>
      <c r="Q8" s="3191">
        <v>3206.57</v>
      </c>
      <c r="R8" s="3191">
        <v>94.1</v>
      </c>
      <c r="S8" s="3191" t="s">
        <v>3056</v>
      </c>
      <c r="T8" s="3191" t="s">
        <v>3048</v>
      </c>
      <c r="U8" s="3194" t="s">
        <v>3143</v>
      </c>
      <c r="V8" s="3192"/>
      <c r="W8" s="3192"/>
    </row>
    <row r="9" spans="1:23" ht="16.5" hidden="1">
      <c r="A9" s="3187" t="s">
        <v>3152</v>
      </c>
      <c r="B9" s="3188" t="s">
        <v>3037</v>
      </c>
      <c r="C9" s="3188" t="s">
        <v>3049</v>
      </c>
      <c r="D9" s="3188" t="s">
        <v>2818</v>
      </c>
      <c r="E9" s="3188" t="s">
        <v>3082</v>
      </c>
      <c r="F9" s="3188" t="s">
        <v>3040</v>
      </c>
      <c r="G9" s="3188" t="s">
        <v>3083</v>
      </c>
      <c r="H9" s="3188" t="s">
        <v>3049</v>
      </c>
      <c r="I9" s="3188">
        <v>17488.41</v>
      </c>
      <c r="J9" s="3188">
        <v>38474.5</v>
      </c>
      <c r="K9" s="3188" t="s">
        <v>3084</v>
      </c>
      <c r="L9" s="3188" t="s">
        <v>3085</v>
      </c>
      <c r="M9" s="3188" t="s">
        <v>3086</v>
      </c>
      <c r="N9" s="3188" t="s">
        <v>3087</v>
      </c>
      <c r="O9" s="3188">
        <v>5649</v>
      </c>
      <c r="P9" s="3188">
        <v>215.34</v>
      </c>
      <c r="Q9" s="3188">
        <v>1468.25</v>
      </c>
      <c r="R9" s="3188">
        <v>438</v>
      </c>
      <c r="S9" s="3188" t="s">
        <v>3056</v>
      </c>
      <c r="T9" s="3188" t="s">
        <v>3048</v>
      </c>
      <c r="U9" s="3188"/>
      <c r="V9" s="3183"/>
      <c r="W9" s="3183"/>
    </row>
    <row r="10" spans="1:23" ht="16.5" hidden="1">
      <c r="A10" s="3188" t="s">
        <v>3088</v>
      </c>
      <c r="B10" s="3188" t="s">
        <v>3037</v>
      </c>
      <c r="C10" s="3188" t="s">
        <v>3049</v>
      </c>
      <c r="D10" s="3188" t="s">
        <v>2818</v>
      </c>
      <c r="E10" s="3188" t="s">
        <v>3088</v>
      </c>
      <c r="F10" s="3188" t="s">
        <v>3040</v>
      </c>
      <c r="G10" s="3188" t="s">
        <v>3089</v>
      </c>
      <c r="H10" s="3188" t="s">
        <v>3049</v>
      </c>
      <c r="I10" s="3188">
        <v>26502</v>
      </c>
      <c r="J10" s="3188">
        <v>58304.4</v>
      </c>
      <c r="K10" s="3188" t="s">
        <v>3084</v>
      </c>
      <c r="L10" s="3188" t="s">
        <v>3085</v>
      </c>
      <c r="M10" s="3188" t="s">
        <v>3086</v>
      </c>
      <c r="N10" s="3188" t="s">
        <v>3087</v>
      </c>
      <c r="O10" s="3188">
        <v>4237</v>
      </c>
      <c r="P10" s="3188">
        <v>106.58</v>
      </c>
      <c r="Q10" s="3188">
        <v>726.7</v>
      </c>
      <c r="R10" s="3188">
        <v>136.84</v>
      </c>
      <c r="S10" s="3188" t="s">
        <v>3056</v>
      </c>
      <c r="T10" s="3188" t="s">
        <v>3048</v>
      </c>
      <c r="U10" s="3188"/>
      <c r="V10" s="3183"/>
      <c r="W10" s="3183"/>
    </row>
    <row r="11" spans="1:23" ht="16.5">
      <c r="A11" s="3185" t="s">
        <v>3144</v>
      </c>
      <c r="B11" s="3184" t="s">
        <v>3037</v>
      </c>
      <c r="C11" s="3184" t="s">
        <v>3049</v>
      </c>
      <c r="D11" s="3184" t="s">
        <v>2818</v>
      </c>
      <c r="E11" s="3184" t="s">
        <v>3090</v>
      </c>
      <c r="F11" s="3184" t="s">
        <v>3040</v>
      </c>
      <c r="G11" s="3184" t="s">
        <v>3091</v>
      </c>
      <c r="H11" s="3184" t="s">
        <v>3049</v>
      </c>
      <c r="I11" s="3184">
        <v>36606.959999999999</v>
      </c>
      <c r="J11" s="3184">
        <v>91517.4</v>
      </c>
      <c r="K11" s="3184" t="s">
        <v>3043</v>
      </c>
      <c r="L11" s="3184" t="s">
        <v>3092</v>
      </c>
      <c r="M11" s="3184" t="s">
        <v>3093</v>
      </c>
      <c r="N11" s="3184" t="s">
        <v>3094</v>
      </c>
      <c r="O11" s="3184">
        <v>12102</v>
      </c>
      <c r="P11" s="3184">
        <v>220.4</v>
      </c>
      <c r="Q11" s="3184">
        <v>1322.36</v>
      </c>
      <c r="R11" s="3184">
        <v>50.96</v>
      </c>
      <c r="S11" s="3184" t="s">
        <v>3056</v>
      </c>
      <c r="T11" s="3184" t="s">
        <v>3048</v>
      </c>
      <c r="U11" s="3184"/>
      <c r="V11" s="2915"/>
      <c r="W11" s="2915"/>
    </row>
    <row r="12" spans="1:23" ht="16.5">
      <c r="A12" s="3184" t="s">
        <v>3095</v>
      </c>
      <c r="B12" s="3184" t="s">
        <v>3037</v>
      </c>
      <c r="C12" s="3184" t="s">
        <v>3049</v>
      </c>
      <c r="D12" s="3184" t="s">
        <v>2818</v>
      </c>
      <c r="E12" s="3184" t="s">
        <v>3095</v>
      </c>
      <c r="F12" s="3184" t="s">
        <v>3040</v>
      </c>
      <c r="G12" s="3184" t="s">
        <v>3096</v>
      </c>
      <c r="H12" s="3184" t="s">
        <v>3049</v>
      </c>
      <c r="I12" s="3184">
        <v>63815.38</v>
      </c>
      <c r="J12" s="3184">
        <v>159538.45000000001</v>
      </c>
      <c r="K12" s="3184" t="s">
        <v>3043</v>
      </c>
      <c r="L12" s="3184" t="s">
        <v>3092</v>
      </c>
      <c r="M12" s="3184" t="s">
        <v>3093</v>
      </c>
      <c r="N12" s="3184" t="s">
        <v>3094</v>
      </c>
      <c r="O12" s="3184">
        <v>26370</v>
      </c>
      <c r="P12" s="3184">
        <v>275.48</v>
      </c>
      <c r="Q12" s="3184">
        <v>1652.89</v>
      </c>
      <c r="R12" s="3184">
        <v>38.9</v>
      </c>
      <c r="S12" s="3184" t="s">
        <v>3056</v>
      </c>
      <c r="T12" s="3184" t="s">
        <v>3048</v>
      </c>
      <c r="U12" s="3184" t="s">
        <v>3097</v>
      </c>
      <c r="V12" s="2915"/>
      <c r="W12" s="2915"/>
    </row>
    <row r="13" spans="1:23" ht="16.5">
      <c r="A13" s="3184" t="s">
        <v>3098</v>
      </c>
      <c r="B13" s="3184" t="s">
        <v>3037</v>
      </c>
      <c r="C13" s="3184" t="s">
        <v>3049</v>
      </c>
      <c r="D13" s="3184" t="s">
        <v>2818</v>
      </c>
      <c r="E13" s="3184" t="s">
        <v>3098</v>
      </c>
      <c r="F13" s="3184" t="s">
        <v>3040</v>
      </c>
      <c r="G13" s="3184" t="s">
        <v>3099</v>
      </c>
      <c r="H13" s="3184" t="s">
        <v>3049</v>
      </c>
      <c r="I13" s="3184">
        <v>62838.9</v>
      </c>
      <c r="J13" s="3184">
        <v>157097.25</v>
      </c>
      <c r="K13" s="3184" t="s">
        <v>3043</v>
      </c>
      <c r="L13" s="3184" t="s">
        <v>3100</v>
      </c>
      <c r="M13" s="3184" t="s">
        <v>3101</v>
      </c>
      <c r="N13" s="3185" t="s">
        <v>3145</v>
      </c>
      <c r="O13" s="3184">
        <v>25968</v>
      </c>
      <c r="P13" s="3184">
        <v>275.5</v>
      </c>
      <c r="Q13" s="3184">
        <v>1652.99</v>
      </c>
      <c r="R13" s="3184">
        <v>267.33</v>
      </c>
      <c r="S13" s="3184" t="s">
        <v>3056</v>
      </c>
      <c r="T13" s="3184" t="s">
        <v>3048</v>
      </c>
      <c r="U13" s="3184"/>
      <c r="V13" s="2915"/>
      <c r="W13" s="2915"/>
    </row>
    <row r="14" spans="1:23" ht="16.5">
      <c r="A14" s="3185" t="s">
        <v>3153</v>
      </c>
      <c r="B14" s="3184" t="s">
        <v>3037</v>
      </c>
      <c r="C14" s="3184" t="s">
        <v>3049</v>
      </c>
      <c r="D14" s="3184" t="s">
        <v>2818</v>
      </c>
      <c r="E14" s="3184" t="s">
        <v>3102</v>
      </c>
      <c r="F14" s="3184" t="s">
        <v>3040</v>
      </c>
      <c r="G14" s="3184" t="s">
        <v>3103</v>
      </c>
      <c r="H14" s="3184" t="s">
        <v>3049</v>
      </c>
      <c r="I14" s="3184">
        <v>38086.870000000003</v>
      </c>
      <c r="J14" s="3184">
        <v>95217.18</v>
      </c>
      <c r="K14" s="3184" t="s">
        <v>3043</v>
      </c>
      <c r="L14" s="3184" t="s">
        <v>3100</v>
      </c>
      <c r="M14" s="3184" t="s">
        <v>3101</v>
      </c>
      <c r="N14" s="3184" t="s">
        <v>3104</v>
      </c>
      <c r="O14" s="3184">
        <v>13313.46</v>
      </c>
      <c r="P14" s="3184">
        <v>233.04</v>
      </c>
      <c r="Q14" s="3184">
        <v>1398.22</v>
      </c>
      <c r="R14" s="3184">
        <v>258.52</v>
      </c>
      <c r="S14" s="3184" t="s">
        <v>3056</v>
      </c>
      <c r="T14" s="3184" t="s">
        <v>3048</v>
      </c>
      <c r="U14" s="3184"/>
      <c r="V14" s="2915"/>
      <c r="W14" s="2915"/>
    </row>
    <row r="15" spans="1:23" ht="16.5">
      <c r="A15" s="3184" t="s">
        <v>3105</v>
      </c>
      <c r="B15" s="3184" t="s">
        <v>3037</v>
      </c>
      <c r="C15" s="3184" t="s">
        <v>3049</v>
      </c>
      <c r="D15" s="3184" t="s">
        <v>2818</v>
      </c>
      <c r="E15" s="3184" t="s">
        <v>3105</v>
      </c>
      <c r="F15" s="3184" t="s">
        <v>3040</v>
      </c>
      <c r="G15" s="3184" t="s">
        <v>3106</v>
      </c>
      <c r="H15" s="3184" t="s">
        <v>3049</v>
      </c>
      <c r="I15" s="3184">
        <v>40790.29</v>
      </c>
      <c r="J15" s="3184">
        <v>101975.73</v>
      </c>
      <c r="K15" s="3184" t="s">
        <v>3043</v>
      </c>
      <c r="L15" s="3184" t="s">
        <v>3100</v>
      </c>
      <c r="M15" s="3184" t="s">
        <v>3101</v>
      </c>
      <c r="N15" s="3184" t="s">
        <v>3104</v>
      </c>
      <c r="O15" s="3184">
        <v>15086.86</v>
      </c>
      <c r="P15" s="3184">
        <v>246.58</v>
      </c>
      <c r="Q15" s="3184">
        <v>1479.46</v>
      </c>
      <c r="R15" s="3184">
        <v>280.32</v>
      </c>
      <c r="S15" s="3184" t="s">
        <v>3056</v>
      </c>
      <c r="T15" s="3184" t="s">
        <v>3048</v>
      </c>
      <c r="U15" s="3184"/>
      <c r="V15" s="2915"/>
      <c r="W15" s="2915"/>
    </row>
    <row r="16" spans="1:23" ht="16.5" hidden="1">
      <c r="A16" s="3187" t="s">
        <v>3154</v>
      </c>
      <c r="B16" s="3188" t="s">
        <v>3037</v>
      </c>
      <c r="C16" s="3188" t="s">
        <v>3049</v>
      </c>
      <c r="D16" s="3188" t="s">
        <v>2818</v>
      </c>
      <c r="E16" s="3188" t="s">
        <v>3107</v>
      </c>
      <c r="F16" s="3188" t="s">
        <v>3040</v>
      </c>
      <c r="G16" s="3188" t="s">
        <v>3108</v>
      </c>
      <c r="H16" s="3188" t="s">
        <v>3052</v>
      </c>
      <c r="I16" s="3188">
        <v>29909.95</v>
      </c>
      <c r="J16" s="3188">
        <v>78364.070000000007</v>
      </c>
      <c r="K16" s="3188" t="s">
        <v>3109</v>
      </c>
      <c r="L16" s="3188" t="s">
        <v>3110</v>
      </c>
      <c r="M16" s="3188" t="s">
        <v>3111</v>
      </c>
      <c r="N16" s="3188" t="s">
        <v>3112</v>
      </c>
      <c r="O16" s="3188">
        <v>1930</v>
      </c>
      <c r="P16" s="3188">
        <v>43.02</v>
      </c>
      <c r="Q16" s="3188">
        <v>246.28</v>
      </c>
      <c r="R16" s="3188">
        <v>0</v>
      </c>
      <c r="S16" s="3188" t="s">
        <v>3056</v>
      </c>
      <c r="T16" s="3188" t="s">
        <v>3048</v>
      </c>
      <c r="U16" s="3188"/>
      <c r="V16" s="3183"/>
      <c r="W16" s="3183"/>
    </row>
    <row r="17" spans="1:23" ht="16.5" hidden="1">
      <c r="A17" s="3188" t="s">
        <v>3113</v>
      </c>
      <c r="B17" s="3188" t="s">
        <v>3037</v>
      </c>
      <c r="C17" s="3188" t="s">
        <v>3049</v>
      </c>
      <c r="D17" s="3188" t="s">
        <v>2818</v>
      </c>
      <c r="E17" s="3188" t="s">
        <v>3113</v>
      </c>
      <c r="F17" s="3188" t="s">
        <v>3040</v>
      </c>
      <c r="G17" s="3188" t="s">
        <v>3114</v>
      </c>
      <c r="H17" s="3188" t="s">
        <v>3052</v>
      </c>
      <c r="I17" s="3188">
        <v>26262.19</v>
      </c>
      <c r="J17" s="3188">
        <v>65655.48</v>
      </c>
      <c r="K17" s="3188" t="s">
        <v>3043</v>
      </c>
      <c r="L17" s="3188" t="s">
        <v>3110</v>
      </c>
      <c r="M17" s="3188" t="s">
        <v>3111</v>
      </c>
      <c r="N17" s="3188" t="s">
        <v>3115</v>
      </c>
      <c r="O17" s="3188">
        <v>3190.42</v>
      </c>
      <c r="P17" s="3188">
        <v>80.989999999999995</v>
      </c>
      <c r="Q17" s="3188">
        <v>485.93</v>
      </c>
      <c r="R17" s="3188">
        <v>42.09</v>
      </c>
      <c r="S17" s="3188" t="s">
        <v>3056</v>
      </c>
      <c r="T17" s="3188" t="s">
        <v>3048</v>
      </c>
      <c r="U17" s="3188"/>
      <c r="V17" s="3183"/>
      <c r="W17" s="3183"/>
    </row>
    <row r="18" spans="1:23" ht="16.5" hidden="1">
      <c r="A18" s="3188" t="s">
        <v>3116</v>
      </c>
      <c r="B18" s="3188" t="s">
        <v>3037</v>
      </c>
      <c r="C18" s="3188" t="s">
        <v>3049</v>
      </c>
      <c r="D18" s="3188" t="s">
        <v>2818</v>
      </c>
      <c r="E18" s="3188" t="s">
        <v>3116</v>
      </c>
      <c r="F18" s="3188" t="s">
        <v>3040</v>
      </c>
      <c r="G18" s="3188" t="s">
        <v>3117</v>
      </c>
      <c r="H18" s="3188" t="s">
        <v>3052</v>
      </c>
      <c r="I18" s="3188">
        <v>44984.71</v>
      </c>
      <c r="J18" s="3188">
        <v>112461.78</v>
      </c>
      <c r="K18" s="3188" t="s">
        <v>3043</v>
      </c>
      <c r="L18" s="3188" t="s">
        <v>3110</v>
      </c>
      <c r="M18" s="3188" t="s">
        <v>3111</v>
      </c>
      <c r="N18" s="3188" t="s">
        <v>3118</v>
      </c>
      <c r="O18" s="3188">
        <v>2753.19</v>
      </c>
      <c r="P18" s="3188">
        <v>40.799999999999997</v>
      </c>
      <c r="Q18" s="3188">
        <v>244.81</v>
      </c>
      <c r="R18" s="3188">
        <v>2</v>
      </c>
      <c r="S18" s="3188" t="s">
        <v>3056</v>
      </c>
      <c r="T18" s="3188" t="s">
        <v>3048</v>
      </c>
      <c r="U18" s="3188"/>
      <c r="V18" s="3183"/>
      <c r="W18" s="3183"/>
    </row>
    <row r="19" spans="1:23" ht="16.5">
      <c r="A19" s="3185" t="s">
        <v>3146</v>
      </c>
      <c r="B19" s="3184" t="s">
        <v>3037</v>
      </c>
      <c r="C19" s="3184" t="s">
        <v>3038</v>
      </c>
      <c r="D19" s="3184" t="s">
        <v>2818</v>
      </c>
      <c r="E19" s="3185" t="s">
        <v>3147</v>
      </c>
      <c r="F19" s="3184" t="s">
        <v>3040</v>
      </c>
      <c r="G19" s="3184" t="s">
        <v>3119</v>
      </c>
      <c r="H19" s="3184" t="s">
        <v>3120</v>
      </c>
      <c r="I19" s="3184">
        <v>60161.440000000002</v>
      </c>
      <c r="J19" s="3184">
        <v>168452</v>
      </c>
      <c r="K19" s="3184" t="s">
        <v>3121</v>
      </c>
      <c r="L19" s="3184" t="s">
        <v>3122</v>
      </c>
      <c r="M19" s="3184" t="s">
        <v>3123</v>
      </c>
      <c r="N19" s="3184" t="s">
        <v>3124</v>
      </c>
      <c r="O19" s="3184">
        <v>22100</v>
      </c>
      <c r="P19" s="3184">
        <v>244.9</v>
      </c>
      <c r="Q19" s="3184">
        <v>1311.95</v>
      </c>
      <c r="R19" s="3184">
        <v>36</v>
      </c>
      <c r="S19" s="3184" t="s">
        <v>3047</v>
      </c>
      <c r="T19" s="3184" t="s">
        <v>3048</v>
      </c>
      <c r="U19" s="3184"/>
      <c r="V19" s="2915"/>
      <c r="W19" s="2915"/>
    </row>
    <row r="20" spans="1:23" ht="16.5">
      <c r="A20" s="3184" t="s">
        <v>3125</v>
      </c>
      <c r="B20" s="3184" t="s">
        <v>3037</v>
      </c>
      <c r="C20" s="3184" t="s">
        <v>3038</v>
      </c>
      <c r="D20" s="3184" t="s">
        <v>2818</v>
      </c>
      <c r="E20" s="3184" t="s">
        <v>3125</v>
      </c>
      <c r="F20" s="3184" t="s">
        <v>3040</v>
      </c>
      <c r="G20" s="3184" t="s">
        <v>3126</v>
      </c>
      <c r="H20" s="3184" t="s">
        <v>3120</v>
      </c>
      <c r="I20" s="3184">
        <v>62045.65</v>
      </c>
      <c r="J20" s="3184">
        <v>173727.8</v>
      </c>
      <c r="K20" s="3184" t="s">
        <v>3121</v>
      </c>
      <c r="L20" s="3184" t="s">
        <v>3122</v>
      </c>
      <c r="M20" s="3184" t="s">
        <v>3123</v>
      </c>
      <c r="N20" s="3184" t="s">
        <v>3127</v>
      </c>
      <c r="O20" s="3184">
        <v>26200</v>
      </c>
      <c r="P20" s="3184">
        <v>281.51</v>
      </c>
      <c r="Q20" s="3184">
        <v>1508.1</v>
      </c>
      <c r="R20" s="3184">
        <v>55.95</v>
      </c>
      <c r="S20" s="3184" t="s">
        <v>3047</v>
      </c>
      <c r="T20" s="3184" t="s">
        <v>3048</v>
      </c>
      <c r="U20" s="3184"/>
      <c r="V20" s="2915"/>
      <c r="W20" s="2915"/>
    </row>
    <row r="21" spans="1:23" ht="16.5">
      <c r="A21" s="3184" t="s">
        <v>3128</v>
      </c>
      <c r="B21" s="3184" t="s">
        <v>3037</v>
      </c>
      <c r="C21" s="3184" t="s">
        <v>3038</v>
      </c>
      <c r="D21" s="3184" t="s">
        <v>2818</v>
      </c>
      <c r="E21" s="3184" t="s">
        <v>3128</v>
      </c>
      <c r="F21" s="3184" t="s">
        <v>3040</v>
      </c>
      <c r="G21" s="3184" t="s">
        <v>3129</v>
      </c>
      <c r="H21" s="3184" t="s">
        <v>3120</v>
      </c>
      <c r="I21" s="3184">
        <v>53312.54</v>
      </c>
      <c r="J21" s="3184">
        <v>149275.1</v>
      </c>
      <c r="K21" s="3184" t="s">
        <v>3121</v>
      </c>
      <c r="L21" s="3184" t="s">
        <v>3122</v>
      </c>
      <c r="M21" s="3184" t="s">
        <v>3123</v>
      </c>
      <c r="N21" s="3184" t="s">
        <v>3127</v>
      </c>
      <c r="O21" s="3184">
        <v>18400</v>
      </c>
      <c r="P21" s="3184">
        <v>230.09</v>
      </c>
      <c r="Q21" s="3184">
        <v>1232.6099999999999</v>
      </c>
      <c r="R21" s="3184">
        <v>27.78</v>
      </c>
      <c r="S21" s="3184" t="s">
        <v>3047</v>
      </c>
      <c r="T21" s="3184" t="s">
        <v>3048</v>
      </c>
      <c r="U21" s="3184"/>
      <c r="V21" s="2915"/>
      <c r="W21" s="2915"/>
    </row>
    <row r="22" spans="1:23" ht="16.5">
      <c r="A22" s="3184" t="s">
        <v>3130</v>
      </c>
      <c r="B22" s="3184" t="s">
        <v>3037</v>
      </c>
      <c r="C22" s="3184" t="s">
        <v>3049</v>
      </c>
      <c r="D22" s="3184" t="s">
        <v>2818</v>
      </c>
      <c r="E22" s="3184" t="s">
        <v>3130</v>
      </c>
      <c r="F22" s="3184" t="s">
        <v>3040</v>
      </c>
      <c r="G22" s="3184" t="s">
        <v>3131</v>
      </c>
      <c r="H22" s="3184" t="s">
        <v>3052</v>
      </c>
      <c r="I22" s="3184">
        <v>66666.67</v>
      </c>
      <c r="J22" s="3184">
        <v>186666.68</v>
      </c>
      <c r="K22" s="3184" t="s">
        <v>3121</v>
      </c>
      <c r="L22" s="3184" t="s">
        <v>3132</v>
      </c>
      <c r="M22" s="3184" t="s">
        <v>3133</v>
      </c>
      <c r="N22" s="3184" t="s">
        <v>3134</v>
      </c>
      <c r="O22" s="3184">
        <v>20800</v>
      </c>
      <c r="P22" s="3184">
        <v>208</v>
      </c>
      <c r="Q22" s="3184">
        <v>1114.28</v>
      </c>
      <c r="R22" s="3184">
        <v>60</v>
      </c>
      <c r="S22" s="3184" t="s">
        <v>3056</v>
      </c>
      <c r="T22" s="3184" t="s">
        <v>3048</v>
      </c>
      <c r="U22" s="3184" t="s">
        <v>3135</v>
      </c>
      <c r="V22" s="2915"/>
      <c r="W22" s="2915"/>
    </row>
    <row r="23" spans="1:23" ht="16.5">
      <c r="A23" s="3185" t="s">
        <v>3148</v>
      </c>
      <c r="B23" s="3184" t="s">
        <v>3037</v>
      </c>
      <c r="C23" s="3184" t="s">
        <v>3049</v>
      </c>
      <c r="D23" s="3184" t="s">
        <v>2818</v>
      </c>
      <c r="E23" s="3184" t="s">
        <v>3136</v>
      </c>
      <c r="F23" s="3184" t="s">
        <v>3040</v>
      </c>
      <c r="G23" s="3184" t="s">
        <v>3137</v>
      </c>
      <c r="H23" s="3184" t="s">
        <v>3052</v>
      </c>
      <c r="I23" s="3184">
        <v>70000</v>
      </c>
      <c r="J23" s="3184">
        <v>196000</v>
      </c>
      <c r="K23" s="3184" t="s">
        <v>3121</v>
      </c>
      <c r="L23" s="3189">
        <v>42608</v>
      </c>
      <c r="M23" s="3184" t="s">
        <v>3138</v>
      </c>
      <c r="N23" s="3184" t="s">
        <v>3134</v>
      </c>
      <c r="O23" s="3184">
        <v>21567</v>
      </c>
      <c r="P23" s="3184">
        <v>205.4</v>
      </c>
      <c r="Q23" s="3184">
        <v>1100.3499999999999</v>
      </c>
      <c r="R23" s="3184">
        <v>58</v>
      </c>
      <c r="S23" s="3184" t="s">
        <v>3056</v>
      </c>
      <c r="T23" s="3184" t="s">
        <v>3048</v>
      </c>
      <c r="U23" s="3184"/>
      <c r="V23" s="2915"/>
      <c r="W23" s="2915"/>
    </row>
  </sheetData>
  <phoneticPr fontId="228" type="noConversion"/>
  <hyperlinks>
    <hyperlink ref="U2" r:id="rId1"/>
    <hyperlink ref="U8" r:id="rId2"/>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 sqref="A1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2039</v>
      </c>
      <c r="B1" s="3206"/>
      <c r="C1" s="3206"/>
      <c r="D1" s="3206"/>
      <c r="E1" s="3206"/>
      <c r="F1" s="3206"/>
      <c r="G1" s="3206"/>
      <c r="H1" s="3206"/>
      <c r="I1" s="3206"/>
      <c r="J1" s="3206"/>
      <c r="K1" s="3206"/>
      <c r="L1" s="3206"/>
      <c r="M1" s="3206"/>
      <c r="N1" s="3206"/>
      <c r="O1" s="3206"/>
      <c r="P1" s="3206"/>
      <c r="Q1" s="3206"/>
      <c r="R1" s="3206"/>
    </row>
    <row r="2" spans="1:18">
      <c r="A2" s="1805" t="s">
        <v>2041</v>
      </c>
      <c r="B2" s="1805"/>
      <c r="C2" s="1805"/>
      <c r="D2" s="1805"/>
      <c r="E2" s="1805"/>
      <c r="F2" s="1805"/>
      <c r="G2" s="1805"/>
      <c r="H2" s="1805"/>
      <c r="I2" s="1806"/>
      <c r="J2" s="1806"/>
      <c r="K2" s="1807" t="str">
        <f>"估价期日："&amp;TEXT(项目基本情况!D3,"yyyy年m月d日;;")</f>
        <v>估价期日：2019年1月10日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2030</v>
      </c>
      <c r="B3" s="3207" t="s">
        <v>2731</v>
      </c>
      <c r="C3" s="3208" t="s">
        <v>2031</v>
      </c>
      <c r="D3" s="3207" t="s">
        <v>2735</v>
      </c>
      <c r="E3" s="3202" t="s">
        <v>2032</v>
      </c>
      <c r="F3" s="3202"/>
      <c r="G3" s="3202"/>
      <c r="H3" s="3202" t="s">
        <v>2033</v>
      </c>
      <c r="I3" s="3202"/>
      <c r="J3" s="3202"/>
      <c r="K3" s="3208" t="s">
        <v>2034</v>
      </c>
      <c r="L3" s="3208" t="s">
        <v>2035</v>
      </c>
      <c r="M3" s="3207" t="s">
        <v>2732</v>
      </c>
      <c r="N3" s="3209" t="str">
        <f>"（分摊）"&amp;项目基本情况!B16&amp;"国有建设用地使用权面积/㎡"</f>
        <v>（分摊）出让国有建设用地使用权面积/㎡</v>
      </c>
      <c r="O3" s="3207" t="s">
        <v>2064</v>
      </c>
      <c r="P3" s="3208" t="s">
        <v>2044</v>
      </c>
      <c r="Q3" s="3208" t="s">
        <v>2065</v>
      </c>
      <c r="R3" s="3208" t="s">
        <v>2036</v>
      </c>
    </row>
    <row r="4" spans="1:18" ht="36.75" customHeight="1">
      <c r="A4" s="3207"/>
      <c r="B4" s="3207"/>
      <c r="C4" s="3208"/>
      <c r="D4" s="3207"/>
      <c r="E4" s="2626" t="s">
        <v>2043</v>
      </c>
      <c r="F4" s="2626" t="s">
        <v>2744</v>
      </c>
      <c r="G4" s="2626" t="s">
        <v>2037</v>
      </c>
      <c r="H4" s="2626" t="s">
        <v>2038</v>
      </c>
      <c r="I4" s="2626" t="s">
        <v>2745</v>
      </c>
      <c r="J4" s="2626" t="s">
        <v>2037</v>
      </c>
      <c r="K4" s="3208"/>
      <c r="L4" s="3208"/>
      <c r="M4" s="3207"/>
      <c r="N4" s="3209"/>
      <c r="O4" s="3207"/>
      <c r="P4" s="3208"/>
      <c r="Q4" s="3208"/>
      <c r="R4" s="3208"/>
    </row>
    <row r="5" spans="1:18" ht="135" customHeight="1">
      <c r="A5" s="1941" t="s">
        <v>2655</v>
      </c>
      <c r="B5" s="2843" t="s">
        <v>2653</v>
      </c>
      <c r="C5" s="2625">
        <v>22</v>
      </c>
      <c r="D5" s="2624" t="s">
        <v>2654</v>
      </c>
      <c r="E5" s="1808" t="str">
        <f>项目基本情况!B12</f>
        <v>商住、娱乐</v>
      </c>
      <c r="F5" s="2624">
        <v>258</v>
      </c>
      <c r="G5" s="1808">
        <f>项目基本情况!B13</f>
        <v>0</v>
      </c>
      <c r="H5" s="2624">
        <v>1.5</v>
      </c>
      <c r="I5" s="2624">
        <v>1.5</v>
      </c>
      <c r="J5" s="2624">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88890.36</v>
      </c>
      <c r="O5" s="1808">
        <f>项目基本情况!C21</f>
        <v>299369.98</v>
      </c>
      <c r="P5" s="1808">
        <f ca="1">结果表!E42</f>
        <v>6729</v>
      </c>
      <c r="Q5" s="1808">
        <f ca="1">结果表!D42</f>
        <v>1998</v>
      </c>
      <c r="R5" s="1809">
        <f ca="1">结果表!C42</f>
        <v>59818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0">
        <f ca="1">结果表!O39</f>
        <v>59818</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0"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1" t="s">
        <v>2066</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2067</v>
      </c>
      <c r="B5" s="3210"/>
      <c r="C5" s="3210"/>
      <c r="D5" s="3210"/>
    </row>
    <row r="6" spans="1:4">
      <c r="A6" s="3211" t="s">
        <v>2045</v>
      </c>
      <c r="B6" s="3211"/>
      <c r="C6" s="3211"/>
      <c r="D6" s="3211"/>
    </row>
    <row r="7" spans="1:4" ht="33" customHeight="1">
      <c r="A7" s="3211" t="s">
        <v>2575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2069</v>
      </c>
      <c r="B12" s="3210"/>
      <c r="C12" s="3210"/>
      <c r="D12" s="3210"/>
    </row>
    <row r="13" spans="1:4">
      <c r="A13" s="3214" t="s">
        <v>2746</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2702</v>
      </c>
      <c r="B17" s="3211"/>
      <c r="C17" s="3211"/>
      <c r="D17" s="3211"/>
    </row>
    <row r="18" spans="1:4">
      <c r="A18" s="3211" t="s">
        <v>2694</v>
      </c>
      <c r="B18" s="3211"/>
      <c r="C18" s="3211"/>
      <c r="D18" s="3211"/>
    </row>
    <row r="19" spans="1:4">
      <c r="A19" s="2844" t="s">
        <v>2695</v>
      </c>
      <c r="B19" s="2844" t="s">
        <v>2696</v>
      </c>
      <c r="C19" s="2844" t="s">
        <v>2697</v>
      </c>
      <c r="D19" s="2844" t="s">
        <v>2698</v>
      </c>
    </row>
    <row r="20" spans="1:4">
      <c r="A20" s="2844" t="str">
        <f>项目基本情况!B4</f>
        <v>王鹏</v>
      </c>
      <c r="B20" s="2844">
        <f ca="1">项目基本情况!C4</f>
        <v>2002110030</v>
      </c>
      <c r="C20" s="2846"/>
      <c r="D20" s="1798" t="s">
        <v>2703</v>
      </c>
    </row>
    <row r="21" spans="1:4">
      <c r="A21" s="2844" t="str">
        <f>项目基本情况!D4</f>
        <v>郑燚</v>
      </c>
      <c r="B21" s="2844">
        <f ca="1">项目基本情况!E4</f>
        <v>2014110011</v>
      </c>
      <c r="C21" s="2846"/>
      <c r="D21" s="1798" t="s">
        <v>2704</v>
      </c>
    </row>
    <row r="23" spans="1:4">
      <c r="A23" s="3211" t="s">
        <v>2699</v>
      </c>
      <c r="B23" s="3211"/>
      <c r="C23" s="3211"/>
      <c r="D23" s="3211"/>
    </row>
    <row r="24" spans="1:4">
      <c r="A24" s="2844" t="s">
        <v>2695</v>
      </c>
      <c r="B24" s="2844" t="s">
        <v>2700</v>
      </c>
      <c r="C24" s="2844" t="s">
        <v>2697</v>
      </c>
      <c r="D24" s="2844" t="s">
        <v>2698</v>
      </c>
    </row>
    <row r="25" spans="1:4">
      <c r="A25" s="2847" t="s">
        <v>2701</v>
      </c>
      <c r="B25" s="2844" t="s">
        <v>952</v>
      </c>
      <c r="C25" s="2846"/>
      <c r="D25" s="1798" t="s">
        <v>2704</v>
      </c>
    </row>
    <row r="29" spans="1:4">
      <c r="D29" s="2845" t="s">
        <v>2040</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2" t="s">
        <v>53</v>
      </c>
      <c r="B15" s="3223" t="s">
        <v>846</v>
      </c>
      <c r="C15" s="3219"/>
    </row>
    <row r="16" spans="1:7" ht="14.25">
      <c r="A16" s="3222"/>
      <c r="B16" s="3220" t="s">
        <v>54</v>
      </c>
      <c r="C16" s="1170" t="s">
        <v>53</v>
      </c>
    </row>
    <row r="17" spans="1:3" ht="14.25">
      <c r="A17" s="3222"/>
      <c r="B17" s="3220"/>
      <c r="C17" s="1170" t="s">
        <v>55</v>
      </c>
    </row>
    <row r="18" spans="1:3" ht="14.25">
      <c r="A18" s="3222"/>
      <c r="B18" s="3220"/>
      <c r="C18" s="1170" t="s">
        <v>56</v>
      </c>
    </row>
    <row r="19" spans="1:3" ht="14.25">
      <c r="A19" s="3222"/>
      <c r="B19" s="3218" t="s">
        <v>57</v>
      </c>
      <c r="C19" s="3219"/>
    </row>
    <row r="20" spans="1:3" ht="14.25">
      <c r="A20" s="1171" t="s">
        <v>58</v>
      </c>
      <c r="B20" s="1172"/>
      <c r="C20" s="1173"/>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4" t="s">
        <v>837</v>
      </c>
    </row>
    <row r="25" spans="1:3" ht="14.25">
      <c r="A25" s="3221"/>
      <c r="B25" s="3225"/>
      <c r="C25" s="1174" t="s">
        <v>838</v>
      </c>
    </row>
    <row r="26" spans="1:3" ht="14.25">
      <c r="A26" s="3221"/>
      <c r="B26" s="3225"/>
      <c r="C26" s="1174" t="s">
        <v>839</v>
      </c>
    </row>
    <row r="27" spans="1:3" ht="14.25">
      <c r="A27" s="3221"/>
      <c r="B27" s="3225"/>
      <c r="C27" s="1174" t="s">
        <v>840</v>
      </c>
    </row>
    <row r="28" spans="1:3" ht="14.25">
      <c r="A28" s="3221"/>
      <c r="B28" s="3225"/>
      <c r="C28" s="1174" t="s">
        <v>841</v>
      </c>
    </row>
    <row r="29" spans="1:3" ht="14.25">
      <c r="A29" s="3221"/>
      <c r="B29" s="3225"/>
      <c r="C29" s="1174" t="s">
        <v>842</v>
      </c>
    </row>
    <row r="30" spans="1:3" ht="14.25">
      <c r="A30" s="3221"/>
      <c r="B30" s="3225"/>
      <c r="C30" s="1174" t="s">
        <v>843</v>
      </c>
    </row>
    <row r="31" spans="1:3" ht="14.25">
      <c r="A31" s="3221"/>
      <c r="B31" s="3225"/>
      <c r="C31" s="1174" t="s">
        <v>844</v>
      </c>
    </row>
    <row r="32" spans="1:3" ht="14.25">
      <c r="A32" s="3221"/>
      <c r="B32" s="3225"/>
      <c r="C32" s="1174" t="s">
        <v>1647</v>
      </c>
    </row>
    <row r="33" spans="1:3" ht="14.25">
      <c r="A33" s="3221"/>
      <c r="B33" s="3215" t="s">
        <v>1653</v>
      </c>
      <c r="C33" s="1174" t="s">
        <v>1648</v>
      </c>
    </row>
    <row r="34" spans="1:3" ht="14.25">
      <c r="A34" s="3221"/>
      <c r="B34" s="3216"/>
      <c r="C34" s="1179" t="s">
        <v>1649</v>
      </c>
    </row>
    <row r="35" spans="1:3" ht="14.25">
      <c r="A35" s="3221"/>
      <c r="B35" s="3216"/>
      <c r="C35" s="1180" t="s">
        <v>1650</v>
      </c>
    </row>
    <row r="36" spans="1:3" ht="14.25">
      <c r="A36" s="3221"/>
      <c r="B36" s="3216"/>
      <c r="C36" s="1180" t="s">
        <v>1651</v>
      </c>
    </row>
    <row r="37" spans="1:3" ht="14.25">
      <c r="A37" s="3221"/>
      <c r="B37" s="3217"/>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43484</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2984</v>
      </c>
      <c r="B14" s="3154">
        <f ca="1">IF(C14&lt;B2,"已过期",1120040230)</f>
        <v>1120040230</v>
      </c>
      <c r="C14" s="3158">
        <v>43835</v>
      </c>
      <c r="D14" s="3159" t="s">
        <v>2985</v>
      </c>
      <c r="E14" s="3154">
        <f ca="1">IF(F14&lt;B2,"已过期",98030020)</f>
        <v>98030020</v>
      </c>
      <c r="F14" s="3157">
        <v>47118</v>
      </c>
    </row>
    <row r="15" spans="1:6" ht="20.25" customHeight="1">
      <c r="A15" s="3154" t="s">
        <v>2574</v>
      </c>
      <c r="B15" s="3154">
        <f ca="1">IF(C15&lt;B2,"已过期",1120070085)</f>
        <v>1120070085</v>
      </c>
      <c r="C15" s="3158">
        <v>43814</v>
      </c>
      <c r="D15" s="3154" t="s">
        <v>2986</v>
      </c>
      <c r="E15" s="3154">
        <f ca="1">IF(F15&lt;B2,"已过期",2004110128)</f>
        <v>2004110128</v>
      </c>
      <c r="F15" s="3160">
        <v>47118</v>
      </c>
    </row>
    <row r="16" spans="1:6" ht="20.25" customHeight="1">
      <c r="A16" s="3154" t="s">
        <v>1924</v>
      </c>
      <c r="B16" s="3154">
        <f ca="1">IF(C16&lt;B2,"已过期",1120140022)</f>
        <v>1120140022</v>
      </c>
      <c r="C16" s="3156">
        <v>44029</v>
      </c>
      <c r="D16" s="3154" t="s">
        <v>2987</v>
      </c>
      <c r="E16" s="3154">
        <f ca="1">IF(F16&lt;B2,"已过期",2008110059)</f>
        <v>2008110059</v>
      </c>
      <c r="F16" s="3157">
        <v>47177</v>
      </c>
    </row>
    <row r="17" spans="1:7" ht="20.25" customHeight="1">
      <c r="A17" s="3154"/>
      <c r="B17" s="3154"/>
      <c r="C17" s="3156"/>
      <c r="D17" s="3159" t="s">
        <v>2988</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6" t="s">
        <v>1927</v>
      </c>
      <c r="B25" s="3226"/>
      <c r="C25" s="3226"/>
      <c r="D25" s="3226"/>
      <c r="E25" s="3226"/>
      <c r="F25" s="3226"/>
      <c r="G25" s="3226"/>
    </row>
    <row r="26" spans="1:7" ht="20.25" customHeight="1">
      <c r="A26" s="3227" t="s">
        <v>1928</v>
      </c>
      <c r="B26" s="3227"/>
      <c r="C26" s="3227"/>
      <c r="D26" s="3227" t="s">
        <v>1929</v>
      </c>
      <c r="E26" s="3227"/>
      <c r="F26" s="3227"/>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2946</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0" sqref="AB10"/>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6" t="s">
        <v>2958</v>
      </c>
      <c r="C18" s="1552"/>
    </row>
    <row r="19" spans="1:3">
      <c r="A19" s="8" t="s">
        <v>120</v>
      </c>
      <c r="B19" s="3086" t="s">
        <v>2966</v>
      </c>
      <c r="C19" s="1552"/>
    </row>
    <row r="20" spans="1:3">
      <c r="A20" s="8" t="s">
        <v>121</v>
      </c>
      <c r="B20" s="8" t="s">
        <v>1642</v>
      </c>
      <c r="C20" s="1552"/>
    </row>
    <row r="21" spans="1:3">
      <c r="A21" s="8" t="s">
        <v>122</v>
      </c>
      <c r="B21" s="8" t="s">
        <v>3190</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28"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c r="D53" s="1765"/>
      <c r="E53" s="1765"/>
    </row>
    <row r="54" spans="1:5">
      <c r="A54" s="3228"/>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8"/>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8"/>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8"/>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2019-01-19T08:34:46Z</dcterms:modified>
</cp:coreProperties>
</file>