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defaultThemeVersion="124226"/>
  <mc:AlternateContent xmlns:mc="http://schemas.openxmlformats.org/markup-compatibility/2006">
    <mc:Choice Requires="x15">
      <x15ac:absPath xmlns:x15ac="http://schemas.microsoft.com/office/spreadsheetml/2010/11/ac" url="F:\2024-1-0928军队-真武庙\"/>
    </mc:Choice>
  </mc:AlternateContent>
  <xr:revisionPtr revIDLastSave="0" documentId="13_ncr:1_{319BE4E7-3A87-46A9-9419-F577936B5A9C}" xr6:coauthVersionLast="47" xr6:coauthVersionMax="47" xr10:uidLastSave="{00000000-0000-0000-0000-000000000000}"/>
  <bookViews>
    <workbookView xWindow="-120" yWindow="-120" windowWidth="38640" windowHeight="212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链家案例" sheetId="81" r:id="rId26"/>
    <sheet name="收益法 (元)" sheetId="67" r:id="rId27"/>
    <sheet name="二部案例"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N18" i="1" l="1"/>
  <c r="I7" i="21"/>
  <c r="G7" i="21"/>
  <c r="E7" i="21"/>
  <c r="I44" i="21"/>
  <c r="G44" i="21"/>
  <c r="E44" i="21"/>
  <c r="M34" i="21" s="1"/>
  <c r="I47" i="21"/>
  <c r="G47" i="21"/>
  <c r="E47" i="21"/>
  <c r="I33" i="21"/>
  <c r="G33" i="21"/>
  <c r="E33" i="21"/>
  <c r="G5" i="21"/>
  <c r="E5" i="21"/>
  <c r="I5" i="21" s="1"/>
  <c r="S3" i="82"/>
  <c r="T3" i="82"/>
  <c r="X3" i="82" s="1"/>
  <c r="Y3" i="82" s="1"/>
  <c r="U3" i="82"/>
  <c r="AC3" i="82"/>
  <c r="BR3" i="82"/>
  <c r="BS3" i="82"/>
  <c r="BT3" i="82"/>
  <c r="BU3" i="82"/>
  <c r="Y6" i="1" l="1"/>
  <c r="D5" i="9"/>
  <c r="I59" i="21"/>
  <c r="F59" i="21"/>
  <c r="E59" i="21"/>
  <c r="I37" i="21"/>
  <c r="G37" i="21"/>
  <c r="E37" i="21"/>
  <c r="I11" i="21" l="1"/>
  <c r="G11" i="21"/>
  <c r="E11"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D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P38" i="71"/>
  <c r="O38" i="71"/>
  <c r="N38" i="71"/>
  <c r="X38" i="71" s="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N68" i="71"/>
  <c r="C30" i="71"/>
  <c r="C51" i="71"/>
  <c r="P28" i="71"/>
  <c r="E28" i="71" s="1"/>
  <c r="E63" i="71"/>
  <c r="E64" i="71" s="1"/>
  <c r="U64" i="71" s="1"/>
  <c r="E67" i="71"/>
  <c r="P67" i="71" s="1"/>
  <c r="Q28" i="71"/>
  <c r="F28" i="71" s="1"/>
  <c r="Q68" i="71"/>
  <c r="C75" i="7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H25" i="40"/>
  <c r="J25" i="40"/>
  <c r="H29" i="39"/>
  <c r="AB29" i="39" s="1"/>
  <c r="J29" i="39"/>
  <c r="AC29" i="39" s="1"/>
  <c r="J18" i="36"/>
  <c r="F68" i="35"/>
  <c r="G68" i="35" s="1"/>
  <c r="H18" i="35"/>
  <c r="AB18" i="35" s="1"/>
  <c r="J18" i="35"/>
  <c r="H21" i="37"/>
  <c r="AB21" i="37" s="1"/>
  <c r="F21" i="37"/>
  <c r="H21" i="34"/>
  <c r="H21" i="33"/>
  <c r="F21" i="33"/>
  <c r="AA21" i="33" s="1"/>
  <c r="H1" i="69"/>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B75" i="35"/>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B74" i="33"/>
  <c r="J14" i="33" s="1"/>
  <c r="AC14" i="33" s="1"/>
  <c r="B72" i="33"/>
  <c r="F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s="1"/>
  <c r="J38" i="33"/>
  <c r="AC38" i="33" s="1"/>
  <c r="H38" i="33"/>
  <c r="AB38" i="33" s="1"/>
  <c r="F38" i="33"/>
  <c r="Q37" i="33"/>
  <c r="Z37" i="33" s="1"/>
  <c r="Q36" i="33"/>
  <c r="Z36" i="33" s="1"/>
  <c r="Q35" i="33"/>
  <c r="Z35" i="33" s="1"/>
  <c r="H35" i="33"/>
  <c r="U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J30" i="21" s="1"/>
  <c r="AC30" i="21" s="1"/>
  <c r="B94" i="21"/>
  <c r="J29" i="21" s="1"/>
  <c r="B92" i="21"/>
  <c r="J28" i="21" s="1"/>
  <c r="B90" i="21"/>
  <c r="B74" i="21"/>
  <c r="J14" i="21" s="1"/>
  <c r="W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26" i="21"/>
  <c r="W26" i="21" s="1"/>
  <c r="F26" i="21"/>
  <c r="S26" i="21" s="1"/>
  <c r="F36" i="39"/>
  <c r="S36" i="39" s="1"/>
  <c r="U9" i="39"/>
  <c r="F29" i="36"/>
  <c r="AA29" i="36" s="1"/>
  <c r="F16" i="36"/>
  <c r="AA16" i="36" s="1"/>
  <c r="W28" i="36"/>
  <c r="J33" i="36"/>
  <c r="AC33" i="36" s="1"/>
  <c r="H22" i="35"/>
  <c r="AB22" i="35" s="1"/>
  <c r="F36" i="34"/>
  <c r="AA36" i="34" s="1"/>
  <c r="J35" i="34"/>
  <c r="W35" i="34" s="1"/>
  <c r="H39" i="33"/>
  <c r="S40" i="33"/>
  <c r="F11" i="40"/>
  <c r="AA11" i="40" s="1"/>
  <c r="H11"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S27" i="39" s="1"/>
  <c r="F11" i="21"/>
  <c r="S11" i="21" s="1"/>
  <c r="H11"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s="1"/>
  <c r="H10" i="35"/>
  <c r="U10" i="35" s="1"/>
  <c r="H16" i="36"/>
  <c r="J29" i="36"/>
  <c r="AC29"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H15" i="34"/>
  <c r="AB15" i="34" s="1"/>
  <c r="F41" i="33"/>
  <c r="AA41" i="33" s="1"/>
  <c r="F32" i="33"/>
  <c r="AA32" i="33" s="1"/>
  <c r="J19" i="33"/>
  <c r="AC19" i="33" s="1"/>
  <c r="J15" i="33"/>
  <c r="F11" i="33"/>
  <c r="AA11" i="33" s="1"/>
  <c r="F37" i="40"/>
  <c r="F36" i="40"/>
  <c r="AA36" i="40" s="1"/>
  <c r="H28" i="40"/>
  <c r="AB28" i="40" s="1"/>
  <c r="F23" i="40"/>
  <c r="F17" i="40"/>
  <c r="J17" i="40"/>
  <c r="AC17" i="40" s="1"/>
  <c r="F15" i="40"/>
  <c r="S15" i="40" s="1"/>
  <c r="H15" i="40"/>
  <c r="AB15" i="40" s="1"/>
  <c r="F29" i="35"/>
  <c r="H29" i="35"/>
  <c r="AB29" i="35" s="1"/>
  <c r="H33" i="37"/>
  <c r="F33" i="37"/>
  <c r="AA33" i="37" s="1"/>
  <c r="U34" i="37"/>
  <c r="J43" i="34"/>
  <c r="AC43" i="34" s="1"/>
  <c r="AB42" i="34"/>
  <c r="J40" i="34"/>
  <c r="AC40" i="34" s="1"/>
  <c r="H38" i="34"/>
  <c r="AB38" i="34" s="1"/>
  <c r="J36" i="34"/>
  <c r="W36" i="34" s="1"/>
  <c r="H37" i="34"/>
  <c r="U37" i="34" s="1"/>
  <c r="H25" i="34"/>
  <c r="J25" i="34"/>
  <c r="AC25" i="34" s="1"/>
  <c r="F23" i="34"/>
  <c r="J19" i="34"/>
  <c r="F17" i="34"/>
  <c r="J17" i="34"/>
  <c r="W17" i="34" s="1"/>
  <c r="H37" i="33"/>
  <c r="H15" i="33"/>
  <c r="AB15" i="33" s="1"/>
  <c r="H11" i="33"/>
  <c r="F28" i="40"/>
  <c r="AA28" i="40" s="1"/>
  <c r="AA42" i="34"/>
  <c r="AC38" i="34"/>
  <c r="J37" i="34"/>
  <c r="AC37" i="34" s="1"/>
  <c r="J11" i="33"/>
  <c r="J44" i="34"/>
  <c r="AC44" i="34" s="1"/>
  <c r="F44" i="34"/>
  <c r="AA44" i="34" s="1"/>
  <c r="J10" i="35"/>
  <c r="AC10" i="35" s="1"/>
  <c r="H28" i="21"/>
  <c r="AB28" i="21" s="1"/>
  <c r="H30" i="21"/>
  <c r="U30" i="21" s="1"/>
  <c r="F30" i="21"/>
  <c r="S30" i="21" s="1"/>
  <c r="F33" i="35"/>
  <c r="S33" i="35" s="1"/>
  <c r="J33" i="35"/>
  <c r="AC33" i="35" s="1"/>
  <c r="F30" i="35"/>
  <c r="S30" i="35" s="1"/>
  <c r="H10" i="36"/>
  <c r="AB10" i="36" s="1"/>
  <c r="J14" i="36"/>
  <c r="AC14" i="36" s="1"/>
  <c r="H14" i="36"/>
  <c r="F28" i="36"/>
  <c r="AA28" i="36" s="1"/>
  <c r="F45" i="21"/>
  <c r="AA45" i="21"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J30" i="33"/>
  <c r="J46" i="33"/>
  <c r="J13" i="34"/>
  <c r="J29" i="34"/>
  <c r="AC29" i="34" s="1"/>
  <c r="F31" i="34"/>
  <c r="S31" i="34" s="1"/>
  <c r="H45" i="34"/>
  <c r="H47" i="34"/>
  <c r="AB47" i="34" s="1"/>
  <c r="F47" i="34"/>
  <c r="S47" i="34" s="1"/>
  <c r="H13" i="35"/>
  <c r="F25" i="35"/>
  <c r="S25" i="35" s="1"/>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W27" i="37" s="1"/>
  <c r="AC27" i="37"/>
  <c r="J36" i="37"/>
  <c r="AC36" i="37" s="1"/>
  <c r="J10" i="36"/>
  <c r="AC10" i="36" s="1"/>
  <c r="F17" i="21"/>
  <c r="H17" i="21"/>
  <c r="AB17" i="21" s="1"/>
  <c r="F15" i="21"/>
  <c r="S15" i="21" s="1"/>
  <c r="J41" i="39"/>
  <c r="W41" i="39" s="1"/>
  <c r="G536" i="3"/>
  <c r="G528" i="3"/>
  <c r="G564" i="3"/>
  <c r="BL562" i="3"/>
  <c r="BA524" i="3"/>
  <c r="AC557" i="3"/>
  <c r="BQ557" i="3"/>
  <c r="BQ583" i="3"/>
  <c r="BQ581" i="3"/>
  <c r="BQ579" i="3"/>
  <c r="BQ577" i="3"/>
  <c r="BQ575" i="3"/>
  <c r="BQ573" i="3"/>
  <c r="BQ571" i="3"/>
  <c r="BQ569" i="3"/>
  <c r="BQ567" i="3"/>
  <c r="BQ565" i="3"/>
  <c r="BQ563" i="3"/>
  <c r="BQ561" i="3"/>
  <c r="BQ559" i="3"/>
  <c r="G553" i="3"/>
  <c r="G543"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F14" i="36"/>
  <c r="AA14" i="36" s="1"/>
  <c r="F22" i="36"/>
  <c r="F26" i="36"/>
  <c r="S26" i="36" s="1"/>
  <c r="H35" i="34"/>
  <c r="U35" i="34" s="1"/>
  <c r="F41" i="34"/>
  <c r="H41" i="34"/>
  <c r="U41" i="34" s="1"/>
  <c r="J41" i="34"/>
  <c r="F10" i="35"/>
  <c r="S10" i="35" s="1"/>
  <c r="F24" i="35"/>
  <c r="AA24" i="35" s="1"/>
  <c r="H23" i="37"/>
  <c r="AB23" i="37" s="1"/>
  <c r="J32" i="37"/>
  <c r="AC32" i="37" s="1"/>
  <c r="F36" i="37"/>
  <c r="F37" i="37"/>
  <c r="S37" i="37" s="1"/>
  <c r="H31" i="40"/>
  <c r="U31" i="40" s="1"/>
  <c r="J36" i="40"/>
  <c r="W36" i="40" s="1"/>
  <c r="H19" i="37"/>
  <c r="AB19" i="37" s="1"/>
  <c r="H42" i="33"/>
  <c r="AB42" i="33" s="1"/>
  <c r="J43" i="33"/>
  <c r="W43" i="33" s="1"/>
  <c r="S28" i="31"/>
  <c r="S27" i="31"/>
  <c r="S26" i="31"/>
  <c r="U19" i="21"/>
  <c r="AB38" i="21"/>
  <c r="F43" i="33"/>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AA25" i="21"/>
  <c r="H19" i="40"/>
  <c r="U19" i="40" s="1"/>
  <c r="F19" i="40"/>
  <c r="U44" i="39"/>
  <c r="H37" i="39"/>
  <c r="AC37" i="39"/>
  <c r="W37" i="39"/>
  <c r="H25" i="39"/>
  <c r="J25" i="39"/>
  <c r="F25" i="39"/>
  <c r="AA25" i="39" s="1"/>
  <c r="F15" i="39"/>
  <c r="AA15" i="39" s="1"/>
  <c r="H15" i="39"/>
  <c r="U15" i="39" s="1"/>
  <c r="J15" i="39"/>
  <c r="W15" i="39" s="1"/>
  <c r="H41" i="39"/>
  <c r="U40" i="39"/>
  <c r="AA41"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17" i="3"/>
  <c r="BA17" i="3"/>
  <c r="BA15" i="3"/>
  <c r="F83" i="43"/>
  <c r="H85" i="43" s="1"/>
  <c r="F50" i="43"/>
  <c r="H54" i="43" s="1"/>
  <c r="F72" i="43"/>
  <c r="H75" i="43" s="1"/>
  <c r="G10" i="1"/>
  <c r="AA12" i="40"/>
  <c r="J37" i="33"/>
  <c r="W37" i="33" s="1"/>
  <c r="AC17" i="34"/>
  <c r="J34" i="33"/>
  <c r="F33" i="34"/>
  <c r="S33" i="34" s="1"/>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F39" i="39"/>
  <c r="S39" i="39" s="1"/>
  <c r="J39" i="39"/>
  <c r="AC39" i="39" s="1"/>
  <c r="E96" i="39"/>
  <c r="F96" i="39" s="1"/>
  <c r="G96" i="39" s="1"/>
  <c r="C40" i="11"/>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BL14" i="3"/>
  <c r="F12" i="33"/>
  <c r="S12" i="33" s="1"/>
  <c r="BA14" i="3"/>
  <c r="B12" i="1"/>
  <c r="E12" i="1" s="1"/>
  <c r="B10" i="1"/>
  <c r="E10" i="1" s="1"/>
  <c r="K12" i="1"/>
  <c r="M12" i="1" s="1"/>
  <c r="S13" i="1"/>
  <c r="AR13" i="1" s="1"/>
  <c r="R13" i="1"/>
  <c r="J51" i="67"/>
  <c r="C42" i="1"/>
  <c r="C24" i="12" s="1"/>
  <c r="B41" i="1"/>
  <c r="F48" i="9" s="1"/>
  <c r="O52" i="9" s="1"/>
  <c r="AB37" i="40"/>
  <c r="S35" i="40"/>
  <c r="F32" i="39"/>
  <c r="AA32" i="39" s="1"/>
  <c r="AB27" i="39"/>
  <c r="J21" i="39"/>
  <c r="W21" i="39" s="1"/>
  <c r="F21" i="39"/>
  <c r="AA21" i="39" s="1"/>
  <c r="G94" i="39"/>
  <c r="H21" i="39"/>
  <c r="U22" i="36"/>
  <c r="S16" i="36"/>
  <c r="U29" i="35"/>
  <c r="U28" i="35"/>
  <c r="AB27" i="35"/>
  <c r="U22" i="35"/>
  <c r="F9" i="35"/>
  <c r="S9" i="35" s="1"/>
  <c r="H9" i="35"/>
  <c r="U9" i="35" s="1"/>
  <c r="S32" i="37"/>
  <c r="W30" i="37"/>
  <c r="AC35" i="37"/>
  <c r="J17" i="37"/>
  <c r="F17" i="37"/>
  <c r="AB17" i="37"/>
  <c r="F75" i="37"/>
  <c r="G75" i="37" s="1"/>
  <c r="F19" i="37"/>
  <c r="S19" i="37" s="1"/>
  <c r="F23" i="37"/>
  <c r="U23" i="37"/>
  <c r="U15" i="37"/>
  <c r="H10" i="37"/>
  <c r="AB10" i="37" s="1"/>
  <c r="F63" i="37"/>
  <c r="G63" i="37" s="1"/>
  <c r="H63" i="37" s="1"/>
  <c r="I63" i="37" s="1"/>
  <c r="J63" i="37" s="1"/>
  <c r="K63" i="37" s="1"/>
  <c r="L63" i="37" s="1"/>
  <c r="M63" i="37" s="1"/>
  <c r="F11" i="37"/>
  <c r="S11" i="37" s="1"/>
  <c r="W25" i="34"/>
  <c r="U43" i="34"/>
  <c r="AC39" i="34"/>
  <c r="AA25" i="34"/>
  <c r="U15" i="34"/>
  <c r="H10" i="34"/>
  <c r="AB10" i="34" s="1"/>
  <c r="F11" i="34"/>
  <c r="S11" i="34" s="1"/>
  <c r="F70" i="34"/>
  <c r="G70" i="34" s="1"/>
  <c r="H70" i="34" s="1"/>
  <c r="I70" i="34" s="1"/>
  <c r="J70" i="34" s="1"/>
  <c r="K70" i="34" s="1"/>
  <c r="L70" i="34" s="1"/>
  <c r="M70" i="34" s="1"/>
  <c r="W42" i="33"/>
  <c r="S32" i="33"/>
  <c r="W38" i="33"/>
  <c r="H41" i="33"/>
  <c r="AB41" i="33" s="1"/>
  <c r="F36" i="33"/>
  <c r="AA36" i="33" s="1"/>
  <c r="G108" i="33"/>
  <c r="H108" i="33" s="1"/>
  <c r="I108" i="33" s="1"/>
  <c r="J108" i="33" s="1"/>
  <c r="K108" i="33" s="1"/>
  <c r="L108" i="33" s="1"/>
  <c r="M108" i="33" s="1"/>
  <c r="J35" i="33"/>
  <c r="W35" i="33" s="1"/>
  <c r="S37" i="33"/>
  <c r="AA37" i="33"/>
  <c r="J32" i="33"/>
  <c r="W32" i="33" s="1"/>
  <c r="F91" i="33"/>
  <c r="G91" i="33" s="1"/>
  <c r="H91" i="33" s="1"/>
  <c r="I91" i="33" s="1"/>
  <c r="J91" i="33" s="1"/>
  <c r="K91" i="33" s="1"/>
  <c r="L91" i="33" s="1"/>
  <c r="M91" i="33" s="1"/>
  <c r="F87" i="33"/>
  <c r="H25" i="33"/>
  <c r="F25" i="33"/>
  <c r="S25" i="33" s="1"/>
  <c r="J23" i="33"/>
  <c r="AC23" i="33" s="1"/>
  <c r="H23" i="33"/>
  <c r="U23" i="33" s="1"/>
  <c r="F19" i="33"/>
  <c r="S19" i="33" s="1"/>
  <c r="W19" i="33"/>
  <c r="J17" i="33"/>
  <c r="AC17" i="33" s="1"/>
  <c r="S15" i="33"/>
  <c r="U9" i="33"/>
  <c r="J10" i="33"/>
  <c r="W10" i="33" s="1"/>
  <c r="H10" i="33"/>
  <c r="U10" i="33" s="1"/>
  <c r="W36" i="21"/>
  <c r="AB39" i="21"/>
  <c r="AA43" i="21"/>
  <c r="S39" i="21"/>
  <c r="AA38" i="21"/>
  <c r="AA36" i="21"/>
  <c r="AC40" i="21"/>
  <c r="J15" i="21"/>
  <c r="W15" i="21" s="1"/>
  <c r="F23" i="21"/>
  <c r="S23" i="21" s="1"/>
  <c r="E85" i="2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C41" i="39"/>
  <c r="U42" i="39"/>
  <c r="AB11" i="39"/>
  <c r="U11" i="39"/>
  <c r="AA27" i="39"/>
  <c r="W17" i="39"/>
  <c r="AC17" i="39"/>
  <c r="AB39" i="39"/>
  <c r="W34" i="39"/>
  <c r="S8" i="39"/>
  <c r="W29" i="36"/>
  <c r="AC20" i="36"/>
  <c r="AB28" i="36"/>
  <c r="AA13" i="36"/>
  <c r="AA35" i="37"/>
  <c r="S28" i="37"/>
  <c r="AB40" i="34"/>
  <c r="AB36" i="34"/>
  <c r="W29" i="34"/>
  <c r="U38" i="34"/>
  <c r="W40" i="34"/>
  <c r="S19" i="34"/>
  <c r="AA8" i="34"/>
  <c r="W43" i="34"/>
  <c r="AC23" i="34"/>
  <c r="AC35" i="34"/>
  <c r="AC37" i="33"/>
  <c r="U38" i="33"/>
  <c r="S33" i="33"/>
  <c r="W14" i="33"/>
  <c r="AC30" i="33"/>
  <c r="W30" i="33"/>
  <c r="S11" i="33"/>
  <c r="W9" i="33"/>
  <c r="U40" i="21"/>
  <c r="H15" i="21"/>
  <c r="U15" i="21" s="1"/>
  <c r="J17" i="21"/>
  <c r="W17" i="21" s="1"/>
  <c r="AC19" i="21"/>
  <c r="W30" i="21"/>
  <c r="H45" i="21"/>
  <c r="U45" i="21" s="1"/>
  <c r="F29" i="21"/>
  <c r="AA29" i="21" s="1"/>
  <c r="F13" i="21"/>
  <c r="AC38" i="21"/>
  <c r="H9" i="21"/>
  <c r="J9" i="21"/>
  <c r="F32" i="21"/>
  <c r="AA32" i="21" s="1"/>
  <c r="S9" i="21"/>
  <c r="AA9" i="21"/>
  <c r="K141" i="21"/>
  <c r="K144" i="21"/>
  <c r="K143" i="21"/>
  <c r="AB25" i="21"/>
  <c r="AC45" i="21"/>
  <c r="F10" i="21"/>
  <c r="AA10" i="21" s="1"/>
  <c r="K145" i="21"/>
  <c r="AC34" i="21"/>
  <c r="AB36" i="21"/>
  <c r="C19" i="39"/>
  <c r="C15" i="40"/>
  <c r="C17" i="40"/>
  <c r="C23" i="40"/>
  <c r="B51" i="43"/>
  <c r="B54" i="43"/>
  <c r="B62" i="43"/>
  <c r="B65" i="43"/>
  <c r="D23" i="15"/>
  <c r="D22" i="15"/>
  <c r="E4" i="4"/>
  <c r="B5" i="62" s="1"/>
  <c r="B73" i="72" s="1"/>
  <c r="C4" i="4"/>
  <c r="J32" i="39"/>
  <c r="W32" i="39" s="1"/>
  <c r="H32" i="39"/>
  <c r="AB32" i="39" s="1"/>
  <c r="S21" i="39"/>
  <c r="J19" i="37"/>
  <c r="W19" i="37" s="1"/>
  <c r="J23" i="37"/>
  <c r="J10" i="37"/>
  <c r="W10" i="37" s="1"/>
  <c r="H11" i="37"/>
  <c r="AB11" i="37" s="1"/>
  <c r="H11" i="34"/>
  <c r="U11" i="34" s="1"/>
  <c r="J10" i="34"/>
  <c r="AC10" i="34" s="1"/>
  <c r="H111" i="33"/>
  <c r="I111" i="33" s="1"/>
  <c r="J111" i="33" s="1"/>
  <c r="K111" i="33" s="1"/>
  <c r="L111" i="33" s="1"/>
  <c r="M111" i="33" s="1"/>
  <c r="J36" i="33"/>
  <c r="W36" i="33" s="1"/>
  <c r="H36" i="33"/>
  <c r="S36" i="33"/>
  <c r="J27" i="33"/>
  <c r="U25" i="33"/>
  <c r="AB25" i="33"/>
  <c r="G87" i="33"/>
  <c r="H87" i="33" s="1"/>
  <c r="I87" i="33" s="1"/>
  <c r="J87" i="33" s="1"/>
  <c r="K87" i="33" s="1"/>
  <c r="L87" i="33" s="1"/>
  <c r="M87" i="33" s="1"/>
  <c r="J25" i="33"/>
  <c r="AC25" i="33" s="1"/>
  <c r="F23" i="33"/>
  <c r="H19" i="33"/>
  <c r="U19" i="33" s="1"/>
  <c r="H17" i="33"/>
  <c r="U17" i="33" s="1"/>
  <c r="F17" i="33"/>
  <c r="S17" i="33" s="1"/>
  <c r="AB15" i="21"/>
  <c r="J23" i="21"/>
  <c r="AC23" i="21" s="1"/>
  <c r="F85" i="21"/>
  <c r="G85" i="21" s="1"/>
  <c r="H23" i="21"/>
  <c r="AB23" i="21" s="1"/>
  <c r="AP7" i="1"/>
  <c r="A18" i="62"/>
  <c r="B64" i="72" s="1"/>
  <c r="J11" i="37"/>
  <c r="AC11" i="37" s="1"/>
  <c r="J11" i="34"/>
  <c r="W11" i="34" s="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F26" i="67"/>
  <c r="B12" i="76"/>
  <c r="F4" i="73"/>
  <c r="D35" i="9"/>
  <c r="B9" i="76"/>
  <c r="AO13" i="1"/>
  <c r="E7" i="76"/>
  <c r="E10" i="76"/>
  <c r="L48" i="67"/>
  <c r="M26" i="67"/>
  <c r="B7" i="76"/>
  <c r="D34" i="9"/>
  <c r="B10" i="76"/>
  <c r="F8" i="67"/>
  <c r="F13" i="67"/>
  <c r="E12" i="76"/>
  <c r="F20" i="31"/>
  <c r="F3" i="73"/>
  <c r="B8" i="76"/>
  <c r="E2" i="68"/>
  <c r="F36" i="15"/>
  <c r="E2" i="69"/>
  <c r="F5" i="73"/>
  <c r="E8" i="76"/>
  <c r="E13" i="76"/>
  <c r="E11" i="76"/>
  <c r="M23" i="67"/>
  <c r="L47" i="67"/>
  <c r="F7" i="15"/>
  <c r="F6" i="73"/>
  <c r="B13" i="76"/>
  <c r="F7" i="73"/>
  <c r="E9" i="76"/>
  <c r="S22" i="36" l="1"/>
  <c r="AA22" i="36"/>
  <c r="AB37" i="33"/>
  <c r="U37" i="33"/>
  <c r="AC15" i="34"/>
  <c r="W15" i="34"/>
  <c r="U39" i="33"/>
  <c r="AB39" i="33"/>
  <c r="F39" i="37"/>
  <c r="S39" i="37" s="1"/>
  <c r="AB43" i="21"/>
  <c r="U43" i="21"/>
  <c r="AC43" i="21"/>
  <c r="W43" i="21"/>
  <c r="J27" i="21"/>
  <c r="W27" i="21" s="1"/>
  <c r="H27" i="21"/>
  <c r="J27" i="34"/>
  <c r="W27" i="34" s="1"/>
  <c r="H27" i="34"/>
  <c r="AB27" i="34" s="1"/>
  <c r="AA34" i="37"/>
  <c r="S34" i="37"/>
  <c r="F35" i="39"/>
  <c r="AA35" i="39" s="1"/>
  <c r="J35" i="39"/>
  <c r="AC35" i="39" s="1"/>
  <c r="J24" i="35"/>
  <c r="H24" i="35"/>
  <c r="AB24" i="35" s="1"/>
  <c r="AC39" i="37"/>
  <c r="W39" i="37"/>
  <c r="BA572" i="3"/>
  <c r="W25" i="39"/>
  <c r="AC25" i="39"/>
  <c r="AA17" i="40"/>
  <c r="S17" i="40"/>
  <c r="U23" i="21"/>
  <c r="U36" i="33"/>
  <c r="AB36" i="33"/>
  <c r="AA19" i="37"/>
  <c r="S35" i="21"/>
  <c r="U19" i="34"/>
  <c r="S24" i="35"/>
  <c r="AA39" i="39"/>
  <c r="S30" i="37"/>
  <c r="AC30" i="35"/>
  <c r="AZ341" i="3"/>
  <c r="S36" i="37"/>
  <c r="AA36" i="37"/>
  <c r="H39" i="37"/>
  <c r="AB39" i="34"/>
  <c r="U39" i="34"/>
  <c r="H30" i="33"/>
  <c r="AB30" i="33" s="1"/>
  <c r="F30" i="33"/>
  <c r="S30" i="33" s="1"/>
  <c r="F46" i="33"/>
  <c r="H46" i="33"/>
  <c r="AB46" i="33" s="1"/>
  <c r="F29" i="34"/>
  <c r="S29" i="34" s="1"/>
  <c r="H29" i="34"/>
  <c r="J45" i="34"/>
  <c r="W45" i="34" s="1"/>
  <c r="F45" i="34"/>
  <c r="S45" i="34" s="1"/>
  <c r="F13" i="35"/>
  <c r="J13" i="35"/>
  <c r="J25" i="35"/>
  <c r="AC25" i="35" s="1"/>
  <c r="H25" i="35"/>
  <c r="AB25" i="35" s="1"/>
  <c r="H35" i="39"/>
  <c r="H27" i="33"/>
  <c r="F27" i="33"/>
  <c r="AA27" i="33" s="1"/>
  <c r="F29" i="33"/>
  <c r="S29" i="33" s="1"/>
  <c r="H29" i="33"/>
  <c r="W38" i="39"/>
  <c r="AC38" i="39"/>
  <c r="BA515" i="3"/>
  <c r="AZ515" i="3" s="1"/>
  <c r="W25" i="33"/>
  <c r="W9" i="36"/>
  <c r="F27" i="21"/>
  <c r="AA27" i="21" s="1"/>
  <c r="AC19" i="34"/>
  <c r="W19" i="34"/>
  <c r="AA9" i="40"/>
  <c r="E101" i="21"/>
  <c r="F101" i="21" s="1"/>
  <c r="G101" i="21" s="1"/>
  <c r="H101" i="21" s="1"/>
  <c r="I101" i="21" s="1"/>
  <c r="J101" i="21" s="1"/>
  <c r="K101" i="21" s="1"/>
  <c r="L101" i="21" s="1"/>
  <c r="M101" i="21" s="1"/>
  <c r="H32" i="21"/>
  <c r="U32" i="21" s="1"/>
  <c r="AA40" i="21"/>
  <c r="S40" i="21"/>
  <c r="AA38" i="33"/>
  <c r="S38" i="33"/>
  <c r="G444" i="3"/>
  <c r="G456" i="3"/>
  <c r="BL219" i="3"/>
  <c r="G220" i="3"/>
  <c r="G256" i="3"/>
  <c r="G260" i="3"/>
  <c r="G264" i="3"/>
  <c r="G268" i="3"/>
  <c r="G276" i="3"/>
  <c r="G280" i="3"/>
  <c r="G292" i="3"/>
  <c r="G300" i="3"/>
  <c r="G126" i="3"/>
  <c r="G130" i="3"/>
  <c r="G150" i="3"/>
  <c r="G154" i="3"/>
  <c r="G158" i="3"/>
  <c r="G174" i="3"/>
  <c r="G178" i="3"/>
  <c r="G182" i="3"/>
  <c r="G198" i="3"/>
  <c r="G68" i="3"/>
  <c r="U29" i="39"/>
  <c r="B77" i="43"/>
  <c r="D59" i="71"/>
  <c r="Y37" i="71"/>
  <c r="Z37" i="71" s="1"/>
  <c r="S76" i="71"/>
  <c r="S41" i="33"/>
  <c r="G580" i="3"/>
  <c r="G573" i="3"/>
  <c r="G565" i="3"/>
  <c r="G527" i="3"/>
  <c r="G525" i="3"/>
  <c r="G513" i="3"/>
  <c r="G512" i="3"/>
  <c r="G507" i="3"/>
  <c r="G506" i="3"/>
  <c r="G499" i="3"/>
  <c r="G398" i="3"/>
  <c r="G399" i="3"/>
  <c r="G451" i="3"/>
  <c r="BL465" i="3"/>
  <c r="G466" i="3"/>
  <c r="G482" i="3"/>
  <c r="G486" i="3"/>
  <c r="G218" i="3"/>
  <c r="G246" i="3"/>
  <c r="G254" i="3"/>
  <c r="BA293" i="3"/>
  <c r="G136" i="3"/>
  <c r="G140" i="3"/>
  <c r="G152" i="3"/>
  <c r="G176" i="3"/>
  <c r="G184" i="3"/>
  <c r="G188" i="3"/>
  <c r="BL191" i="3"/>
  <c r="AZ191" i="3" s="1"/>
  <c r="G192" i="3"/>
  <c r="BL195" i="3"/>
  <c r="AZ195" i="3" s="1"/>
  <c r="G196" i="3"/>
  <c r="G78" i="3"/>
  <c r="G98" i="3"/>
  <c r="G102" i="3"/>
  <c r="G106" i="3"/>
  <c r="G110" i="3"/>
  <c r="BL515" i="3"/>
  <c r="G421" i="3"/>
  <c r="G441" i="3"/>
  <c r="G457" i="3"/>
  <c r="G351" i="3"/>
  <c r="G213" i="3"/>
  <c r="G241" i="3"/>
  <c r="G253" i="3"/>
  <c r="G257" i="3"/>
  <c r="BL269" i="3"/>
  <c r="G273" i="3"/>
  <c r="G277" i="3"/>
  <c r="G285" i="3"/>
  <c r="G297" i="3"/>
  <c r="G155" i="3"/>
  <c r="G163" i="3"/>
  <c r="G167" i="3"/>
  <c r="G183" i="3"/>
  <c r="G191" i="3"/>
  <c r="G21" i="3"/>
  <c r="G49" i="3"/>
  <c r="G57" i="3"/>
  <c r="G61" i="3"/>
  <c r="G69" i="3"/>
  <c r="G73" i="3"/>
  <c r="W29" i="39"/>
  <c r="AA26" i="21"/>
  <c r="J32" i="21"/>
  <c r="W32" i="21" s="1"/>
  <c r="AC12" i="36"/>
  <c r="W12" i="36"/>
  <c r="S35" i="39"/>
  <c r="W17" i="33"/>
  <c r="AA19" i="33"/>
  <c r="AA25" i="33"/>
  <c r="AA12" i="33"/>
  <c r="U38" i="37"/>
  <c r="AB40" i="37"/>
  <c r="U14" i="35"/>
  <c r="S14" i="36"/>
  <c r="AC26" i="36"/>
  <c r="U30" i="33"/>
  <c r="W44" i="34"/>
  <c r="AZ345" i="3"/>
  <c r="W27" i="39"/>
  <c r="H29" i="21"/>
  <c r="U29" i="21" s="1"/>
  <c r="S31" i="35"/>
  <c r="J44" i="39"/>
  <c r="AC44" i="39" s="1"/>
  <c r="BA558" i="3"/>
  <c r="BA556" i="3"/>
  <c r="BA553" i="3"/>
  <c r="BL532" i="3"/>
  <c r="BL526" i="3"/>
  <c r="BA510" i="3"/>
  <c r="BA504" i="3"/>
  <c r="BA497" i="3"/>
  <c r="G408" i="3"/>
  <c r="BL254" i="3"/>
  <c r="BA270" i="3"/>
  <c r="BA274" i="3"/>
  <c r="BL274" i="3"/>
  <c r="BL278" i="3"/>
  <c r="BA283" i="3"/>
  <c r="BA291" i="3"/>
  <c r="G127" i="3"/>
  <c r="G135" i="3"/>
  <c r="G195" i="3"/>
  <c r="AA33" i="34"/>
  <c r="S22" i="35"/>
  <c r="U19" i="39"/>
  <c r="AC15" i="40"/>
  <c r="U33" i="34"/>
  <c r="AA23" i="39"/>
  <c r="AC11" i="39"/>
  <c r="AB33" i="40"/>
  <c r="AC43" i="33"/>
  <c r="U40" i="33"/>
  <c r="F12" i="36"/>
  <c r="C15" i="39"/>
  <c r="S27" i="35"/>
  <c r="W28" i="35"/>
  <c r="H26" i="21"/>
  <c r="AB26" i="21" s="1"/>
  <c r="G586" i="3"/>
  <c r="H12" i="36"/>
  <c r="G566" i="3"/>
  <c r="G501" i="3"/>
  <c r="BA392" i="3"/>
  <c r="AZ392" i="3" s="1"/>
  <c r="G396" i="3"/>
  <c r="BA396" i="3"/>
  <c r="G249" i="3"/>
  <c r="BL74" i="3"/>
  <c r="AC32" i="39"/>
  <c r="U42" i="33"/>
  <c r="AB35" i="34"/>
  <c r="AZ369" i="3"/>
  <c r="AZ355" i="3"/>
  <c r="G481" i="3"/>
  <c r="G492" i="3"/>
  <c r="BA319" i="3"/>
  <c r="AZ319" i="3" s="1"/>
  <c r="BA225" i="3"/>
  <c r="G48" i="3"/>
  <c r="BA50" i="3"/>
  <c r="G52" i="3"/>
  <c r="BA52" i="3"/>
  <c r="G56" i="3"/>
  <c r="G60" i="3"/>
  <c r="BL62" i="3"/>
  <c r="BL63" i="3"/>
  <c r="S21" i="33"/>
  <c r="G584" i="3"/>
  <c r="G563" i="3"/>
  <c r="BL561" i="3"/>
  <c r="BL560" i="3"/>
  <c r="G555" i="3"/>
  <c r="G554" i="3"/>
  <c r="G549" i="3"/>
  <c r="G548" i="3"/>
  <c r="BL546" i="3"/>
  <c r="G541" i="3"/>
  <c r="BA535" i="3"/>
  <c r="G533" i="3"/>
  <c r="G532" i="3"/>
  <c r="G531" i="3"/>
  <c r="BA530" i="3"/>
  <c r="BA527" i="3"/>
  <c r="G524" i="3"/>
  <c r="G523" i="3"/>
  <c r="G522" i="3"/>
  <c r="G518" i="3"/>
  <c r="BA517" i="3"/>
  <c r="G517" i="3"/>
  <c r="G516" i="3"/>
  <c r="G511" i="3"/>
  <c r="BA509" i="3"/>
  <c r="G505" i="3"/>
  <c r="G504" i="3"/>
  <c r="G503" i="3"/>
  <c r="G502" i="3"/>
  <c r="G497" i="3"/>
  <c r="G496" i="3"/>
  <c r="G495" i="3"/>
  <c r="G494" i="3"/>
  <c r="BP5" i="3"/>
  <c r="BA413" i="3"/>
  <c r="BL441" i="3"/>
  <c r="BL442" i="3"/>
  <c r="BA465" i="3"/>
  <c r="AZ465" i="3" s="1"/>
  <c r="G299" i="3"/>
  <c r="G302" i="3"/>
  <c r="BA149" i="3"/>
  <c r="BL181" i="3"/>
  <c r="BA185" i="3"/>
  <c r="BA189" i="3"/>
  <c r="BA193" i="3"/>
  <c r="BA197" i="3"/>
  <c r="G42" i="3"/>
  <c r="G62" i="3"/>
  <c r="G76" i="3"/>
  <c r="G80" i="3"/>
  <c r="G84" i="3"/>
  <c r="G92" i="3"/>
  <c r="G96" i="3"/>
  <c r="BL99" i="3"/>
  <c r="G112" i="3"/>
  <c r="X35" i="71"/>
  <c r="F40" i="71"/>
  <c r="V40" i="71" s="1"/>
  <c r="AB38" i="71"/>
  <c r="S13" i="33"/>
  <c r="AA13" i="33"/>
  <c r="U46" i="34"/>
  <c r="AB46" i="34"/>
  <c r="S34" i="36"/>
  <c r="AA34" i="36"/>
  <c r="W11" i="35"/>
  <c r="AC11" i="35"/>
  <c r="AA33" i="35"/>
  <c r="AA47" i="34"/>
  <c r="J31" i="34"/>
  <c r="AC31" i="34" s="1"/>
  <c r="H31" i="34"/>
  <c r="W47" i="34"/>
  <c r="AC47" i="34"/>
  <c r="J12" i="39"/>
  <c r="F12" i="39"/>
  <c r="S12" i="39" s="1"/>
  <c r="G570" i="3"/>
  <c r="BA568" i="3"/>
  <c r="BL552" i="3"/>
  <c r="BL512" i="3"/>
  <c r="G510" i="3"/>
  <c r="BL508" i="3"/>
  <c r="BL504" i="3"/>
  <c r="AZ504" i="3" s="1"/>
  <c r="W34" i="33"/>
  <c r="AC34" i="33"/>
  <c r="J32" i="40"/>
  <c r="H32" i="40"/>
  <c r="AB32" i="40" s="1"/>
  <c r="U41" i="21"/>
  <c r="AB41" i="21"/>
  <c r="BL581" i="3"/>
  <c r="BA581" i="3"/>
  <c r="BA580" i="3"/>
  <c r="H11" i="35"/>
  <c r="AB11" i="35" s="1"/>
  <c r="AB32" i="35"/>
  <c r="U32" i="35"/>
  <c r="H44" i="33"/>
  <c r="J44" i="33"/>
  <c r="F32" i="36"/>
  <c r="J32" i="36"/>
  <c r="W32" i="36" s="1"/>
  <c r="BL556" i="3"/>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AA14" i="33" s="1"/>
  <c r="F44" i="21"/>
  <c r="AA44" i="21" s="1"/>
  <c r="AA16" i="35"/>
  <c r="S16" i="35"/>
  <c r="AB39" i="37"/>
  <c r="U39" i="37"/>
  <c r="BA587" i="3"/>
  <c r="BA586" i="3"/>
  <c r="F14" i="21"/>
  <c r="H14" i="21"/>
  <c r="AC33" i="33"/>
  <c r="W33" i="33"/>
  <c r="AB34" i="34"/>
  <c r="U34" i="34"/>
  <c r="W9" i="35"/>
  <c r="AC9" i="35"/>
  <c r="H36" i="35"/>
  <c r="J36" i="35"/>
  <c r="AC36" i="35" s="1"/>
  <c r="AB26" i="36"/>
  <c r="U26" i="36"/>
  <c r="BA564" i="3"/>
  <c r="AZ564" i="3" s="1"/>
  <c r="BA557" i="3"/>
  <c r="U8" i="40"/>
  <c r="S33" i="40"/>
  <c r="U20" i="36"/>
  <c r="AB20" i="36"/>
  <c r="U17" i="39"/>
  <c r="U36" i="40"/>
  <c r="AB37" i="39"/>
  <c r="U37" i="39"/>
  <c r="F32" i="40"/>
  <c r="H13" i="21"/>
  <c r="J13" i="21"/>
  <c r="BL564" i="3"/>
  <c r="BA561" i="3"/>
  <c r="AZ561" i="3" s="1"/>
  <c r="BA560" i="3"/>
  <c r="AZ560" i="3" s="1"/>
  <c r="BA559" i="3"/>
  <c r="BA544" i="3"/>
  <c r="BL533" i="3"/>
  <c r="BA533" i="3"/>
  <c r="BL524" i="3"/>
  <c r="AZ524" i="3" s="1"/>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H37" i="21" s="1"/>
  <c r="J13" i="33"/>
  <c r="H13" i="33"/>
  <c r="U13" i="33" s="1"/>
  <c r="J31" i="33"/>
  <c r="H31" i="33"/>
  <c r="J12" i="34"/>
  <c r="H12" i="34"/>
  <c r="U12" i="34" s="1"/>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BL565" i="3"/>
  <c r="AZ565" i="3" s="1"/>
  <c r="S44" i="34"/>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AZ574" i="3" s="1"/>
  <c r="BA574" i="3"/>
  <c r="BA573" i="3"/>
  <c r="BL572" i="3"/>
  <c r="AZ572" i="3" s="1"/>
  <c r="BL571" i="3"/>
  <c r="G571" i="3"/>
  <c r="BA569" i="3"/>
  <c r="G569" i="3"/>
  <c r="BI5" i="3"/>
  <c r="G568" i="3"/>
  <c r="BA567" i="3"/>
  <c r="G567" i="3"/>
  <c r="BL566" i="3"/>
  <c r="AZ566" i="3" s="1"/>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AA29" i="33"/>
  <c r="F12" i="35"/>
  <c r="J12" i="35"/>
  <c r="W12" i="35" s="1"/>
  <c r="AB31" i="36"/>
  <c r="U31" i="36"/>
  <c r="W42" i="34"/>
  <c r="AC42" i="34"/>
  <c r="U31" i="35"/>
  <c r="AB31" i="35"/>
  <c r="BL568" i="3"/>
  <c r="AB19" i="33"/>
  <c r="AC27" i="21"/>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Z577" i="3" s="1"/>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BL569" i="3"/>
  <c r="AZ569" i="3" s="1"/>
  <c r="W31" i="34"/>
  <c r="S14" i="37"/>
  <c r="AA14" i="37"/>
  <c r="H13" i="40"/>
  <c r="H35" i="35"/>
  <c r="U13" i="35"/>
  <c r="AB13" i="35"/>
  <c r="AC40" i="37"/>
  <c r="J29" i="33"/>
  <c r="H26" i="33"/>
  <c r="AB11" i="33"/>
  <c r="U11" i="33"/>
  <c r="AB16" i="36"/>
  <c r="U16" i="36"/>
  <c r="J31" i="39"/>
  <c r="AA19" i="39"/>
  <c r="S19" i="39"/>
  <c r="AB38" i="39"/>
  <c r="U38" i="39"/>
  <c r="AC41" i="33"/>
  <c r="W41" i="33"/>
  <c r="BA552" i="3"/>
  <c r="AZ552" i="3" s="1"/>
  <c r="BA534" i="3"/>
  <c r="BL530" i="3"/>
  <c r="AZ530" i="3" s="1"/>
  <c r="BA521" i="3"/>
  <c r="BL510" i="3"/>
  <c r="BR5" i="3"/>
  <c r="BL494" i="3"/>
  <c r="S14" i="35"/>
  <c r="AZ342" i="3"/>
  <c r="AZ337" i="3"/>
  <c r="AZ325" i="3"/>
  <c r="AZ320" i="3"/>
  <c r="BL527" i="3"/>
  <c r="BL567" i="3"/>
  <c r="BL573" i="3"/>
  <c r="AZ573" i="3" s="1"/>
  <c r="F28" i="34"/>
  <c r="J28" i="34"/>
  <c r="W28" i="34" s="1"/>
  <c r="AB9" i="40"/>
  <c r="U9" i="40"/>
  <c r="AB12" i="36"/>
  <c r="U12" i="36"/>
  <c r="AA34" i="39"/>
  <c r="S34" i="39"/>
  <c r="G582" i="3"/>
  <c r="G574" i="3"/>
  <c r="G587" i="3"/>
  <c r="BL584" i="3"/>
  <c r="AZ584" i="3" s="1"/>
  <c r="BA584" i="3"/>
  <c r="BL582" i="3"/>
  <c r="G552" i="3"/>
  <c r="BL549" i="3"/>
  <c r="BA549" i="3"/>
  <c r="G546" i="3"/>
  <c r="G545" i="3"/>
  <c r="BL544" i="3"/>
  <c r="AZ544" i="3" s="1"/>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G262" i="3"/>
  <c r="G263" i="3"/>
  <c r="BA263" i="3"/>
  <c r="G267" i="3"/>
  <c r="G269" i="3"/>
  <c r="BA134" i="3"/>
  <c r="G138" i="3"/>
  <c r="G146" i="3"/>
  <c r="C39" i="71"/>
  <c r="B66" i="71"/>
  <c r="N65" i="71" s="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W44" i="21"/>
  <c r="S32" i="21"/>
  <c r="F30" i="69"/>
  <c r="F48" i="69" s="1"/>
  <c r="F52" i="9"/>
  <c r="D68" i="9"/>
  <c r="M18" i="15"/>
  <c r="M18" i="67"/>
  <c r="F30" i="11"/>
  <c r="C48" i="11" s="1"/>
  <c r="F54" i="9"/>
  <c r="F28" i="15"/>
  <c r="C28" i="15" s="1"/>
  <c r="F32" i="67"/>
  <c r="F60" i="67" s="1"/>
  <c r="F28" i="67"/>
  <c r="C28" i="67" s="1"/>
  <c r="C40" i="68"/>
  <c r="C21" i="68"/>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E29" i="6" s="1"/>
  <c r="K15" i="1"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BA545" i="3"/>
  <c r="BA542" i="3"/>
  <c r="AZ542" i="3" s="1"/>
  <c r="BL541" i="3"/>
  <c r="AZ541" i="3" s="1"/>
  <c r="BL540" i="3"/>
  <c r="AZ540" i="3" s="1"/>
  <c r="BA539" i="3"/>
  <c r="G539" i="3"/>
  <c r="BL538" i="3"/>
  <c r="BA537" i="3"/>
  <c r="AZ537" i="3" s="1"/>
  <c r="BA536" i="3"/>
  <c r="AZ536" i="3" s="1"/>
  <c r="BL534" i="3"/>
  <c r="AZ534" i="3" s="1"/>
  <c r="BA531" i="3"/>
  <c r="AZ531" i="3" s="1"/>
  <c r="BA529" i="3"/>
  <c r="BA528" i="3"/>
  <c r="AZ528" i="3" s="1"/>
  <c r="BA526" i="3"/>
  <c r="AZ526" i="3" s="1"/>
  <c r="BL525" i="3"/>
  <c r="AZ525" i="3" s="1"/>
  <c r="BA523" i="3"/>
  <c r="BL522" i="3"/>
  <c r="BL520" i="3"/>
  <c r="BA520" i="3"/>
  <c r="BL518" i="3"/>
  <c r="BL517" i="3"/>
  <c r="BL516" i="3"/>
  <c r="AZ516" i="3" s="1"/>
  <c r="BL513" i="3"/>
  <c r="BA513" i="3"/>
  <c r="BA512" i="3"/>
  <c r="AZ512" i="3" s="1"/>
  <c r="BL509" i="3"/>
  <c r="AZ509" i="3" s="1"/>
  <c r="BA508" i="3"/>
  <c r="BA506" i="3"/>
  <c r="AZ506" i="3" s="1"/>
  <c r="BL505" i="3"/>
  <c r="AZ505" i="3" s="1"/>
  <c r="BA503" i="3"/>
  <c r="AZ503" i="3" s="1"/>
  <c r="BL502" i="3"/>
  <c r="BA502" i="3"/>
  <c r="BA501" i="3"/>
  <c r="AZ501" i="3" s="1"/>
  <c r="BA500" i="3"/>
  <c r="AZ500" i="3" s="1"/>
  <c r="BL498" i="3"/>
  <c r="AZ498" i="3" s="1"/>
  <c r="BL497" i="3"/>
  <c r="BL496" i="3"/>
  <c r="AZ496" i="3" s="1"/>
  <c r="BA495" i="3"/>
  <c r="AZ495" i="3" s="1"/>
  <c r="BA494" i="3"/>
  <c r="BK5" i="3"/>
  <c r="BA493" i="3"/>
  <c r="BC5" i="3"/>
  <c r="S23" i="37"/>
  <c r="AA23" i="37"/>
  <c r="AA11" i="35"/>
  <c r="S32" i="35"/>
  <c r="AB21" i="39"/>
  <c r="U21" i="39"/>
  <c r="W28" i="37"/>
  <c r="U33" i="36"/>
  <c r="AA43" i="34"/>
  <c r="S43" i="34"/>
  <c r="AC27" i="40"/>
  <c r="W27" i="40"/>
  <c r="AB32" i="37"/>
  <c r="U32" i="37"/>
  <c r="AZ376" i="3"/>
  <c r="S14" i="40"/>
  <c r="H5" i="3"/>
  <c r="AA15" i="37"/>
  <c r="S15" i="37"/>
  <c r="AC25" i="21"/>
  <c r="W25" i="21"/>
  <c r="AC28" i="34"/>
  <c r="F13" i="37"/>
  <c r="AC46" i="33"/>
  <c r="W46" i="33"/>
  <c r="J13" i="36"/>
  <c r="AC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U32" i="40"/>
  <c r="U27" i="34"/>
  <c r="AA23" i="21"/>
  <c r="B69" i="43"/>
  <c r="AB9" i="21"/>
  <c r="U9" i="21"/>
  <c r="W8" i="33"/>
  <c r="U19" i="37"/>
  <c r="U24" i="35"/>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BL539" i="3"/>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57" i="3"/>
  <c r="AZ575" i="3"/>
  <c r="AA44" i="33"/>
  <c r="BL585" i="3"/>
  <c r="BA585" i="3"/>
  <c r="AC8" i="34"/>
  <c r="W8" i="34"/>
  <c r="AC8" i="40"/>
  <c r="W8" i="40"/>
  <c r="J39" i="40"/>
  <c r="H39" i="40"/>
  <c r="G556" i="3"/>
  <c r="G585" i="3"/>
  <c r="BL587" i="3"/>
  <c r="AZ587" i="3" s="1"/>
  <c r="BL586" i="3"/>
  <c r="AZ586" i="3" s="1"/>
  <c r="AA35" i="34"/>
  <c r="S35" i="34"/>
  <c r="H12" i="35"/>
  <c r="AZ451" i="3"/>
  <c r="C55" i="71"/>
  <c r="D54" i="71"/>
  <c r="BL16" i="3"/>
  <c r="AZ16" i="3" s="1"/>
  <c r="BA407" i="3"/>
  <c r="BL408" i="3"/>
  <c r="AZ408" i="3" s="1"/>
  <c r="BA411" i="3"/>
  <c r="AZ411" i="3" s="1"/>
  <c r="BA414" i="3"/>
  <c r="AZ414" i="3" s="1"/>
  <c r="BA415" i="3"/>
  <c r="BA416" i="3"/>
  <c r="BA419" i="3"/>
  <c r="AZ419" i="3" s="1"/>
  <c r="BL421" i="3"/>
  <c r="BL422" i="3"/>
  <c r="BA425" i="3"/>
  <c r="BA426" i="3"/>
  <c r="AZ426" i="3" s="1"/>
  <c r="BA427" i="3"/>
  <c r="AZ427" i="3" s="1"/>
  <c r="G432" i="3"/>
  <c r="BL432" i="3"/>
  <c r="AZ432" i="3" s="1"/>
  <c r="BA434" i="3"/>
  <c r="BA435" i="3"/>
  <c r="BA444" i="3"/>
  <c r="BA445" i="3"/>
  <c r="BA447" i="3"/>
  <c r="AZ447" i="3" s="1"/>
  <c r="BA450" i="3"/>
  <c r="BA454" i="3"/>
  <c r="BL458" i="3"/>
  <c r="BL459" i="3"/>
  <c r="G461" i="3"/>
  <c r="BL463" i="3"/>
  <c r="G465" i="3"/>
  <c r="BL466" i="3"/>
  <c r="BA469" i="3"/>
  <c r="AZ469" i="3" s="1"/>
  <c r="G474" i="3"/>
  <c r="BL475" i="3"/>
  <c r="BA480" i="3"/>
  <c r="BA485" i="3"/>
  <c r="BL272" i="3"/>
  <c r="G558" i="3"/>
  <c r="BL400" i="3"/>
  <c r="AZ400" i="3" s="1"/>
  <c r="BA412" i="3"/>
  <c r="AZ412" i="3" s="1"/>
  <c r="BL417" i="3"/>
  <c r="BL418" i="3"/>
  <c r="BA421" i="3"/>
  <c r="BA423" i="3"/>
  <c r="AZ423" i="3" s="1"/>
  <c r="BL428" i="3"/>
  <c r="BL429" i="3"/>
  <c r="BA437" i="3"/>
  <c r="BA439" i="3"/>
  <c r="BA440" i="3"/>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BL477" i="3"/>
  <c r="AZ477" i="3" s="1"/>
  <c r="BL478" i="3"/>
  <c r="BL480" i="3"/>
  <c r="BA483" i="3"/>
  <c r="BL483" i="3"/>
  <c r="AZ483" i="3" s="1"/>
  <c r="BA486" i="3"/>
  <c r="BL489" i="3"/>
  <c r="BL491" i="3"/>
  <c r="BL492" i="3"/>
  <c r="BA315" i="3"/>
  <c r="AZ315" i="3" s="1"/>
  <c r="BA333" i="3"/>
  <c r="BL346" i="3"/>
  <c r="AZ346" i="3" s="1"/>
  <c r="BA384" i="3"/>
  <c r="AZ384" i="3" s="1"/>
  <c r="BA395" i="3"/>
  <c r="AZ395" i="3" s="1"/>
  <c r="BA208" i="3"/>
  <c r="AZ208" i="3" s="1"/>
  <c r="BA211" i="3"/>
  <c r="BL213" i="3"/>
  <c r="BL215" i="3"/>
  <c r="BA222" i="3"/>
  <c r="AZ222" i="3" s="1"/>
  <c r="BA224" i="3"/>
  <c r="BA226" i="3"/>
  <c r="BA237" i="3"/>
  <c r="AZ237" i="3" s="1"/>
  <c r="BL240" i="3"/>
  <c r="BA242" i="3"/>
  <c r="AZ242" i="3" s="1"/>
  <c r="BL245" i="3"/>
  <c r="AZ245" i="3" s="1"/>
  <c r="BL255" i="3"/>
  <c r="AZ255" i="3" s="1"/>
  <c r="BL257" i="3"/>
  <c r="AZ257" i="3" s="1"/>
  <c r="BL258" i="3"/>
  <c r="BA262" i="3"/>
  <c r="AZ262" i="3" s="1"/>
  <c r="BL265" i="3"/>
  <c r="AZ265" i="3" s="1"/>
  <c r="BA273" i="3"/>
  <c r="BA278" i="3"/>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BA403" i="3"/>
  <c r="BA404" i="3"/>
  <c r="AZ404" i="3" s="1"/>
  <c r="BA405" i="3"/>
  <c r="G409" i="3"/>
  <c r="BL410" i="3"/>
  <c r="G412" i="3"/>
  <c r="G418" i="3"/>
  <c r="G419" i="3"/>
  <c r="BA422" i="3"/>
  <c r="G429" i="3"/>
  <c r="G430" i="3"/>
  <c r="BL431" i="3"/>
  <c r="G433" i="3"/>
  <c r="BL434" i="3"/>
  <c r="G436" i="3"/>
  <c r="G437" i="3"/>
  <c r="BL438" i="3"/>
  <c r="AZ438" i="3" s="1"/>
  <c r="BL439" i="3"/>
  <c r="BA441" i="3"/>
  <c r="AZ441" i="3" s="1"/>
  <c r="BL445" i="3"/>
  <c r="AZ445" i="3" s="1"/>
  <c r="BL446" i="3"/>
  <c r="BL449" i="3"/>
  <c r="AZ449" i="3" s="1"/>
  <c r="BL450" i="3"/>
  <c r="BL452" i="3"/>
  <c r="G454" i="3"/>
  <c r="G455" i="3"/>
  <c r="BL456" i="3"/>
  <c r="BA464" i="3"/>
  <c r="BL467" i="3"/>
  <c r="BL468" i="3"/>
  <c r="AZ468" i="3" s="1"/>
  <c r="BL470" i="3"/>
  <c r="G472" i="3"/>
  <c r="G473" i="3"/>
  <c r="BL473" i="3"/>
  <c r="AZ473" i="3" s="1"/>
  <c r="BL474" i="3"/>
  <c r="G475" i="3"/>
  <c r="BA482" i="3"/>
  <c r="BA484" i="3"/>
  <c r="G491" i="3"/>
  <c r="BA303" i="3"/>
  <c r="AZ303" i="3" s="1"/>
  <c r="BA307" i="3"/>
  <c r="AZ307" i="3" s="1"/>
  <c r="G311" i="3"/>
  <c r="BL314" i="3"/>
  <c r="AZ314" i="3" s="1"/>
  <c r="G315" i="3"/>
  <c r="BA332" i="3"/>
  <c r="BL332" i="3"/>
  <c r="G339" i="3"/>
  <c r="BA367" i="3"/>
  <c r="BA370" i="3"/>
  <c r="AZ370" i="3" s="1"/>
  <c r="BA386" i="3"/>
  <c r="AZ386" i="3" s="1"/>
  <c r="BA216" i="3"/>
  <c r="AZ216" i="3" s="1"/>
  <c r="BA218" i="3"/>
  <c r="BL218" i="3"/>
  <c r="BL220" i="3"/>
  <c r="AZ220" i="3" s="1"/>
  <c r="BL221" i="3"/>
  <c r="BL223" i="3"/>
  <c r="BA227" i="3"/>
  <c r="AZ227" i="3" s="1"/>
  <c r="BA229" i="3"/>
  <c r="BL229" i="3"/>
  <c r="BL231" i="3"/>
  <c r="BL233" i="3"/>
  <c r="AZ233" i="3" s="1"/>
  <c r="BL235" i="3"/>
  <c r="AZ235" i="3" s="1"/>
  <c r="BL236" i="3"/>
  <c r="BL238" i="3"/>
  <c r="BL243" i="3"/>
  <c r="AZ243" i="3" s="1"/>
  <c r="BA247" i="3"/>
  <c r="BL247" i="3"/>
  <c r="BA249" i="3"/>
  <c r="BL249" i="3"/>
  <c r="BA251" i="3"/>
  <c r="BL251" i="3"/>
  <c r="BA253" i="3"/>
  <c r="BL260" i="3"/>
  <c r="AZ260" i="3" s="1"/>
  <c r="BL263" i="3"/>
  <c r="AZ263" i="3" s="1"/>
  <c r="BL270" i="3"/>
  <c r="AZ270" i="3" s="1"/>
  <c r="BA272" i="3"/>
  <c r="BL275" i="3"/>
  <c r="AZ275" i="3" s="1"/>
  <c r="BL285" i="3"/>
  <c r="BL287" i="3"/>
  <c r="BA290" i="3"/>
  <c r="BL299" i="3"/>
  <c r="BL113" i="3"/>
  <c r="BL115" i="3"/>
  <c r="AZ115" i="3" s="1"/>
  <c r="BA118" i="3"/>
  <c r="BL118" i="3"/>
  <c r="BA122" i="3"/>
  <c r="AZ122" i="3" s="1"/>
  <c r="BA129" i="3"/>
  <c r="BL133" i="3"/>
  <c r="BL139" i="3"/>
  <c r="AZ139" i="3" s="1"/>
  <c r="BL141" i="3"/>
  <c r="BL143" i="3"/>
  <c r="AZ143" i="3" s="1"/>
  <c r="BA153" i="3"/>
  <c r="BA196" i="3"/>
  <c r="AZ196" i="3" s="1"/>
  <c r="G203" i="3"/>
  <c r="BA205" i="3"/>
  <c r="AZ205" i="3" s="1"/>
  <c r="BL21"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AZ207" i="3" s="1"/>
  <c r="BL20" i="3"/>
  <c r="G29" i="3"/>
  <c r="BL29" i="3"/>
  <c r="AZ29" i="3" s="1"/>
  <c r="BL35" i="3"/>
  <c r="BA37" i="3"/>
  <c r="G39" i="3"/>
  <c r="BL39" i="3"/>
  <c r="AZ39" i="3" s="1"/>
  <c r="BA47" i="3"/>
  <c r="AZ47" i="3" s="1"/>
  <c r="BL49" i="3"/>
  <c r="BL50" i="3"/>
  <c r="BL51" i="3"/>
  <c r="BA62" i="3"/>
  <c r="AZ62" i="3" s="1"/>
  <c r="D60" i="71"/>
  <c r="T60" i="71"/>
  <c r="D44" i="71"/>
  <c r="T44" i="71"/>
  <c r="G53" i="3"/>
  <c r="BL53" i="3"/>
  <c r="BA56" i="3"/>
  <c r="AZ56" i="3" s="1"/>
  <c r="BA57" i="3"/>
  <c r="AZ57" i="3" s="1"/>
  <c r="BL58" i="3"/>
  <c r="BA60" i="3"/>
  <c r="BA63" i="3"/>
  <c r="AZ63" i="3" s="1"/>
  <c r="BA66" i="3"/>
  <c r="AZ66" i="3" s="1"/>
  <c r="BA71" i="3"/>
  <c r="AC18" i="36"/>
  <c r="W18" i="36"/>
  <c r="AB25" i="40"/>
  <c r="U25" i="40"/>
  <c r="D75" i="71"/>
  <c r="C74" i="71"/>
  <c r="D74" i="71" s="1"/>
  <c r="C31" i="71"/>
  <c r="D30" i="71"/>
  <c r="Y27" i="71"/>
  <c r="Z27" i="71" s="1"/>
  <c r="Y26" i="71"/>
  <c r="Z26" i="71" s="1"/>
  <c r="BL72" i="3"/>
  <c r="AZ72" i="3" s="1"/>
  <c r="G74" i="3"/>
  <c r="G75" i="3"/>
  <c r="BL75" i="3"/>
  <c r="BA80" i="3"/>
  <c r="BL84" i="3"/>
  <c r="G89" i="3"/>
  <c r="BA92" i="3"/>
  <c r="AZ92" i="3" s="1"/>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6" i="71" s="1"/>
  <c r="Q67" i="71"/>
  <c r="P68" i="71"/>
  <c r="U68" i="71"/>
  <c r="BA130" i="3"/>
  <c r="BL130" i="3"/>
  <c r="BA137" i="3"/>
  <c r="AZ137" i="3" s="1"/>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AZ193" i="3" s="1"/>
  <c r="G194" i="3"/>
  <c r="BL194" i="3"/>
  <c r="AZ194" i="3" s="1"/>
  <c r="BA198" i="3"/>
  <c r="AZ198" i="3" s="1"/>
  <c r="G199" i="3"/>
  <c r="G204" i="3"/>
  <c r="G205" i="3"/>
  <c r="BL206" i="3"/>
  <c r="BA19" i="3"/>
  <c r="G22" i="3"/>
  <c r="G24" i="3"/>
  <c r="G25" i="3"/>
  <c r="G27" i="3"/>
  <c r="BA27" i="3"/>
  <c r="G30" i="3"/>
  <c r="BL30" i="3"/>
  <c r="BL31" i="3"/>
  <c r="G35" i="3"/>
  <c r="G36" i="3"/>
  <c r="G37" i="3"/>
  <c r="G40" i="3"/>
  <c r="BL40" i="3"/>
  <c r="AZ40" i="3" s="1"/>
  <c r="BL41" i="3"/>
  <c r="G45" i="3"/>
  <c r="BL45" i="3"/>
  <c r="AZ45" i="3" s="1"/>
  <c r="BA48" i="3"/>
  <c r="BA49" i="3"/>
  <c r="AZ49" i="3" s="1"/>
  <c r="BA51" i="3"/>
  <c r="G54" i="3"/>
  <c r="G55" i="3"/>
  <c r="BL56" i="3"/>
  <c r="BA58" i="3"/>
  <c r="AZ58" i="3" s="1"/>
  <c r="BL59" i="3"/>
  <c r="BL60" i="3"/>
  <c r="AZ60" i="3" s="1"/>
  <c r="BA61" i="3"/>
  <c r="BA68" i="3"/>
  <c r="BA73" i="3"/>
  <c r="BL79" i="3"/>
  <c r="BL81" i="3"/>
  <c r="BA82" i="3"/>
  <c r="AZ82" i="3" s="1"/>
  <c r="BL83" i="3"/>
  <c r="G86" i="3"/>
  <c r="BA87" i="3"/>
  <c r="BA89" i="3"/>
  <c r="G93" i="3"/>
  <c r="BA98" i="3"/>
  <c r="BL103" i="3"/>
  <c r="G104" i="3"/>
  <c r="BA106" i="3"/>
  <c r="AZ106" i="3" s="1"/>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31" i="3"/>
  <c r="AZ439" i="3"/>
  <c r="AZ442" i="3"/>
  <c r="AZ452" i="3"/>
  <c r="AZ456" i="3"/>
  <c r="AZ470"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63" i="3"/>
  <c r="AZ489" i="3"/>
  <c r="AZ212" i="3"/>
  <c r="AZ231"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AZ475" i="3" s="1"/>
  <c r="BL481" i="3"/>
  <c r="BL482" i="3"/>
  <c r="AZ482" i="3" s="1"/>
  <c r="G483" i="3"/>
  <c r="BL485" i="3"/>
  <c r="BL486" i="3"/>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BA172" i="3"/>
  <c r="AZ172" i="3" s="1"/>
  <c r="BL288" i="3"/>
  <c r="AZ288" i="3" s="1"/>
  <c r="BA292" i="3"/>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BL174" i="3"/>
  <c r="AZ174" i="3" s="1"/>
  <c r="BL202" i="3"/>
  <c r="AZ30" i="3"/>
  <c r="BL36" i="3"/>
  <c r="AZ36" i="3" s="1"/>
  <c r="AZ68" i="3"/>
  <c r="AZ73" i="3"/>
  <c r="G200" i="3"/>
  <c r="G207" i="3"/>
  <c r="BA23" i="3"/>
  <c r="AZ23" i="3" s="1"/>
  <c r="BA24" i="3"/>
  <c r="AZ24" i="3" s="1"/>
  <c r="BL26" i="3"/>
  <c r="AZ26" i="3" s="1"/>
  <c r="BL32" i="3"/>
  <c r="BA34" i="3"/>
  <c r="AZ34" i="3" s="1"/>
  <c r="BA35" i="3"/>
  <c r="BL37" i="3"/>
  <c r="AZ37" i="3" s="1"/>
  <c r="BL42" i="3"/>
  <c r="BA44" i="3"/>
  <c r="AZ44" i="3" s="1"/>
  <c r="BA206" i="3"/>
  <c r="AZ206" i="3" s="1"/>
  <c r="BL22" i="3"/>
  <c r="AZ22" i="3" s="1"/>
  <c r="BL33" i="3"/>
  <c r="AZ33" i="3" s="1"/>
  <c r="BL43" i="3"/>
  <c r="BL46" i="3"/>
  <c r="AZ46" i="3" s="1"/>
  <c r="AZ54" i="3"/>
  <c r="AZ90" i="3"/>
  <c r="BL78" i="3"/>
  <c r="AZ78" i="3" s="1"/>
  <c r="BA83" i="3"/>
  <c r="AZ83" i="3" s="1"/>
  <c r="G91" i="3"/>
  <c r="BL95" i="3"/>
  <c r="AZ95" i="3" s="1"/>
  <c r="BL98" i="3"/>
  <c r="BL109" i="3"/>
  <c r="AZ109" i="3" s="1"/>
  <c r="AB21" i="21"/>
  <c r="G77" i="3"/>
  <c r="BA81" i="3"/>
  <c r="BA85" i="3"/>
  <c r="AZ85" i="3" s="1"/>
  <c r="BL89" i="3"/>
  <c r="AZ89" i="3" s="1"/>
  <c r="G94" i="3"/>
  <c r="G97" i="3"/>
  <c r="G100" i="3"/>
  <c r="BA107" i="3"/>
  <c r="BA112" i="3"/>
  <c r="AZ112" i="3" s="1"/>
  <c r="AC21" i="34"/>
  <c r="E27" i="71"/>
  <c r="E26" i="71" s="1"/>
  <c r="V28" i="71"/>
  <c r="BA76" i="3"/>
  <c r="BL80" i="3"/>
  <c r="BL87" i="3"/>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AC11" i="34"/>
  <c r="AB13" i="33"/>
  <c r="S9" i="33"/>
  <c r="S8" i="33"/>
  <c r="U8" i="33"/>
  <c r="W8" i="21"/>
  <c r="S8" i="21"/>
  <c r="AA11" i="21"/>
  <c r="AC11" i="21"/>
  <c r="AB11" i="21"/>
  <c r="F53" i="9"/>
  <c r="C5" i="11"/>
  <c r="C4" i="12"/>
  <c r="E14" i="6"/>
  <c r="E63" i="39" s="1"/>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F36" i="67"/>
  <c r="L47" i="15"/>
  <c r="D7" i="73"/>
  <c r="F38" i="15"/>
  <c r="F42" i="15"/>
  <c r="F16" i="15"/>
  <c r="F6" i="67"/>
  <c r="M22" i="15"/>
  <c r="F43" i="15"/>
  <c r="F26" i="15"/>
  <c r="M23" i="15"/>
  <c r="M24" i="67"/>
  <c r="F7" i="67"/>
  <c r="D9" i="69"/>
  <c r="M9" i="67"/>
  <c r="M6" i="67"/>
  <c r="F9" i="67"/>
  <c r="M8" i="15"/>
  <c r="D4" i="73"/>
  <c r="F43" i="67"/>
  <c r="F40" i="67"/>
  <c r="M28" i="67"/>
  <c r="M6" i="15"/>
  <c r="M29" i="15"/>
  <c r="F38" i="67"/>
  <c r="J15" i="67"/>
  <c r="F40" i="15"/>
  <c r="C76" i="67"/>
  <c r="F37" i="15"/>
  <c r="M26" i="15"/>
  <c r="C76" i="15"/>
  <c r="M22" i="67"/>
  <c r="D6" i="73"/>
  <c r="M29" i="67"/>
  <c r="F42" i="67"/>
  <c r="F13" i="15"/>
  <c r="F9" i="15"/>
  <c r="F16" i="67"/>
  <c r="J15" i="15"/>
  <c r="M24" i="15"/>
  <c r="F37" i="67"/>
  <c r="M8" i="67"/>
  <c r="F8" i="15"/>
  <c r="D5" i="73"/>
  <c r="L48" i="15"/>
  <c r="M9" i="15"/>
  <c r="C36" i="69"/>
  <c r="M28" i="15"/>
  <c r="F6" i="15"/>
  <c r="D3" i="73"/>
  <c r="AB32" i="21" l="1"/>
  <c r="AZ42" i="3"/>
  <c r="AZ32" i="3"/>
  <c r="AZ170" i="3"/>
  <c r="AZ486" i="3"/>
  <c r="AZ481" i="3"/>
  <c r="W13" i="36"/>
  <c r="V20" i="71"/>
  <c r="AZ467" i="3"/>
  <c r="AZ410" i="3"/>
  <c r="AZ437" i="3"/>
  <c r="N66" i="71"/>
  <c r="U43" i="39"/>
  <c r="S25" i="37"/>
  <c r="AB12" i="34"/>
  <c r="AA45" i="34"/>
  <c r="AZ571" i="3"/>
  <c r="U25" i="35"/>
  <c r="AA46" i="33"/>
  <c r="S46" i="33"/>
  <c r="AB27" i="21"/>
  <c r="U27" i="21"/>
  <c r="S9" i="34"/>
  <c r="AZ80" i="3"/>
  <c r="AZ98" i="3"/>
  <c r="AZ113" i="3"/>
  <c r="AZ161" i="3"/>
  <c r="AZ276" i="3"/>
  <c r="AZ485" i="3"/>
  <c r="AZ79" i="3"/>
  <c r="AZ51" i="3"/>
  <c r="AZ154" i="3"/>
  <c r="AZ48" i="3"/>
  <c r="AZ28" i="3"/>
  <c r="AZ53" i="3"/>
  <c r="AZ50" i="3"/>
  <c r="AZ21" i="3"/>
  <c r="AZ133" i="3"/>
  <c r="AZ238" i="3"/>
  <c r="AZ223" i="3"/>
  <c r="AZ367" i="3"/>
  <c r="AZ401" i="3"/>
  <c r="AZ278" i="3"/>
  <c r="AZ224" i="3"/>
  <c r="AZ211" i="3"/>
  <c r="AZ476" i="3"/>
  <c r="AZ433" i="3"/>
  <c r="AZ418" i="3"/>
  <c r="AZ458" i="3"/>
  <c r="AZ425" i="3"/>
  <c r="AZ416" i="3"/>
  <c r="AZ539" i="3"/>
  <c r="AC27" i="34"/>
  <c r="AZ518" i="3"/>
  <c r="AZ529" i="3"/>
  <c r="AZ546" i="3"/>
  <c r="AZ259" i="3"/>
  <c r="AZ409" i="3"/>
  <c r="AZ527" i="3"/>
  <c r="AZ510" i="3"/>
  <c r="AZ556" i="3"/>
  <c r="S27" i="33"/>
  <c r="AZ274" i="3"/>
  <c r="AC13" i="35"/>
  <c r="W13" i="35"/>
  <c r="AB29" i="34"/>
  <c r="U29" i="34"/>
  <c r="AC24" i="35"/>
  <c r="W24" i="35"/>
  <c r="AZ96" i="3"/>
  <c r="AZ76" i="3"/>
  <c r="AZ43" i="3"/>
  <c r="AZ35" i="3"/>
  <c r="AZ292" i="3"/>
  <c r="AZ117" i="3"/>
  <c r="AZ285" i="3"/>
  <c r="AZ492" i="3"/>
  <c r="G30" i="6"/>
  <c r="G31" i="6" s="1"/>
  <c r="AZ94" i="3"/>
  <c r="AZ18" i="3"/>
  <c r="AZ71" i="3"/>
  <c r="AZ254" i="3"/>
  <c r="AZ405" i="3"/>
  <c r="AZ240" i="3"/>
  <c r="AZ440" i="3"/>
  <c r="AZ415" i="3"/>
  <c r="AZ511" i="3"/>
  <c r="AC46" i="34"/>
  <c r="AZ494" i="3"/>
  <c r="AZ508" i="3"/>
  <c r="AZ568" i="3"/>
  <c r="AZ219" i="3"/>
  <c r="U46" i="33"/>
  <c r="AC45" i="34"/>
  <c r="U29" i="33"/>
  <c r="AB29" i="33"/>
  <c r="AB35" i="39"/>
  <c r="U35" i="39"/>
  <c r="S44" i="21"/>
  <c r="AC32" i="21"/>
  <c r="AB44" i="21"/>
  <c r="U37" i="21"/>
  <c r="AB37" i="21"/>
  <c r="AZ107" i="3"/>
  <c r="AZ61" i="3"/>
  <c r="AZ585" i="3"/>
  <c r="AZ554" i="3"/>
  <c r="AZ65" i="3"/>
  <c r="AZ443" i="3"/>
  <c r="AZ402" i="3"/>
  <c r="AZ217" i="3"/>
  <c r="AZ487" i="3"/>
  <c r="AZ559" i="3"/>
  <c r="F113" i="21"/>
  <c r="G113" i="21" s="1"/>
  <c r="H113" i="21" s="1"/>
  <c r="J37" i="21"/>
  <c r="S12" i="36"/>
  <c r="AA12" i="36"/>
  <c r="F37" i="21"/>
  <c r="AZ502" i="3"/>
  <c r="E59" i="40"/>
  <c r="J53" i="15"/>
  <c r="L56" i="15" s="1"/>
  <c r="J57" i="15"/>
  <c r="J55" i="15" s="1"/>
  <c r="J58" i="15" s="1"/>
  <c r="Q50" i="15" s="1"/>
  <c r="I54" i="15"/>
  <c r="L59" i="15"/>
  <c r="Q74" i="15" s="1"/>
  <c r="N59" i="15"/>
  <c r="L58" i="15"/>
  <c r="Q73"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S10" i="39" s="1"/>
  <c r="P6" i="1"/>
  <c r="C13" i="12" s="1"/>
  <c r="Q16" i="1"/>
  <c r="F27" i="11" s="1"/>
  <c r="C29" i="11" s="1"/>
  <c r="D27" i="11" s="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2"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64" i="3"/>
  <c r="E82" i="3"/>
  <c r="E496" i="3"/>
  <c r="E553" i="3"/>
  <c r="E555" i="3"/>
  <c r="E183" i="3"/>
  <c r="E531" i="3"/>
  <c r="E579" i="3"/>
  <c r="AA26" i="37"/>
  <c r="S26" i="37"/>
  <c r="BA5" i="3"/>
  <c r="E27" i="6" s="1"/>
  <c r="K26" i="6" s="1"/>
  <c r="M26" i="6" s="1"/>
  <c r="I26" i="6" s="1"/>
  <c r="S26" i="6" s="1"/>
  <c r="W40" i="40"/>
  <c r="AC40" i="40"/>
  <c r="AC12" i="21"/>
  <c r="W12" i="21"/>
  <c r="AB12" i="21"/>
  <c r="U12" i="21"/>
  <c r="AA27" i="34"/>
  <c r="S27" i="34"/>
  <c r="AC26" i="37"/>
  <c r="W26" i="37"/>
  <c r="BL5" i="3"/>
  <c r="F7" i="36"/>
  <c r="AA7" i="36" s="1"/>
  <c r="R36" i="36" s="1"/>
  <c r="H7" i="36"/>
  <c r="U7"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B29" i="1" s="1"/>
  <c r="C8" i="68" s="1"/>
  <c r="C5" i="68" s="1"/>
  <c r="C9" i="68"/>
  <c r="E72" i="43"/>
  <c r="B70" i="43" s="1"/>
  <c r="E60" i="40"/>
  <c r="F31" i="6"/>
  <c r="E51" i="40"/>
  <c r="E16" i="6"/>
  <c r="E58" i="40"/>
  <c r="E62" i="39"/>
  <c r="M14" i="1"/>
  <c r="D5" i="43"/>
  <c r="F10" i="40"/>
  <c r="S10" i="40" s="1"/>
  <c r="D26" i="43"/>
  <c r="C25" i="43" s="1"/>
  <c r="C7" i="43"/>
  <c r="C5" i="43" s="1"/>
  <c r="D10" i="52"/>
  <c r="D125" i="9"/>
  <c r="D11" i="52" s="1"/>
  <c r="B7" i="74"/>
  <c r="C7" i="74" s="1"/>
  <c r="F67" i="39"/>
  <c r="E69" i="39"/>
  <c r="H7" i="37"/>
  <c r="AB7" i="37" s="1"/>
  <c r="T42" i="37" s="1"/>
  <c r="G42" i="37" s="1"/>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AE7" i="1"/>
  <c r="AE8" i="1"/>
  <c r="AE12" i="1"/>
  <c r="AE10" i="1"/>
  <c r="C16" i="15"/>
  <c r="AE6" i="1"/>
  <c r="F27" i="69"/>
  <c r="G1" i="73"/>
  <c r="C16" i="67"/>
  <c r="F27" i="68" l="1"/>
  <c r="C29" i="68" s="1"/>
  <c r="D27" i="68" s="1"/>
  <c r="F28" i="12"/>
  <c r="C29" i="12" s="1"/>
  <c r="D28" i="12" s="1"/>
  <c r="AZ5" i="3"/>
  <c r="AY6" i="3" s="1"/>
  <c r="F59" i="15"/>
  <c r="F1" i="15"/>
  <c r="E172" i="3"/>
  <c r="E545" i="3"/>
  <c r="E583" i="3"/>
  <c r="E548" i="3"/>
  <c r="W37" i="21"/>
  <c r="AC37" i="21"/>
  <c r="S16" i="71"/>
  <c r="E132" i="3"/>
  <c r="E171" i="3"/>
  <c r="E478" i="3"/>
  <c r="E298" i="3"/>
  <c r="E176" i="3"/>
  <c r="AA37" i="21"/>
  <c r="S37" i="21"/>
  <c r="Q60" i="15"/>
  <c r="Q52" i="15"/>
  <c r="E100" i="3"/>
  <c r="E189" i="3"/>
  <c r="E268" i="3"/>
  <c r="E485" i="3"/>
  <c r="E468" i="3"/>
  <c r="E347" i="3"/>
  <c r="E216" i="3"/>
  <c r="E343" i="3"/>
  <c r="E31" i="3"/>
  <c r="E290" i="3"/>
  <c r="E166" i="3"/>
  <c r="E330" i="3"/>
  <c r="E97" i="3"/>
  <c r="E93" i="3"/>
  <c r="E154" i="3"/>
  <c r="E138" i="3"/>
  <c r="E536" i="3"/>
  <c r="E491" i="3"/>
  <c r="E160" i="3"/>
  <c r="E264" i="3"/>
  <c r="E86" i="3"/>
  <c r="E469" i="3"/>
  <c r="E41" i="3"/>
  <c r="E190" i="3"/>
  <c r="E258" i="3"/>
  <c r="E300" i="3"/>
  <c r="E494" i="3"/>
  <c r="E308" i="3"/>
  <c r="E512" i="3"/>
  <c r="E115" i="3"/>
  <c r="E35" i="3"/>
  <c r="E16" i="3"/>
  <c r="E493" i="3"/>
  <c r="E490" i="3"/>
  <c r="E463" i="3"/>
  <c r="E202" i="3"/>
  <c r="L6" i="3"/>
  <c r="E15" i="3"/>
  <c r="E137" i="3"/>
  <c r="E392" i="3"/>
  <c r="E123" i="3"/>
  <c r="E50" i="3"/>
  <c r="E365" i="3"/>
  <c r="E552" i="3"/>
  <c r="E155" i="3"/>
  <c r="E24" i="3"/>
  <c r="E312" i="3"/>
  <c r="E57"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68" i="3"/>
  <c r="E78" i="3"/>
  <c r="E393" i="3"/>
  <c r="E401" i="3"/>
  <c r="E333" i="3"/>
  <c r="E170" i="3"/>
  <c r="E112" i="3"/>
  <c r="E218" i="3"/>
  <c r="E90" i="3"/>
  <c r="E244"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240" i="3"/>
  <c r="E118" i="3"/>
  <c r="E131" i="3"/>
  <c r="E248" i="3"/>
  <c r="E59" i="3"/>
  <c r="E470" i="3"/>
  <c r="E105" i="3"/>
  <c r="J6" i="3"/>
  <c r="E346" i="3"/>
  <c r="E38" i="3"/>
  <c r="E129" i="3"/>
  <c r="E80" i="3"/>
  <c r="E486" i="3"/>
  <c r="E108" i="3"/>
  <c r="E43" i="3"/>
  <c r="E299" i="3"/>
  <c r="E340" i="3"/>
  <c r="E101" i="3"/>
  <c r="E521" i="3"/>
  <c r="E50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E94" i="3"/>
  <c r="E369" i="3"/>
  <c r="E139" i="3"/>
  <c r="E219" i="3"/>
  <c r="E378" i="3"/>
  <c r="E502" i="3"/>
  <c r="E197" i="3"/>
  <c r="E83" i="3"/>
  <c r="E422" i="3"/>
  <c r="E178" i="3"/>
  <c r="E473" i="3"/>
  <c r="E339" i="3"/>
  <c r="E364" i="3"/>
  <c r="E141" i="3"/>
  <c r="E65" i="3"/>
  <c r="E520"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I6" i="3"/>
  <c r="AB6" i="3"/>
  <c r="E572" i="3"/>
  <c r="E204" i="3"/>
  <c r="E406" i="3"/>
  <c r="E586" i="3"/>
  <c r="E538" i="3"/>
  <c r="E44" i="3"/>
  <c r="E450" i="3"/>
  <c r="E230" i="3"/>
  <c r="P6" i="3"/>
  <c r="AA6" i="3"/>
  <c r="E501" i="3"/>
  <c r="E471" i="3"/>
  <c r="E66" i="3"/>
  <c r="E51" i="3"/>
  <c r="E483" i="3"/>
  <c r="E135" i="3"/>
  <c r="E311" i="3"/>
  <c r="E182" i="3"/>
  <c r="E74" i="3"/>
  <c r="E133" i="3"/>
  <c r="E91" i="3"/>
  <c r="E270" i="3"/>
  <c r="E162" i="3"/>
  <c r="E193" i="3"/>
  <c r="E151" i="3"/>
  <c r="E32" i="3"/>
  <c r="E221" i="3"/>
  <c r="E126" i="3"/>
  <c r="E313" i="3"/>
  <c r="E341" i="3"/>
  <c r="E460" i="3"/>
  <c r="H10" i="40"/>
  <c r="AB10" i="40" s="1"/>
  <c r="J10" i="40"/>
  <c r="AC10" i="40" s="1"/>
  <c r="H10" i="39"/>
  <c r="U10" i="39" s="1"/>
  <c r="J10" i="39"/>
  <c r="W10" i="39" s="1"/>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F41" i="15"/>
  <c r="M27" i="67"/>
  <c r="F41" i="67"/>
  <c r="M27" i="15"/>
  <c r="C47" i="68" l="1"/>
  <c r="D45" i="68" s="1"/>
  <c r="F69" i="67"/>
  <c r="AC10" i="39"/>
  <c r="H6" i="3"/>
  <c r="C48" i="67"/>
  <c r="C66" i="67" s="1"/>
  <c r="D14" i="12"/>
  <c r="D17" i="12" s="1"/>
  <c r="C17" i="12" s="1"/>
  <c r="C17" i="4"/>
  <c r="B14" i="74" s="1"/>
  <c r="B1" i="74" s="1"/>
  <c r="D19" i="11"/>
  <c r="C19"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C17" i="67"/>
  <c r="C34" i="69"/>
  <c r="D10" i="69"/>
  <c r="C17" i="15"/>
  <c r="H21" i="6" l="1"/>
  <c r="B4" i="52"/>
  <c r="B43" i="72" s="1"/>
  <c r="C33" i="21"/>
  <c r="F33" i="21" s="1"/>
  <c r="H22" i="6"/>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J33" i="21" l="1"/>
  <c r="H33" i="2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H7" i="21" l="1"/>
  <c r="AB7" i="21" s="1"/>
  <c r="T48" i="21" s="1"/>
  <c r="G48" i="21"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U7" i="21" l="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0" i="9"/>
  <c r="D2" i="35"/>
  <c r="D2" i="36"/>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7" i="1"/>
  <c r="AO8" i="1"/>
  <c r="AO12"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C57" i="69" s="1"/>
  <c r="C56" i="69" s="1"/>
  <c r="B2" i="69" l="1"/>
  <c r="B3" i="69"/>
  <c r="C19" i="9"/>
  <c r="C20" i="9"/>
  <c r="D22" i="9" l="1"/>
  <c r="G19" i="9"/>
  <c r="G21" i="9" s="1"/>
  <c r="C102" i="9"/>
  <c r="C21" i="9"/>
  <c r="C103" i="9"/>
  <c r="G20" i="9"/>
  <c r="E14" i="74" s="1"/>
  <c r="D14" i="74" s="1"/>
  <c r="G22" i="9" l="1"/>
  <c r="C32" i="9"/>
  <c r="C35" i="9" s="1"/>
  <c r="C34" i="9" s="1"/>
  <c r="B5" i="74"/>
  <c r="D5" i="74" s="1"/>
  <c r="F14" i="74"/>
  <c r="H5" i="52" l="1"/>
  <c r="H119" i="9"/>
  <c r="B30" i="72"/>
  <c r="B52" i="72"/>
  <c r="G4" i="52"/>
  <c r="B47" i="72"/>
  <c r="D4" i="52"/>
  <c r="C86" i="9"/>
  <c r="C93" i="9"/>
  <c r="D9" i="52"/>
  <c r="D123" i="9"/>
  <c r="B51" i="72"/>
  <c r="F4" i="52"/>
  <c r="B22" i="72"/>
  <c r="D6" i="53"/>
  <c r="B49" i="72"/>
  <c r="D5" i="52"/>
  <c r="D118" i="9"/>
  <c r="D119" i="9"/>
  <c r="M55" i="9"/>
  <c r="D59" i="9"/>
  <c r="C81" i="9"/>
  <c r="D122" i="9"/>
  <c r="D8" i="52"/>
  <c r="D54" i="9"/>
  <c r="C64" i="9"/>
  <c r="C63" i="9"/>
  <c r="C67" i="9"/>
  <c r="C68" i="9"/>
  <c r="M54" i="9"/>
  <c r="C97" i="9"/>
  <c r="D58" i="9"/>
  <c r="D56" i="9"/>
  <c r="N60" i="9"/>
  <c r="N59" i="9"/>
  <c r="N61" i="9"/>
  <c r="D5" i="53"/>
  <c r="B20" i="72"/>
  <c r="C6" i="74"/>
  <c r="C5" i="74"/>
  <c r="D13" i="53"/>
  <c r="D14" i="53"/>
  <c r="B32" i="72"/>
  <c r="C72" i="9"/>
  <c r="C79" i="9"/>
  <c r="C80" i="9"/>
  <c r="E80" i="9"/>
  <c r="E81" i="9"/>
  <c r="C105" i="9"/>
  <c r="I4" i="52"/>
  <c r="C73" i="9"/>
  <c r="C78" i="9"/>
  <c r="D52" i="9"/>
  <c r="D53" i="9"/>
  <c r="P57" i="9"/>
  <c r="D55" i="9"/>
  <c r="M53" i="9"/>
  <c r="N57" i="9"/>
  <c r="N58" i="9"/>
  <c r="H4" i="52"/>
  <c r="C104" i="9"/>
  <c r="D45" i="9"/>
  <c r="C85" i="9"/>
  <c r="C95" i="9"/>
  <c r="C96" i="9"/>
  <c r="E96" i="9"/>
  <c r="E97" i="9"/>
  <c r="E118" i="9"/>
  <c r="E4" i="52"/>
  <c r="B48" i="72"/>
  <c r="G118" i="9"/>
  <c r="F118" i="9"/>
  <c r="F119" i="9"/>
  <c r="F5" i="52"/>
  <c r="B53" i="72"/>
  <c r="M48" i="9"/>
  <c r="H102" i="9"/>
  <c r="D7" i="53"/>
  <c r="B21" i="72"/>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X2" authorId="0" shapeId="0" xr:uid="{C7CD22C0-FFC3-4DB5-BC3D-02B20D231D39}">
      <text>
        <r>
          <rPr>
            <b/>
            <sz val="9"/>
            <color indexed="81"/>
            <rFont val="宋体"/>
            <family val="3"/>
            <charset val="134"/>
          </rPr>
          <t>填写交易证明的类型，分为商品房合同、预售契约、买卖契约、认购书。</t>
        </r>
      </text>
    </comment>
    <comment ref="AY2" authorId="0" shapeId="0" xr:uid="{574C0B61-A4D5-4B5E-AB5C-C97994D3139F}">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G2" authorId="0" shapeId="0" xr:uid="{7023F56B-CF81-4869-9EA3-DDDF4D0D5BFF}">
      <text>
        <r>
          <rPr>
            <b/>
            <sz val="9"/>
            <color indexed="81"/>
            <rFont val="宋体"/>
            <family val="3"/>
            <charset val="134"/>
          </rPr>
          <t>填写数值型数据，保留小数点后一位。</t>
        </r>
      </text>
    </comment>
    <comment ref="BH2" authorId="0" shapeId="0" xr:uid="{4A71F27C-4CFD-4D6C-8142-DAFD3158013B}">
      <text>
        <r>
          <rPr>
            <b/>
            <sz val="9"/>
            <color indexed="81"/>
            <rFont val="宋体"/>
            <family val="3"/>
            <charset val="134"/>
          </rPr>
          <t>此项填写合同日期，无合同日期填写预售登记日期，均无则在备注中注明</t>
        </r>
      </text>
    </comment>
    <comment ref="BI2" authorId="0" shapeId="0" xr:uid="{D31A3EAB-47E6-4E78-AE9F-A63FFB928382}">
      <text>
        <r>
          <rPr>
            <b/>
            <sz val="9"/>
            <color indexed="81"/>
            <rFont val="宋体"/>
            <family val="3"/>
            <charset val="134"/>
          </rPr>
          <t>在补充过程中发现合同遗漏的项目，不能正常补充的需注明。</t>
        </r>
      </text>
    </comment>
    <comment ref="BM2" authorId="1" shapeId="0" xr:uid="{43DD8481-ECFE-465D-A5DE-1323FA3B417D}">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<sst xmlns="http://schemas.openxmlformats.org/spreadsheetml/2006/main" count="8058" uniqueCount="3590">
  <si>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</si>
  <si>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</si>
  <si>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</si>
  <si>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</si>
  <si>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</si>
  <si>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</si>
  <si>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</si>
  <si>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</si>
  <si>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</si>
  <si>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</si>
  <si>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</si>
  <si>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</si>
  <si>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</si>
  <si>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</si>
  <si>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</si>
  <si>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</si>
  <si>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</si>
  <si>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</si>
  <si>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</si>
  <si>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</si>
  <si>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</si>
  <si>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</si>
  <si>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</si>
  <si>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</si>
  <si>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</si>
  <si>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</si>
  <si>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</si>
  <si>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</si>
  <si>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</si>
  <si>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</si>
  <si>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</si>
  <si>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</si>
  <si>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</si>
  <si>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</si>
  <si>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</si>
  <si>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</si>
  <si>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</si>
  <si>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</si>
  <si>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</si>
  <si>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</si>
  <si>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</si>
  <si>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</si>
  <si>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</si>
  <si>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</si>
  <si>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</si>
  <si>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</si>
  <si>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</si>
  <si>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</si>
  <si>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</si>
  <si>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</si>
  <si>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</si>
  <si>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</si>
  <si>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</si>
  <si>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</si>
  <si>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</si>
  <si>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</si>
  <si>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</si>
  <si>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</si>
  <si>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</si>
  <si>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</si>
  <si>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</si>
  <si>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</si>
  <si>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</si>
  <si>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</si>
  <si>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</si>
  <si>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</si>
  <si>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</si>
  <si>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</si>
  <si>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</si>
  <si>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</si>
  <si>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</si>
  <si>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</si>
  <si>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</si>
  <si>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</si>
  <si>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</si>
  <si>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</si>
  <si>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</si>
  <si>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</si>
  <si>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</si>
  <si>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</si>
  <si>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</si>
  <si>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</si>
  <si>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</si>
  <si>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</si>
  <si>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</si>
  <si>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</si>
  <si>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</si>
  <si>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</si>
  <si>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</si>
  <si>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</si>
  <si>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</si>
  <si>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</si>
  <si>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</si>
  <si>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</si>
  <si>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</si>
  <si>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</si>
  <si>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</si>
  <si>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</si>
  <si>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</si>
  <si>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</si>
  <si>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</si>
  <si>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</si>
  <si>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</si>
  <si>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</si>
  <si>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</si>
  <si>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</si>
  <si>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</si>
  <si>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</si>
  <si>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</si>
  <si>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</si>
  <si>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</si>
  <si>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</si>
  <si>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</si>
  <si>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</si>
  <si>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</si>
  <si>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</si>
  <si>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</si>
  <si>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</si>
  <si>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</si>
  <si>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</si>
  <si>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</si>
  <si>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</si>
  <si>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</si>
  <si>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</si>
  <si>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</si>
  <si>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</si>
  <si>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</si>
  <si>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</si>
  <si>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</si>
  <si>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</si>
  <si>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</si>
  <si>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</si>
  <si>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</si>
  <si>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</si>
  <si>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</si>
  <si>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</si>
  <si>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</si>
  <si>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</si>
  <si>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</si>
  <si>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</si>
  <si>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</si>
  <si>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</si>
  <si>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</si>
  <si>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</si>
  <si>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</si>
  <si>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</si>
  <si>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</si>
  <si>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</si>
  <si>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</si>
  <si>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</si>
  <si>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</si>
  <si>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</si>
  <si>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</si>
  <si>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</si>
  <si>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</si>
  <si>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</si>
  <si>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</si>
  <si>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</si>
  <si>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</si>
  <si>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</si>
  <si>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</si>
  <si>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</si>
  <si>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</si>
  <si>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</si>
  <si>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</si>
  <si>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</si>
  <si>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</si>
  <si>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</si>
  <si>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</si>
  <si>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</si>
  <si>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</si>
  <si>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</si>
  <si>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</si>
  <si>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</si>
  <si>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</si>
  <si>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</si>
  <si>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</si>
  <si>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</si>
  <si>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</si>
  <si>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</si>
  <si>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</si>
  <si>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</si>
  <si>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</si>
  <si>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</si>
  <si>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</si>
  <si>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</si>
  <si>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</si>
  <si>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</si>
  <si>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</si>
  <si>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</si>
  <si>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</si>
  <si>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</si>
  <si>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</si>
  <si>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</si>
  <si>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</si>
  <si>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</si>
  <si>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</si>
  <si>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</si>
  <si>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</si>
  <si>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</si>
  <si>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</si>
  <si>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</si>
  <si>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</si>
  <si>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</si>
  <si>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</si>
  <si>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</si>
  <si>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</si>
  <si>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</si>
  <si>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</si>
  <si>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</si>
  <si>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</si>
  <si>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</si>
  <si>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</si>
  <si>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</si>
  <si>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</si>
  <si>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</si>
  <si>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</si>
  <si>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</si>
  <si>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</si>
  <si>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</si>
  <si>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</si>
  <si>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</si>
  <si>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</si>
  <si>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</si>
  <si>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</si>
  <si>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</si>
  <si>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</si>
  <si>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</si>
  <si>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</si>
  <si>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</si>
  <si>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</si>
  <si>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</si>
  <si>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</si>
  <si>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</si>
  <si>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</si>
  <si>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</si>
  <si>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</si>
  <si>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</si>
  <si>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</si>
  <si>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</si>
  <si>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</si>
  <si>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</si>
  <si>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</si>
  <si>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</si>
  <si>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</si>
  <si>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</si>
  <si>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</si>
  <si>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</si>
  <si>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</si>
  <si>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</si>
  <si>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</si>
  <si>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</si>
  <si>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</si>
  <si>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</si>
  <si>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</si>
  <si>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</si>
  <si>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</si>
  <si>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</si>
  <si>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</si>
  <si>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</si>
  <si>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</si>
  <si>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</si>
  <si>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</si>
  <si>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</si>
  <si>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</si>
  <si>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</si>
  <si>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</si>
  <si>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</si>
  <si>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</si>
  <si>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</si>
  <si>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</si>
  <si>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</si>
  <si>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</si>
  <si>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</si>
  <si>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</si>
  <si>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</si>
  <si>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</si>
  <si>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</si>
  <si>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</si>
  <si>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</si>
  <si>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</si>
  <si>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</si>
  <si>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</si>
  <si>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</si>
  <si>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</si>
  <si>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</si>
  <si>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</si>
  <si>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</si>
  <si>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</si>
  <si>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</si>
  <si>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</si>
  <si>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</si>
  <si>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</si>
  <si>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</si>
  <si>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</si>
  <si>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</si>
  <si>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</si>
  <si>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</si>
  <si>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</si>
  <si>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</si>
  <si>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</si>
  <si>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</si>
  <si>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</si>
  <si>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</si>
  <si>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</si>
  <si>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</si>
  <si>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</si>
  <si>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</si>
  <si>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</si>
  <si>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</si>
  <si>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</si>
  <si>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</si>
  <si>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</si>
  <si>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</si>
  <si>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</si>
  <si>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</si>
  <si>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</si>
  <si>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</si>
  <si>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</si>
  <si>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</si>
  <si>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</si>
  <si>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</si>
  <si>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</si>
  <si>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</si>
  <si>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</si>
  <si>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</si>
  <si>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</si>
  <si>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</si>
  <si>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</si>
  <si>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</si>
  <si>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</si>
  <si>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</si>
  <si>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</si>
  <si>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</si>
  <si>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</si>
  <si>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</si>
  <si>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</si>
  <si>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</si>
  <si>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</si>
  <si>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</si>
  <si>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</si>
  <si>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</si>
  <si>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</si>
  <si>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</si>
  <si>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</si>
  <si>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</si>
  <si>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</si>
  <si>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</si>
  <si>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</si>
  <si>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</si>
  <si>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</si>
  <si>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</si>
  <si>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</si>
  <si>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</si>
  <si>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</si>
  <si>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</si>
  <si>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</si>
  <si>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</si>
  <si>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</si>
  <si>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</si>
  <si>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</si>
  <si>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</si>
  <si>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</si>
  <si>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</si>
  <si>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</si>
  <si>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</si>
  <si>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</si>
  <si>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</si>
  <si>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</si>
  <si>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</si>
  <si>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</si>
  <si>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</si>
  <si>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</si>
  <si>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</si>
  <si>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</si>
  <si>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</si>
  <si>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</si>
  <si>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</si>
  <si>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</si>
  <si>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</si>
  <si>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</si>
  <si>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</si>
  <si>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</si>
  <si>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</si>
  <si>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</si>
  <si>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</si>
  <si>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</si>
  <si>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</si>
  <si>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</si>
  <si>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</si>
  <si>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</si>
  <si>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</si>
  <si>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</si>
  <si>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</si>
  <si>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</si>
  <si>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</si>
  <si>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</si>
  <si>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</si>
  <si>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</si>
  <si>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</si>
  <si>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</si>
  <si>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</si>
  <si>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</si>
  <si>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</si>
  <si>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</si>
  <si>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</si>
  <si>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</si>
  <si>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</si>
  <si>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</si>
  <si>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</si>
  <si>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</si>
  <si>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</si>
  <si>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</si>
  <si>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</si>
  <si>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</si>
  <si>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</si>
  <si>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</si>
  <si>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</si>
  <si>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</si>
  <si>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</si>
  <si>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</si>
  <si>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</si>
  <si>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</si>
  <si>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</si>
  <si>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</si>
  <si>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</si>
  <si>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</si>
  <si>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</si>
  <si>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</si>
  <si>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</si>
  <si>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</si>
  <si>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</si>
  <si>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</si>
  <si>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</si>
  <si>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</si>
  <si>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</si>
  <si>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</si>
  <si>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</si>
  <si>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</si>
  <si>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</si>
  <si>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</si>
  <si>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</si>
  <si>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</si>
  <si>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</si>
  <si>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</si>
  <si>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</si>
  <si>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</si>
  <si>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</si>
  <si>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</si>
  <si>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</si>
  <si>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</si>
  <si>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</si>
  <si>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</si>
  <si>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</si>
  <si>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</si>
  <si>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</si>
  <si>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</si>
  <si>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</si>
  <si>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</si>
  <si>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</si>
  <si>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</si>
  <si>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</si>
  <si>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</si>
  <si>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</si>
  <si>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</si>
  <si>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</si>
  <si>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</si>
  <si>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</si>
  <si>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</si>
  <si>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</si>
  <si>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</si>
  <si>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</si>
  <si>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</si>
  <si>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</si>
  <si>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</si>
  <si>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</si>
  <si>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</si>
  <si>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</si>
  <si>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</si>
  <si>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</si>
  <si>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</si>
  <si>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</si>
  <si>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</si>
  <si>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</si>
  <si>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</si>
  <si>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</si>
  <si>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</si>
  <si>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</si>
  <si>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</si>
  <si>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</si>
  <si>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</si>
  <si>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</si>
  <si>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</si>
  <si>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</si>
  <si>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</si>
  <si>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</si>
  <si>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</si>
  <si>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</si>
  <si>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</si>
  <si>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</si>
  <si>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</si>
  <si>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</si>
  <si>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</si>
  <si>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</si>
  <si>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</si>
  <si>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</si>
  <si>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</si>
  <si>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</si>
  <si>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</si>
  <si>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</si>
  <si>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</si>
  <si>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</si>
  <si>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</si>
  <si>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</si>
  <si>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</si>
  <si>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</si>
  <si>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</si>
  <si>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</si>
  <si>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</si>
  <si>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</si>
  <si>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</si>
  <si>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</si>
  <si>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</si>
  <si>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</si>
  <si>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</si>
  <si>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</si>
  <si>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</si>
  <si>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</si>
  <si>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</si>
  <si>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</si>
  <si>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</si>
  <si>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</si>
  <si>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</si>
  <si>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</si>
  <si>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</si>
  <si>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</si>
  <si>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</si>
  <si>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</si>
  <si>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</si>
  <si>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</si>
  <si>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</si>
  <si>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</si>
  <si>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</si>
  <si>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</si>
  <si>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</si>
  <si>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</si>
  <si>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</si>
  <si>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</si>
  <si>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</si>
  <si>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</si>
  <si>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</si>
  <si>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</si>
  <si>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</si>
  <si>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</si>
  <si>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</si>
  <si>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</si>
  <si>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</si>
  <si>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</si>
  <si>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</si>
  <si>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</si>
  <si>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</si>
  <si>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</si>
  <si>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</si>
  <si>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</si>
  <si>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</si>
  <si>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</si>
  <si>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</si>
  <si>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</si>
  <si>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</si>
  <si>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</si>
  <si>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</si>
  <si>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</si>
  <si>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</si>
  <si>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</si>
  <si>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</si>
  <si>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</si>
  <si>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</si>
  <si>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</si>
  <si>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</si>
  <si>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</si>
  <si>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</si>
  <si>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</si>
  <si>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</si>
  <si>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</si>
  <si>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</si>
  <si>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</si>
  <si>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</si>
  <si>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</si>
  <si>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</si>
  <si>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</si>
  <si>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</si>
  <si>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</si>
  <si>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</si>
  <si>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</si>
  <si>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</si>
  <si>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</si>
  <si>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</si>
  <si>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</si>
  <si>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</si>
  <si>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</si>
  <si>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</si>
  <si>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</si>
  <si>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</si>
  <si>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</si>
  <si>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</si>
  <si>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</si>
  <si>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</si>
  <si>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</si>
  <si>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</si>
  <si>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</si>
  <si>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</si>
  <si>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</si>
  <si>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</si>
  <si>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</si>
  <si>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</si>
  <si>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</si>
  <si>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</si>
  <si>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</si>
  <si>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</si>
  <si>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</si>
  <si>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</si>
  <si>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</si>
  <si>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</si>
  <si>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</si>
  <si>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</si>
  <si>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</si>
  <si>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</si>
  <si>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</si>
  <si>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</si>
  <si>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</si>
  <si>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</si>
  <si>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</si>
  <si>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</si>
  <si>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</si>
  <si>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</si>
  <si>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</si>
  <si>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</si>
  <si>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</si>
  <si>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</si>
  <si>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</si>
  <si>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</si>
  <si>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</si>
  <si>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</si>
  <si>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</si>
  <si>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</si>
  <si>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</si>
  <si>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</si>
  <si>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</si>
  <si>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</si>
  <si>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</si>
  <si>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</si>
  <si>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</si>
  <si>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</si>
  <si>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</si>
  <si>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</si>
  <si>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</si>
  <si>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</si>
  <si>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</si>
  <si>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</si>
  <si>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</si>
  <si>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</si>
  <si>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</si>
  <si>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</si>
  <si>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</si>
  <si>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</si>
  <si>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</si>
  <si>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</si>
  <si>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</si>
  <si>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</si>
  <si>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</si>
  <si>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</si>
  <si>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</si>
  <si>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</si>
  <si>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</si>
  <si>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</si>
  <si>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</si>
  <si>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</si>
  <si>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</si>
  <si>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</si>
  <si>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</si>
  <si>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</si>
  <si>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</si>
  <si>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</si>
  <si>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</si>
  <si>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</si>
  <si>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</si>
  <si>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</si>
  <si>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</si>
  <si>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</si>
  <si>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</si>
  <si>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</si>
  <si>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</si>
  <si>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</si>
  <si>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</si>
  <si>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</si>
  <si>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</si>
  <si>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</si>
  <si>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</si>
  <si>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</si>
  <si>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</si>
  <si>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</si>
  <si>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</si>
  <si>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</si>
  <si>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</si>
  <si>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</si>
  <si>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</si>
  <si>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</si>
  <si>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</si>
  <si>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</si>
  <si>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</si>
  <si>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</si>
  <si>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</si>
  <si>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</si>
  <si>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</si>
  <si>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</si>
  <si>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</si>
  <si>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</si>
  <si>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</si>
  <si>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</si>
  <si>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</si>
  <si>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</si>
  <si>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</si>
  <si>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</si>
  <si>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</si>
  <si>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</si>
  <si>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</si>
  <si>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</si>
  <si>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</si>
  <si>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</si>
  <si>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</si>
  <si>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</si>
  <si>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</si>
  <si>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</si>
  <si>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</si>
  <si>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</si>
  <si>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</si>
  <si>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</si>
  <si>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</si>
  <si>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</si>
  <si>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</si>
  <si>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</si>
  <si>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</si>
  <si>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</si>
  <si>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</si>
  <si>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</si>
  <si>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</si>
  <si>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</si>
  <si>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</si>
  <si>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</si>
  <si>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</si>
  <si>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</si>
  <si>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</si>
  <si>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</si>
  <si>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</si>
  <si>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</si>
  <si>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</si>
  <si>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</si>
  <si>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</si>
  <si>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</si>
  <si>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</si>
  <si>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</si>
  <si>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</si>
  <si>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</si>
  <si>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</si>
  <si>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</si>
  <si>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</si>
  <si>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</si>
  <si>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</si>
  <si>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</si>
  <si>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</si>
  <si>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</si>
  <si>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</si>
  <si>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</si>
  <si>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</si>
  <si>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</si>
  <si>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</si>
  <si>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</si>
  <si>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</si>
  <si>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</si>
  <si>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</si>
  <si>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</si>
  <si>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</si>
  <si>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</si>
  <si>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</si>
  <si>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</si>
  <si>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</si>
  <si>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</si>
  <si>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</si>
  <si>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</si>
  <si>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</si>
  <si>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</si>
  <si>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</si>
  <si>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</si>
  <si>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</si>
  <si>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</si>
  <si>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</si>
  <si>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</si>
  <si>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</si>
  <si>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</si>
  <si>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</si>
  <si>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</si>
  <si>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</si>
  <si>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</si>
  <si>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</si>
  <si>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</si>
  <si>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</si>
  <si>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</si>
  <si>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</si>
  <si>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</si>
  <si>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</si>
  <si>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</si>
  <si>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</si>
  <si>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</si>
  <si>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</si>
  <si>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</si>
  <si>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</si>
  <si>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</si>
  <si>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</si>
  <si>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</si>
  <si>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</si>
  <si>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</si>
  <si>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</si>
  <si>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</si>
  <si>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</si>
  <si>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</si>
  <si>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</si>
  <si>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</si>
  <si>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</si>
  <si>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</si>
  <si>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</si>
  <si>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</si>
  <si>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</si>
  <si>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</si>
  <si>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</si>
  <si>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</si>
  <si>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</si>
  <si>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</si>
  <si>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</si>
  <si>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</si>
  <si>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</si>
  <si>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</si>
  <si>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</si>
  <si>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</si>
  <si>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</si>
  <si>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</si>
  <si>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</si>
  <si>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</si>
  <si>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</si>
  <si>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</si>
  <si>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</si>
  <si>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</si>
  <si>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</si>
  <si>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</si>
  <si>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</si>
  <si>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</si>
  <si>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</si>
  <si>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</si>
  <si>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</si>
  <si>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</si>
  <si>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</si>
  <si>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</si>
  <si>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</si>
  <si>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</si>
  <si>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</si>
  <si>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</si>
  <si>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</si>
  <si>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</si>
  <si>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</si>
  <si>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</si>
  <si>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</si>
  <si>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</si>
  <si>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</si>
  <si>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</si>
  <si>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</si>
  <si>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</si>
  <si>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</si>
  <si>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</si>
  <si>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</si>
  <si>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</si>
  <si>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</si>
  <si>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</si>
  <si>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</si>
  <si>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</si>
  <si>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</si>
  <si>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</si>
  <si>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</si>
  <si>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</si>
  <si>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</si>
  <si>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</si>
  <si>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</si>
  <si>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</si>
  <si>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</si>
  <si>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</si>
  <si>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</si>
  <si>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</si>
  <si>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</si>
  <si>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</si>
  <si>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</si>
  <si>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</si>
  <si>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</si>
  <si>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</si>
  <si>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</si>
  <si>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</si>
  <si>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</si>
  <si>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</si>
  <si>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</si>
  <si>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</si>
  <si>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</si>
  <si>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</si>
  <si>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</si>
  <si>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</si>
  <si>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</si>
  <si>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</si>
  <si>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</si>
  <si>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</si>
  <si>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</si>
  <si>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</si>
  <si>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</si>
  <si>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</si>
  <si>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</si>
  <si>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</si>
  <si>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</si>
  <si>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</si>
  <si>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</si>
  <si>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</si>
  <si>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</si>
  <si>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</si>
  <si>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</si>
  <si>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</si>
  <si>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</si>
  <si>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</si>
  <si>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</si>
  <si>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</si>
  <si>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</si>
  <si>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</si>
  <si>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</si>
  <si>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</si>
  <si>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</si>
  <si>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</si>
  <si>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</si>
  <si>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</si>
  <si>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</si>
  <si>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</si>
  <si>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</si>
  <si>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</si>
  <si>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</si>
  <si>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</si>
  <si>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</si>
  <si>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</si>
  <si>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</si>
  <si>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</si>
  <si>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</si>
  <si>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</si>
  <si>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</si>
  <si>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</si>
  <si>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</si>
  <si>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</si>
  <si>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</si>
  <si>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</si>
  <si>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</si>
  <si>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</si>
  <si>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</si>
  <si>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</si>
  <si>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</si>
  <si>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</si>
  <si>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</si>
  <si>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</si>
  <si>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</si>
  <si>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</si>
  <si>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</si>
  <si>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</si>
  <si>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</si>
  <si>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</si>
  <si>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</si>
  <si>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</si>
  <si>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</si>
  <si>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</si>
  <si>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</si>
  <si>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</si>
  <si>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</si>
  <si>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</si>
  <si>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</si>
  <si>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</si>
  <si>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</si>
  <si>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</si>
  <si>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</si>
  <si>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</si>
  <si>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</si>
  <si>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</si>
  <si>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</si>
  <si>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</si>
  <si>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</si>
  <si>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</si>
  <si>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</si>
  <si>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</si>
  <si>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</si>
  <si>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</si>
  <si>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</si>
  <si>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</si>
  <si>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</si>
  <si>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</si>
  <si>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</si>
  <si>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</si>
  <si>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</si>
  <si>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</si>
  <si>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</si>
  <si>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</si>
  <si>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</si>
  <si>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</si>
  <si>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</si>
  <si>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</si>
  <si>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</si>
  <si>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</si>
  <si>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</si>
  <si>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</si>
  <si>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</si>
  <si>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</si>
  <si>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</si>
  <si>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</si>
  <si>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</si>
  <si>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</si>
  <si>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</si>
  <si>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</si>
  <si>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</si>
  <si>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</si>
  <si>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</si>
  <si>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</si>
  <si>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</si>
  <si>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</si>
  <si>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</si>
  <si>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</si>
  <si>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</si>
  <si>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</si>
  <si>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</si>
  <si>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</si>
  <si>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</si>
  <si>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</si>
  <si>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</si>
  <si>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</si>
  <si>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</si>
  <si>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</si>
  <si>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</si>
  <si>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</si>
  <si>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</si>
  <si>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</si>
  <si>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</si>
  <si>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</si>
  <si>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</si>
  <si>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</si>
  <si>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</si>
  <si>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</si>
  <si>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</si>
  <si>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</si>
  <si>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</si>
  <si>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</si>
  <si>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</si>
  <si>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</si>
  <si>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</si>
  <si>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</si>
  <si>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</si>
  <si>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</si>
  <si>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</si>
  <si>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</si>
  <si>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</si>
  <si>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</si>
  <si>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</si>
  <si>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</si>
  <si>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</si>
  <si>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</si>
  <si>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</si>
  <si>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</si>
  <si>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</si>
  <si>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</si>
  <si>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</si>
  <si>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</si>
  <si>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</si>
  <si>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</si>
  <si>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</si>
  <si>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</si>
  <si>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</si>
  <si>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</si>
  <si>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</si>
  <si>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</si>
  <si>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</si>
  <si>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</si>
  <si>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</si>
  <si>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</si>
  <si>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</si>
  <si>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</si>
  <si>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</si>
  <si>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</si>
  <si>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</si>
  <si>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</si>
  <si>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</si>
  <si>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</si>
  <si>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</si>
  <si>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</si>
  <si>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</si>
  <si>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</si>
  <si>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</si>
  <si>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</si>
  <si>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</si>
  <si>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</si>
  <si>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</si>
  <si>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</si>
  <si>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</si>
  <si>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</si>
  <si>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</si>
  <si>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</si>
  <si>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</si>
  <si>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</si>
  <si>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</si>
  <si>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</si>
  <si>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</si>
  <si>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</si>
  <si>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</si>
  <si>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</si>
  <si>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</si>
  <si>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</si>
  <si>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</si>
  <si>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</si>
  <si>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</si>
  <si>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</si>
  <si>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</si>
  <si>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</si>
  <si>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</si>
  <si>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</si>
  <si>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</si>
  <si>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</si>
  <si>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</si>
  <si>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</si>
  <si>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</si>
  <si>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</si>
  <si>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</si>
  <si>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</si>
  <si>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</si>
  <si>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</si>
  <si>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</si>
  <si>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</si>
  <si>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</si>
  <si>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</si>
  <si>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</si>
  <si>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</si>
  <si>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</si>
  <si>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</si>
  <si>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</si>
  <si>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</si>
  <si>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</si>
  <si>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</si>
  <si>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</si>
  <si>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</si>
  <si>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</si>
  <si>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</si>
  <si>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</si>
  <si>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</si>
  <si>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</si>
  <si>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</si>
  <si>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</si>
  <si>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</si>
  <si>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</si>
  <si>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</si>
  <si>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</si>
  <si>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</si>
  <si>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</si>
  <si>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</si>
  <si>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</si>
  <si>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</si>
  <si>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</si>
  <si>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</si>
  <si>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</si>
  <si>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</si>
  <si>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</si>
  <si>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</si>
  <si>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</si>
  <si>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</si>
  <si>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</si>
  <si>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</si>
  <si>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</si>
  <si>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</si>
  <si>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</si>
  <si>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</si>
  <si>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</si>
  <si>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</si>
  <si>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</si>
  <si>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</si>
  <si>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</si>
  <si>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</si>
  <si>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</si>
  <si>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</si>
  <si>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</si>
  <si>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</si>
  <si>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</si>
  <si>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</si>
  <si>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</si>
  <si>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</si>
  <si>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</si>
  <si>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</si>
  <si>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</si>
  <si>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</si>
  <si>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</si>
  <si>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</si>
  <si>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</si>
  <si>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</si>
  <si>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</si>
  <si>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</si>
  <si>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</si>
  <si>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</si>
  <si>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</si>
  <si>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</si>
  <si>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</si>
  <si>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</si>
  <si>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</si>
  <si>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</si>
  <si>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</si>
  <si>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</si>
  <si>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</si>
  <si>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</si>
  <si>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</si>
  <si>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</si>
  <si>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</si>
  <si>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</si>
  <si>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</si>
  <si>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</si>
  <si>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</si>
  <si>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</si>
  <si>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</si>
  <si>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</si>
  <si>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</si>
  <si>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</si>
  <si>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</si>
  <si>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</si>
  <si>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</si>
  <si>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</si>
  <si>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</si>
  <si>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</si>
  <si>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</si>
  <si>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</si>
  <si>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</si>
  <si>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</si>
  <si>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</si>
  <si>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</si>
  <si>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</si>
  <si>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</si>
  <si>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</si>
  <si>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</si>
  <si>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</si>
  <si>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</si>
  <si>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</si>
  <si>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</si>
  <si>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</si>
  <si>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</si>
  <si>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</si>
  <si>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</si>
  <si>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</si>
  <si>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</si>
  <si>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</si>
  <si>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</si>
  <si>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</si>
  <si>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</si>
  <si>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</si>
  <si>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</si>
  <si>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</si>
  <si>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</si>
  <si>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</si>
  <si>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</si>
  <si>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</si>
  <si>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</si>
  <si>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</si>
  <si>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</si>
  <si>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</si>
  <si>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</si>
  <si>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</si>
  <si>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</si>
  <si>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</si>
  <si>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</si>
  <si>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</si>
  <si>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</si>
  <si>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</si>
  <si>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</si>
  <si>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</si>
  <si>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</si>
  <si>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</si>
  <si>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</si>
  <si>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</si>
  <si>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</si>
  <si>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</si>
  <si>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</si>
  <si>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</si>
  <si>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</si>
  <si>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</si>
  <si>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</si>
  <si>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</si>
  <si>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</si>
  <si>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</si>
  <si>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</si>
  <si>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</si>
  <si>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</si>
  <si>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</si>
  <si>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</si>
  <si>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</si>
  <si>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</si>
  <si>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</si>
  <si>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</si>
  <si>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</si>
  <si>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</si>
  <si>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</si>
  <si>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</si>
  <si>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</si>
  <si>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</si>
  <si>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</si>
  <si>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</si>
  <si>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</si>
  <si>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</si>
  <si>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</si>
  <si>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</si>
  <si>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</si>
  <si>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</si>
  <si>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</si>
  <si>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</si>
  <si>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</si>
  <si>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</si>
  <si>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</si>
  <si>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</si>
  <si>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</si>
  <si>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</si>
  <si>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</si>
  <si>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</si>
  <si>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</si>
  <si>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</si>
  <si>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</si>
  <si>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</si>
  <si>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</si>
  <si>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</si>
  <si>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</si>
  <si>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</si>
  <si>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</si>
  <si>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</si>
  <si>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</si>
  <si>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</si>
  <si>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</si>
  <si>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</si>
  <si>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</si>
  <si>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</si>
  <si>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</si>
  <si>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</si>
  <si>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</si>
  <si>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</si>
  <si>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</si>
  <si>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</si>
  <si>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</si>
  <si>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</si>
  <si>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</si>
  <si>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</si>
  <si>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</si>
  <si>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</si>
  <si>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</si>
  <si>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</si>
  <si>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</si>
  <si>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</si>
  <si>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</si>
  <si>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</si>
  <si>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</si>
  <si>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</si>
  <si>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</si>
  <si>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</si>
  <si>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</si>
  <si>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</si>
  <si>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</si>
  <si>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</si>
  <si>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</si>
  <si>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</si>
  <si>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</si>
  <si>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</si>
  <si>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</si>
  <si>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</si>
  <si>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</si>
  <si>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</si>
  <si>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</si>
  <si>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</si>
  <si>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</si>
  <si>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</si>
  <si>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</si>
  <si>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</si>
  <si>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</si>
  <si>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</si>
  <si>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</si>
  <si>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</si>
  <si>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</si>
  <si>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</si>
  <si>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</si>
  <si>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</si>
  <si>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</si>
  <si>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</si>
  <si>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</si>
  <si>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</si>
  <si>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</si>
  <si>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</si>
  <si>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</si>
  <si>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</si>
  <si>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</si>
  <si>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</si>
  <si>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</si>
  <si>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</si>
  <si>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</si>
  <si>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</si>
  <si>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</si>
  <si>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</si>
  <si>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</si>
  <si>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</si>
  <si>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</si>
  <si>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</si>
  <si>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</si>
  <si>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</si>
  <si>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</si>
  <si>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</si>
  <si>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</si>
  <si>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</si>
  <si>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</si>
  <si>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</si>
  <si>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</si>
  <si>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</si>
  <si>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</si>
  <si>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</si>
  <si>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</si>
  <si>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</si>
  <si>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</si>
  <si>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</si>
  <si>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</si>
  <si>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</si>
  <si>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</si>
  <si>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</si>
  <si>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</si>
  <si>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</si>
  <si>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</si>
  <si>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</si>
  <si>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</si>
  <si>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</si>
  <si>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</si>
  <si>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</si>
  <si>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</si>
  <si>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</si>
  <si>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</si>
  <si>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</si>
  <si>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</si>
  <si>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</si>
  <si>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</si>
  <si>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</si>
  <si>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</si>
  <si>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</si>
  <si>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</si>
  <si>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</si>
  <si>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</si>
  <si>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</si>
  <si>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</si>
  <si>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</si>
  <si>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</si>
  <si>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</si>
  <si>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</si>
  <si>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</si>
  <si>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</si>
  <si>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</si>
  <si>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</si>
  <si>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</si>
  <si>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</si>
  <si>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</si>
  <si>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</si>
  <si>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</si>
  <si>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</si>
  <si>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</si>
  <si>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</si>
  <si>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</si>
  <si>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</si>
  <si>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</si>
  <si>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</si>
  <si>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</si>
  <si>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</si>
  <si>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</si>
  <si>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</si>
  <si>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</si>
  <si>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</si>
  <si>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</si>
  <si>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</si>
  <si>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</si>
  <si>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</si>
  <si>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</si>
  <si>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</si>
  <si>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</si>
  <si>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</si>
  <si>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</si>
  <si>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</si>
  <si>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</si>
  <si>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</si>
  <si>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</si>
  <si>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</si>
  <si>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</si>
  <si>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</si>
  <si>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</si>
  <si>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</si>
  <si>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</si>
  <si>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</si>
  <si>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</si>
  <si>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</si>
  <si>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</si>
  <si>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</si>
  <si>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</si>
  <si>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</si>
  <si>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</si>
  <si>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</si>
  <si>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</si>
  <si>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</si>
  <si>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</si>
  <si>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</si>
  <si>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</si>
  <si>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</si>
  <si>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</si>
  <si>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</si>
  <si>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</si>
  <si>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</si>
  <si>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</si>
  <si>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</si>
  <si>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</si>
  <si>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</si>
  <si>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</si>
  <si>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</si>
  <si>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</si>
  <si>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</si>
  <si>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</si>
  <si>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</si>
  <si>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</si>
  <si>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</si>
  <si>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</si>
  <si>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</si>
  <si>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</si>
  <si>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</si>
  <si>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</si>
  <si>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</si>
  <si>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</si>
  <si>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</si>
  <si>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</si>
  <si>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</si>
  <si>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</si>
  <si>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</si>
  <si>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</si>
  <si>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</si>
  <si>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</si>
  <si>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</si>
  <si>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</si>
  <si>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</si>
  <si>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</si>
  <si>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</si>
  <si>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</si>
  <si>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</si>
  <si>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</si>
  <si>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</si>
  <si>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</si>
  <si>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</si>
  <si>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</si>
  <si>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</si>
  <si>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</si>
  <si>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</si>
  <si>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</si>
  <si>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</si>
  <si>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</si>
  <si>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</si>
  <si>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</si>
  <si>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</si>
  <si>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</si>
  <si>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</si>
  <si>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</si>
  <si>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</si>
  <si>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</si>
  <si>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</si>
  <si>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</si>
  <si>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</si>
  <si>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</si>
  <si>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</si>
  <si>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</si>
  <si>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</si>
  <si>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</si>
  <si>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</si>
  <si>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</si>
  <si>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</si>
  <si>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</si>
  <si>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</si>
  <si>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</si>
  <si>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</si>
  <si>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</si>
  <si>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</si>
  <si>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</si>
  <si>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</si>
  <si>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</si>
  <si>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</si>
  <si>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</si>
  <si>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</si>
  <si>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</si>
  <si>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</si>
  <si>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</si>
  <si>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</si>
  <si>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</si>
  <si>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</si>
  <si>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</si>
  <si>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</si>
  <si>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</si>
  <si>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</si>
  <si>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</si>
  <si>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</si>
  <si>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</si>
  <si>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</si>
  <si>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</si>
  <si>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</si>
  <si>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</si>
  <si>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</si>
  <si>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</si>
  <si>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</si>
  <si>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</si>
  <si>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</si>
  <si>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</si>
  <si>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</si>
  <si>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</si>
  <si>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</si>
  <si>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</si>
  <si>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</si>
  <si>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</si>
  <si>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</si>
  <si>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</si>
  <si>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</si>
  <si>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</si>
  <si>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</si>
  <si>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</si>
  <si>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</si>
  <si>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</si>
  <si>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</si>
  <si>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</si>
  <si>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</si>
  <si>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</si>
  <si>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</si>
  <si>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</si>
  <si>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</si>
  <si>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</si>
  <si>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</si>
  <si>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</si>
  <si>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</si>
  <si>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</si>
  <si>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</si>
  <si>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</si>
  <si>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</si>
  <si>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</si>
  <si>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</si>
  <si>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</si>
  <si>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</si>
  <si>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</si>
  <si>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</si>
  <si>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</si>
  <si>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</si>
  <si>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</si>
  <si>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</si>
  <si>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</si>
  <si>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</si>
  <si>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</si>
  <si>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</si>
  <si>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</si>
  <si>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</si>
  <si>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</si>
  <si>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</si>
  <si>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</si>
  <si>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</si>
  <si>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</si>
  <si>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</si>
  <si>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</si>
  <si>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</si>
  <si>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</si>
  <si>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</si>
  <si>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</si>
  <si>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</si>
  <si>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</si>
  <si>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</si>
  <si>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</si>
  <si>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</si>
  <si>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</si>
  <si>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</si>
  <si>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</si>
  <si>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</si>
  <si>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</si>
  <si>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</si>
  <si>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</si>
  <si>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</si>
  <si>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</si>
  <si>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</si>
  <si>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</si>
  <si>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</si>
  <si>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</si>
  <si>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</si>
  <si>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</si>
  <si>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</si>
  <si>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</si>
  <si>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</si>
  <si>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</si>
  <si>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</si>
  <si>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</si>
  <si>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</si>
  <si>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</si>
  <si>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</si>
  <si>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</si>
  <si>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</si>
  <si>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</si>
  <si>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</si>
  <si>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</si>
  <si>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</si>
  <si>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</si>
  <si>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</si>
  <si>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</si>
  <si>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</si>
  <si>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</si>
  <si>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</si>
  <si>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</si>
  <si>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</si>
  <si>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</si>
  <si>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</si>
  <si>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</si>
  <si>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</si>
  <si>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</si>
  <si>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</si>
  <si>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</si>
  <si>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</si>
  <si>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</si>
  <si>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</si>
  <si>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</si>
  <si>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</si>
  <si>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</si>
  <si>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</si>
  <si>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</si>
  <si>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</si>
  <si>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</si>
  <si>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</si>
  <si>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</si>
  <si>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</si>
  <si>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</si>
  <si>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</si>
  <si>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</si>
  <si>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</si>
  <si>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</si>
  <si>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</si>
  <si>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</si>
  <si>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</si>
  <si>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</si>
  <si>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</si>
  <si>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</si>
  <si>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</si>
  <si>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</si>
  <si>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</si>
  <si>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</si>
  <si>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</si>
  <si>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</si>
  <si>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</si>
  <si>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</si>
  <si>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</si>
  <si>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</si>
  <si>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</si>
  <si>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</si>
  <si>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</si>
  <si>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</si>
  <si>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</si>
  <si>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</si>
  <si>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</si>
  <si>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</si>
  <si>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</si>
  <si>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</si>
  <si>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</si>
  <si>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</si>
  <si>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</si>
  <si>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</si>
  <si>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</si>
  <si>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</si>
  <si>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</si>
  <si>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</si>
  <si>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</si>
  <si>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</si>
  <si>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</si>
  <si>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</si>
  <si>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</si>
  <si>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</si>
  <si>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</si>
  <si>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</si>
  <si>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</si>
  <si>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</si>
  <si>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</si>
  <si>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</si>
  <si>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</si>
  <si>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</si>
  <si>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</si>
  <si>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</si>
  <si>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</si>
  <si>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</si>
  <si>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</si>
  <si>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</si>
  <si>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</si>
  <si>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</si>
  <si>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</si>
  <si>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</si>
  <si>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</si>
  <si>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</si>
  <si>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</si>
  <si>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</si>
  <si>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</si>
  <si>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</si>
  <si>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</si>
  <si>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</si>
  <si>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</si>
  <si>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</si>
  <si>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</si>
  <si>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</si>
  <si>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</si>
  <si>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</si>
  <si>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</si>
  <si>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</si>
  <si>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</si>
  <si>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</si>
  <si>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</si>
  <si>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</si>
  <si>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</si>
  <si>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</si>
  <si>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</si>
  <si>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</si>
  <si>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</si>
  <si>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</si>
  <si>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</si>
  <si>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</si>
  <si>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</si>
  <si>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</si>
  <si>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</si>
  <si>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</si>
  <si>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</si>
  <si>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</si>
  <si>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</si>
  <si>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</si>
  <si>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</si>
  <si>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</si>
  <si>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</si>
  <si>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</si>
  <si>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</si>
  <si>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</si>
  <si>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</si>
  <si>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</si>
  <si>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</si>
  <si>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</si>
  <si>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</si>
  <si>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</si>
  <si>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</si>
  <si>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</si>
  <si>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</si>
  <si>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</si>
  <si>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</si>
  <si>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</si>
  <si>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</si>
  <si>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</si>
  <si>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</si>
  <si>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</si>
  <si>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</si>
  <si>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</si>
  <si>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</si>
  <si>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</si>
  <si>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</si>
  <si>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</si>
  <si>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</si>
  <si>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</si>
  <si>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</si>
  <si>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</si>
  <si>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</si>
  <si>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</si>
  <si>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</si>
  <si>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</si>
  <si>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</si>
  <si>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</si>
  <si>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</si>
  <si>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</si>
  <si>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</si>
  <si>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</si>
  <si>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</si>
  <si>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</si>
  <si>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</si>
  <si>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</si>
  <si>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</si>
  <si>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</si>
  <si>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</si>
  <si>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</si>
  <si>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</si>
  <si>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</si>
  <si>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</si>
  <si>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</si>
  <si>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</si>
  <si>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</si>
  <si>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</si>
  <si>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</si>
  <si>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</si>
  <si>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</si>
  <si>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</si>
  <si>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</si>
  <si>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</si>
  <si>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</si>
  <si>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</si>
  <si>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</si>
  <si>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</si>
  <si>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</si>
  <si>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</si>
  <si>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</si>
  <si>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</si>
  <si>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</si>
  <si>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</si>
  <si>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</si>
  <si>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</si>
  <si>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</si>
  <si>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</si>
  <si>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</si>
  <si>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</si>
  <si>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</si>
  <si>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</si>
  <si>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</si>
  <si>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</si>
  <si>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</si>
  <si>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</si>
  <si>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</si>
  <si>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</si>
  <si>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</si>
  <si>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</si>
  <si>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</si>
  <si>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</si>
  <si>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</si>
  <si>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</si>
  <si>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</si>
  <si>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</si>
  <si>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</si>
  <si>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</si>
  <si>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</si>
  <si>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</si>
  <si>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</si>
  <si>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</si>
  <si>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</si>
  <si>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</si>
  <si>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</si>
  <si>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</si>
  <si>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</si>
  <si>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</si>
  <si>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</si>
  <si>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</si>
  <si>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</si>
  <si>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</si>
  <si>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</si>
  <si>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</si>
  <si>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</si>
  <si>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</si>
  <si>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</si>
  <si>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</si>
  <si>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</si>
  <si>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</si>
  <si>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</si>
  <si>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</si>
  <si>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</si>
  <si>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</si>
  <si>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</si>
  <si>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</si>
  <si>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</si>
  <si>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</si>
  <si>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</si>
  <si>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</si>
  <si>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</si>
  <si>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</si>
  <si>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</si>
  <si>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</si>
  <si>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</si>
  <si>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</si>
  <si>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</si>
  <si>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</si>
  <si>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</si>
  <si>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</si>
  <si>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</si>
  <si>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</si>
  <si>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</si>
  <si>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</si>
  <si>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</si>
  <si>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</si>
  <si>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</si>
  <si>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</si>
  <si>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</si>
  <si>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</si>
  <si>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</si>
  <si>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</si>
  <si>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</si>
  <si>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</si>
  <si>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</si>
  <si>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</si>
  <si>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</si>
  <si>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</si>
  <si>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</si>
  <si>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</si>
  <si>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</si>
  <si>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</si>
  <si>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</si>
  <si>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</si>
  <si>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</si>
  <si>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</si>
  <si>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</si>
  <si>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</si>
  <si>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</si>
  <si>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</si>
  <si>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</si>
  <si>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</si>
  <si>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</si>
  <si>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</si>
  <si>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</si>
  <si>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</si>
  <si>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</si>
  <si>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</si>
  <si>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</si>
  <si>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</si>
  <si>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</si>
  <si>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</si>
  <si>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</si>
  <si>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</si>
  <si>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</si>
  <si>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</si>
  <si>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</si>
  <si>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</si>
  <si>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</si>
  <si>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</si>
  <si>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</si>
  <si>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</si>
  <si>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</si>
  <si>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</si>
  <si>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</si>
  <si>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</si>
  <si>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</si>
  <si>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</si>
  <si>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</si>
  <si>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</si>
  <si>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</si>
  <si>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</si>
  <si>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</si>
  <si>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</si>
  <si>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</si>
  <si>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</si>
  <si>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</si>
  <si>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</si>
  <si>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</si>
  <si>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</si>
  <si>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</si>
  <si>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</si>
  <si>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</si>
  <si>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</si>
  <si>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</si>
  <si>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</si>
  <si>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</si>
  <si>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</si>
  <si>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</si>
  <si>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</si>
  <si>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</si>
  <si>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</si>
  <si>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</si>
  <si>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</si>
  <si>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</si>
  <si>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</si>
  <si>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</si>
  <si>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</si>
  <si>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</si>
  <si>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</si>
  <si>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</si>
  <si>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</si>
  <si>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</si>
  <si>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</si>
  <si>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</si>
  <si>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</si>
  <si>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</si>
  <si>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</si>
  <si>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</si>
  <si>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</si>
  <si>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</si>
  <si>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</si>
  <si>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</si>
  <si>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</si>
  <si>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</si>
  <si>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</si>
  <si>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</si>
  <si>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</si>
  <si>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</si>
  <si>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</si>
  <si>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</si>
  <si>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</si>
  <si>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</si>
  <si>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</si>
  <si>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</si>
  <si>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</si>
  <si>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</si>
  <si>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</si>
  <si>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</si>
  <si>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</si>
  <si>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</si>
  <si>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</si>
  <si>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</si>
  <si>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</si>
  <si>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</si>
  <si>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</si>
  <si>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</si>
  <si>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</si>
  <si>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</si>
  <si>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</si>
  <si>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</si>
  <si>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</si>
  <si>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</si>
  <si>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</si>
  <si>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</si>
  <si>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</si>
  <si>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</si>
  <si>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</si>
  <si>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</si>
  <si>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</si>
  <si>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</si>
  <si>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</si>
  <si>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</si>
  <si>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</si>
  <si>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</si>
  <si>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</si>
  <si>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</si>
  <si>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</si>
  <si>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</si>
  <si>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</si>
  <si>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</si>
  <si>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</si>
  <si>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</si>
  <si>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</si>
  <si>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</si>
  <si>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</si>
  <si>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</si>
  <si>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</si>
  <si>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</si>
  <si>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</si>
  <si>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</si>
  <si>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</si>
  <si>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</si>
  <si>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</si>
  <si>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</si>
  <si>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</si>
  <si>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</si>
  <si>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</si>
  <si>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</si>
  <si>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</si>
  <si>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</si>
  <si>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</si>
  <si>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</si>
  <si>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</si>
  <si>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</si>
  <si>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</si>
  <si>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</si>
  <si>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</si>
  <si>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</si>
  <si>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</si>
  <si>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</si>
  <si>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</si>
  <si>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</si>
  <si>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</si>
  <si>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</si>
  <si>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</si>
  <si>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</si>
  <si>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</si>
  <si>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</si>
  <si>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</si>
  <si>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</si>
  <si>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</si>
  <si>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</si>
  <si>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</si>
  <si>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</si>
  <si>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</si>
  <si>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</si>
  <si>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</si>
  <si>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</si>
  <si>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</si>
  <si>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</si>
  <si>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</si>
  <si>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</si>
  <si>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</si>
  <si>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</si>
  <si>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</si>
  <si>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</si>
  <si>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</si>
  <si>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</si>
  <si>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</si>
  <si>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</si>
  <si>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</si>
  <si>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</si>
  <si>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</si>
  <si>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</si>
  <si>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</si>
  <si>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</si>
  <si>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</si>
  <si>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</si>
  <si>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</si>
  <si>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</si>
  <si>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</si>
  <si>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</si>
  <si>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</si>
  <si>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</si>
  <si>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</si>
  <si>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</si>
  <si>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</si>
  <si>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</si>
  <si>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</si>
  <si>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</si>
  <si>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</si>
  <si>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</si>
  <si>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</si>
  <si>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</si>
  <si>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</si>
  <si>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</si>
  <si>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</si>
  <si>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</si>
  <si>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</si>
  <si>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</si>
  <si>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</si>
  <si>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</si>
  <si>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</si>
  <si>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</si>
  <si>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</si>
  <si>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</si>
  <si>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</si>
  <si>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</si>
  <si>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</si>
  <si>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</si>
  <si>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</si>
  <si>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</si>
  <si>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</si>
  <si>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</si>
  <si>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</si>
  <si>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</si>
  <si>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</si>
  <si>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</si>
  <si>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</si>
  <si>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</si>
  <si>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</si>
  <si>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</si>
  <si>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</si>
  <si>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</si>
  <si>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</si>
  <si>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</si>
  <si>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</si>
  <si>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</si>
  <si>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</si>
  <si>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</si>
  <si>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</si>
  <si>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</si>
  <si>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</si>
  <si>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</si>
  <si>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</si>
  <si>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</si>
  <si>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</si>
  <si>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</si>
  <si>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</si>
  <si>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</si>
  <si>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</si>
  <si>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</si>
  <si>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</si>
  <si>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</si>
  <si>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</si>
  <si>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</si>
  <si>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</si>
  <si>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</si>
  <si>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</si>
  <si>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</si>
  <si>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</si>
  <si>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</si>
  <si>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</si>
  <si>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</si>
  <si>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</si>
  <si>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</si>
  <si>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</si>
  <si>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</si>
  <si>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</si>
  <si>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</si>
  <si>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</si>
  <si>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</si>
  <si>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</si>
  <si>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</si>
  <si>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</si>
  <si>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</si>
  <si>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</si>
  <si>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</si>
  <si>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</si>
  <si>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</si>
  <si>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</si>
  <si>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</si>
  <si>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</si>
  <si>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</si>
  <si>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</si>
  <si>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</si>
  <si>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</si>
  <si>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</si>
  <si>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</si>
  <si>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</si>
  <si>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</si>
  <si>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</si>
  <si>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</si>
  <si>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</si>
  <si>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</si>
  <si>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</si>
  <si>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</si>
  <si>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</si>
  <si>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</si>
  <si>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</si>
  <si>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</si>
  <si>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</si>
  <si>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</si>
  <si>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</si>
  <si>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</si>
  <si>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</si>
  <si>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</si>
  <si>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</si>
  <si>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</si>
  <si>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</si>
  <si>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</si>
  <si>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</si>
  <si>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</si>
  <si>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</si>
  <si>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</si>
  <si>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</si>
  <si>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</si>
  <si>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</si>
  <si>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</si>
  <si>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</si>
  <si>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</si>
  <si>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</si>
  <si>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</si>
  <si>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</si>
  <si>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</si>
  <si>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</si>
  <si>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</si>
  <si>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</si>
  <si>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</si>
  <si>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</si>
  <si>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</si>
  <si>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</si>
  <si>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</si>
  <si>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</si>
  <si>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</si>
  <si>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</si>
  <si>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</si>
  <si>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</si>
  <si>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</si>
  <si>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</si>
  <si>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</si>
  <si>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</si>
  <si>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</si>
  <si>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</si>
  <si>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</si>
  <si>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</si>
  <si>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</si>
  <si>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</si>
  <si>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</si>
  <si>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</si>
  <si>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</si>
  <si>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</si>
  <si>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</si>
  <si>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</si>
  <si>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</si>
  <si>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</si>
  <si>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</si>
  <si>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</si>
  <si>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</si>
  <si>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</si>
  <si>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</si>
  <si>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</si>
  <si>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</si>
  <si>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</si>
  <si>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</si>
  <si>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</si>
  <si>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</si>
  <si>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</si>
  <si>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</si>
  <si>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</si>
  <si>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</si>
  <si>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</si>
  <si>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</si>
  <si>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</si>
  <si>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</si>
  <si>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</si>
  <si>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</si>
  <si>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</si>
  <si>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</si>
  <si>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</si>
  <si>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</si>
  <si>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</si>
  <si>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</si>
  <si>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</si>
  <si>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</si>
  <si>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</si>
  <si>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</si>
  <si>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</si>
  <si>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</si>
  <si>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</si>
  <si>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</si>
  <si>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</si>
  <si>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</si>
  <si>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</si>
  <si>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</si>
  <si>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</si>
  <si>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</si>
  <si>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</si>
  <si>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</si>
  <si>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</si>
  <si>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</si>
  <si>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</si>
  <si>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</si>
  <si>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</si>
  <si>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</si>
  <si>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</si>
  <si>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</si>
  <si>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</si>
  <si>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</si>
  <si>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</si>
  <si>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</si>
  <si>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</si>
  <si>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</si>
  <si>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</si>
  <si>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</si>
  <si>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</si>
  <si>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</si>
  <si>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</si>
  <si>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</si>
  <si>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</si>
  <si>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</si>
  <si>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</si>
  <si>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</si>
  <si>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</si>
  <si>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</si>
  <si>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</si>
  <si>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</si>
  <si>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</si>
  <si>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</si>
  <si>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</si>
  <si>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</si>
  <si>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</si>
  <si>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</si>
  <si>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</si>
  <si>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</si>
  <si>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</si>
  <si>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</si>
  <si>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</si>
  <si>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</si>
  <si>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</si>
  <si>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</si>
  <si>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</si>
  <si>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</si>
  <si>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</si>
  <si>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</si>
  <si>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</si>
  <si>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</si>
  <si>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</si>
  <si>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</si>
  <si>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</si>
  <si>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</si>
  <si>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</si>
  <si>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</si>
  <si>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</si>
  <si>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</si>
  <si>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</si>
  <si>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</si>
  <si>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</si>
  <si>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</si>
  <si>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</si>
  <si>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</si>
  <si>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</si>
  <si>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</si>
  <si>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</si>
  <si>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</si>
  <si>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</si>
  <si>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</si>
  <si>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</si>
  <si>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</si>
  <si>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</si>
  <si>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</si>
  <si>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</si>
  <si>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</si>
  <si>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</si>
  <si>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</si>
  <si>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</si>
  <si>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</si>
  <si>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</si>
  <si>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</si>
  <si>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</si>
  <si>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</si>
  <si>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</si>
  <si>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</si>
  <si>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</si>
  <si>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</si>
  <si>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</si>
  <si>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</si>
  <si>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</si>
  <si>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</si>
  <si>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</si>
  <si>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</si>
  <si>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</si>
  <si>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</si>
  <si>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</si>
  <si>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</si>
  <si>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</si>
  <si>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</si>
  <si>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</si>
  <si>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</si>
  <si>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</si>
  <si>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</si>
  <si>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</si>
  <si>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</si>
  <si>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</si>
  <si>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</si>
  <si>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</si>
  <si>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</si>
  <si>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</si>
  <si>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</si>
  <si>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</si>
  <si>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</si>
  <si>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</si>
  <si>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</si>
  <si>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</si>
  <si>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</si>
  <si>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</si>
  <si>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</si>
  <si>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</si>
  <si>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</si>
  <si>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</si>
  <si>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</si>
  <si>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</si>
  <si>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</si>
  <si>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</si>
  <si>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</si>
  <si>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</si>
  <si>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</si>
  <si>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</si>
  <si>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</si>
  <si>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</si>
  <si>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</si>
  <si>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</si>
  <si>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</si>
  <si>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</si>
  <si>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</si>
  <si>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</si>
  <si>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</si>
  <si>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</si>
  <si>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</si>
  <si>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</si>
  <si>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</si>
  <si>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</si>
  <si>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</si>
  <si>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</si>
  <si>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</si>
  <si>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</si>
  <si>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</si>
  <si>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</si>
  <si>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</si>
  <si>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</si>
  <si>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</si>
  <si>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</si>
  <si>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</si>
  <si>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</si>
  <si>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</si>
  <si>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</si>
  <si>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</si>
  <si>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</si>
  <si>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</si>
  <si>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</si>
  <si>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</si>
  <si>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</si>
  <si>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</si>
  <si>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</si>
  <si>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</si>
  <si>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</si>
  <si>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</si>
  <si>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</si>
  <si>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</si>
  <si>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</si>
  <si>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</si>
  <si>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</si>
  <si>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</si>
  <si>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</si>
  <si>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</si>
  <si>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</si>
  <si>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</si>
  <si>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</si>
  <si>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</si>
  <si>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</si>
  <si>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</si>
  <si>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</si>
  <si>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</si>
  <si>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</si>
  <si>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</si>
  <si>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</si>
  <si>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</si>
  <si>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</si>
  <si>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</si>
  <si>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</si>
  <si>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</si>
  <si>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</si>
  <si>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</si>
  <si>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</si>
  <si>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</si>
  <si>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</si>
  <si>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</si>
  <si>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</si>
  <si>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</si>
  <si>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</si>
  <si>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</si>
  <si>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</si>
  <si>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</si>
  <si>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</si>
  <si>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</si>
  <si>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</si>
  <si>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</si>
  <si>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</si>
  <si>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</si>
  <si>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</si>
  <si>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</si>
  <si>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</si>
  <si>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</si>
  <si>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</si>
  <si>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</si>
  <si>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</si>
  <si>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</si>
  <si>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</si>
  <si>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</si>
  <si>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</si>
  <si>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</si>
  <si>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</si>
  <si>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</si>
  <si>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</si>
  <si>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</si>
  <si>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</si>
  <si>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</si>
  <si>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</si>
  <si>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</si>
  <si>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</si>
  <si>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</si>
  <si>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</si>
  <si>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</si>
  <si>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</si>
  <si>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</si>
  <si>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</si>
  <si>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</si>
  <si>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</si>
  <si>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</si>
  <si>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</si>
  <si>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</si>
  <si>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</si>
  <si>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</si>
  <si>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</si>
  <si>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</si>
  <si>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</si>
  <si>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</si>
  <si>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</si>
  <si>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</si>
  <si>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</si>
  <si>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</si>
  <si>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</si>
  <si>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</si>
  <si>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</si>
  <si>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</si>
  <si>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</si>
  <si>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</si>
  <si>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</si>
  <si>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</si>
  <si>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</si>
  <si>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</si>
  <si>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</si>
  <si>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</si>
  <si>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</si>
  <si>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</si>
  <si>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</si>
  <si>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</si>
  <si>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</si>
  <si>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</si>
  <si>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</si>
  <si>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</si>
  <si>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</si>
  <si>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</si>
  <si>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</si>
  <si>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</si>
  <si>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</si>
  <si>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</si>
  <si>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</si>
  <si>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</si>
  <si>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</si>
  <si>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</si>
  <si>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</si>
  <si>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</si>
  <si>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</si>
  <si>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</si>
  <si>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</si>
  <si>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</si>
  <si>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</si>
  <si>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</si>
  <si>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</si>
  <si>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</si>
  <si>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</si>
  <si>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</si>
  <si>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</si>
  <si>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</si>
  <si>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</si>
  <si>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</si>
  <si>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</si>
  <si>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</si>
  <si>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</si>
  <si>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</si>
  <si>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</si>
  <si>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</si>
  <si>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</si>
  <si>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</si>
  <si>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</si>
  <si>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</si>
  <si>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</si>
  <si>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</si>
  <si>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</si>
  <si>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</si>
  <si>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</si>
  <si>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</si>
  <si>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</si>
  <si>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</si>
  <si>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</si>
  <si>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</si>
  <si>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</si>
  <si>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</si>
  <si>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</si>
  <si>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</si>
  <si>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</si>
  <si>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</si>
  <si>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</si>
  <si>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</si>
  <si>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</si>
  <si>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</si>
  <si>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</si>
  <si>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</si>
  <si>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</si>
  <si>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</si>
  <si>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</si>
  <si>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</si>
  <si>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</si>
  <si>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</si>
  <si>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</si>
  <si>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</si>
  <si>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</si>
  <si>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</si>
  <si>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</si>
  <si>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</si>
  <si>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</si>
  <si>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</si>
  <si>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</si>
  <si>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</si>
  <si>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</si>
  <si>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</si>
  <si>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</si>
  <si>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</si>
  <si>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</si>
  <si>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</si>
  <si>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</si>
  <si>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</si>
  <si>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</si>
  <si>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</si>
  <si>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</si>
  <si>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</si>
  <si>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</si>
  <si>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</si>
  <si>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</si>
  <si>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</si>
  <si>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</si>
  <si>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</si>
  <si>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</si>
  <si>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</si>
  <si>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</si>
  <si>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</si>
  <si>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</si>
  <si>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</si>
  <si>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</si>
  <si>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</si>
  <si>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</si>
  <si>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</si>
  <si>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</si>
  <si>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</si>
  <si>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</si>
  <si>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</si>
  <si>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</si>
  <si>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</si>
  <si>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</si>
  <si>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</si>
  <si>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</si>
  <si>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</si>
  <si>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</si>
  <si>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</si>
  <si>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</si>
  <si>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</si>
  <si>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</si>
  <si>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</si>
  <si>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</si>
  <si>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</si>
  <si>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</si>
  <si>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</si>
  <si>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</si>
  <si>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</si>
  <si>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</si>
  <si>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</si>
  <si>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</si>
  <si>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</si>
  <si>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</si>
  <si>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</si>
  <si>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</si>
  <si>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</si>
  <si>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</si>
  <si>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</si>
  <si>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</si>
  <si>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</si>
  <si>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</si>
  <si>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</si>
  <si>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</si>
  <si>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</si>
  <si>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</si>
  <si>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</si>
  <si>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</si>
  <si>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</si>
  <si>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</si>
  <si>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</si>
  <si>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</si>
  <si>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</si>
  <si>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</si>
  <si>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</si>
  <si>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</si>
  <si>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</si>
  <si>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</si>
  <si>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</si>
  <si>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</si>
  <si>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</si>
  <si>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</si>
  <si>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</si>
  <si>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</si>
  <si>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</si>
  <si>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</si>
  <si>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</si>
  <si>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</si>
  <si>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</si>
  <si>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</si>
  <si>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</si>
  <si>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</si>
  <si>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</si>
  <si>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</si>
  <si>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</si>
  <si>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</si>
  <si>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</si>
  <si>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</si>
  <si>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</si>
  <si>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</si>
  <si>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</si>
  <si>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</si>
  <si>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</si>
  <si>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</si>
  <si>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</si>
  <si>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</si>
  <si>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</si>
  <si>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</si>
  <si>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</si>
  <si>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</si>
  <si>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</si>
  <si>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</si>
  <si>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</si>
  <si>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</si>
  <si>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</si>
  <si>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</si>
  <si>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</si>
  <si>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</si>
  <si>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</si>
  <si>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</si>
  <si>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</si>
  <si>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</si>
  <si>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</si>
  <si>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</si>
  <si>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</si>
  <si>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</si>
  <si>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</si>
  <si>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</si>
  <si>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</si>
  <si>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</si>
  <si>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</si>
  <si>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</si>
  <si>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</si>
  <si>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</si>
  <si>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</si>
  <si>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</si>
  <si>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</si>
  <si>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</si>
  <si>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</si>
  <si>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</si>
  <si>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</si>
  <si>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</si>
  <si>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</si>
  <si>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</si>
  <si>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</si>
  <si>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</si>
  <si>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</si>
  <si>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</si>
  <si>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</si>
  <si>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</si>
  <si>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</si>
  <si>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</si>
  <si>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</si>
  <si>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</si>
  <si>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</si>
  <si>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</si>
  <si>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</si>
  <si>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</si>
  <si>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</si>
  <si>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</si>
  <si>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</si>
  <si>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</si>
  <si>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</si>
  <si>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</si>
  <si>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</si>
  <si>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</si>
  <si>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</si>
  <si>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</si>
  <si>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</si>
  <si>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</si>
  <si>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</si>
  <si>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</si>
  <si>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</si>
  <si>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</si>
  <si>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</si>
  <si>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</si>
  <si>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</si>
  <si>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</si>
  <si>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</si>
  <si>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</si>
  <si>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</si>
  <si>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</si>
  <si>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</si>
  <si>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</si>
  <si>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</si>
  <si>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</si>
  <si>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</si>
  <si>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</si>
  <si>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</si>
  <si>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</si>
  <si>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</si>
  <si>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</si>
  <si>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</si>
  <si>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</si>
  <si>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</si>
  <si>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</si>
  <si>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</si>
  <si>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</si>
  <si>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</si>
  <si>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</si>
  <si>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</si>
  <si>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</si>
  <si>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</si>
  <si>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</si>
  <si>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</si>
  <si>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</si>
  <si>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</si>
  <si>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</si>
  <si>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</si>
  <si>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</si>
  <si>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</si>
  <si>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</si>
  <si>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</si>
  <si>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</si>
  <si>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</si>
  <si>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</si>
  <si>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</si>
  <si>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</si>
  <si>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</si>
  <si>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</si>
  <si>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</si>
  <si>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</si>
  <si>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</si>
  <si>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</si>
  <si>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</si>
  <si>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</si>
  <si>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</si>
  <si>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</si>
  <si>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</si>
  <si>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</si>
  <si>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</si>
  <si>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</si>
  <si>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</si>
  <si>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</si>
  <si>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</si>
  <si>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</si>
  <si>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</si>
  <si>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</si>
  <si>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</si>
  <si>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</si>
  <si>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</si>
  <si>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</si>
  <si>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</si>
  <si>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</si>
  <si>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</si>
  <si>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</si>
  <si>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</si>
  <si>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</si>
  <si>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</si>
  <si>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</si>
  <si>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</si>
  <si>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</si>
  <si>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</si>
  <si>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</si>
  <si>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</si>
  <si>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</si>
  <si>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</si>
  <si>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</si>
  <si>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</si>
  <si>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</si>
  <si>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</si>
  <si>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</si>
  <si>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</si>
  <si>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</si>
  <si>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</si>
  <si>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</si>
  <si>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</si>
  <si>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</si>
  <si>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</si>
  <si>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</si>
  <si>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</si>
  <si>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</si>
  <si>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</si>
  <si>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</si>
  <si>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</si>
  <si>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</si>
  <si>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</si>
  <si>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</si>
  <si>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</si>
  <si>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</si>
  <si>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</si>
  <si>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</si>
  <si>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</si>
  <si>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</si>
  <si>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</si>
  <si>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</si>
  <si>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</si>
  <si>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</si>
  <si>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</si>
  <si>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</si>
  <si>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</si>
  <si>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</si>
  <si>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</si>
  <si>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</si>
  <si>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</si>
  <si>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</si>
  <si>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</si>
  <si>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</si>
  <si>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</si>
  <si>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</si>
  <si>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</si>
  <si>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</si>
  <si>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</si>
  <si>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</si>
  <si>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</si>
  <si>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</si>
  <si>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</si>
  <si>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</si>
  <si>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</si>
  <si>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</si>
  <si>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</si>
  <si>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</si>
  <si>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</si>
  <si>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</si>
  <si>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</si>
  <si>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</si>
  <si>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</si>
  <si>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</si>
  <si>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</si>
  <si>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</si>
  <si>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</si>
  <si>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</si>
  <si>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</si>
  <si>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</si>
  <si>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</si>
  <si>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</si>
  <si>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</si>
  <si>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</si>
  <si>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</si>
  <si>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</si>
  <si>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</si>
  <si>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</si>
  <si>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</si>
  <si>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</si>
  <si>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</si>
  <si>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</si>
  <si>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</si>
  <si>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</si>
  <si>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</si>
  <si>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</si>
  <si>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</si>
  <si>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</si>
  <si>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</si>
  <si>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</si>
  <si>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</si>
  <si>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</si>
  <si>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</si>
  <si>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</si>
  <si>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</si>
  <si>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</si>
  <si>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</si>
  <si>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</si>
  <si>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</si>
  <si>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</si>
  <si>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</si>
  <si>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</si>
  <si>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</si>
  <si>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</si>
  <si>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</si>
  <si>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</si>
  <si>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</si>
  <si>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</si>
  <si>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</si>
  <si>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</si>
  <si>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</si>
  <si>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</si>
  <si>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</si>
  <si>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</si>
  <si>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</si>
  <si>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</si>
  <si>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</si>
  <si>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</si>
  <si>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</si>
  <si>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</si>
  <si>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</si>
  <si>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</si>
  <si>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</si>
  <si>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</si>
  <si>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</si>
  <si>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</si>
  <si>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</si>
  <si>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</si>
  <si>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</si>
  <si>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</si>
  <si>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</si>
  <si>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</si>
  <si>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</si>
  <si>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</si>
  <si>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</si>
  <si>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</si>
  <si>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</si>
  <si>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</si>
  <si>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</si>
  <si>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</si>
  <si>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</si>
  <si>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</si>
  <si>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</si>
  <si>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</si>
  <si>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</si>
  <si>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</si>
  <si>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</si>
  <si>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</si>
  <si>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</si>
  <si>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</si>
  <si>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</si>
  <si>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</si>
  <si>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</si>
  <si>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</si>
  <si>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</si>
  <si>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</si>
  <si>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</si>
  <si>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</si>
  <si>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</si>
  <si>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</si>
  <si>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</si>
  <si>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</si>
  <si>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</si>
  <si>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</si>
  <si>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</si>
  <si>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</si>
  <si>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</si>
  <si>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</si>
  <si>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</si>
  <si>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</si>
  <si>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</si>
  <si>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</si>
  <si>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</si>
  <si>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</si>
  <si>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</si>
  <si>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</si>
  <si>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</si>
  <si>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</si>
  <si>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</si>
  <si>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</si>
  <si>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</si>
  <si>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</si>
  <si>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</si>
  <si>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</si>
  <si>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</si>
  <si>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</si>
  <si>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</si>
  <si>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</si>
  <si>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</si>
  <si>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</si>
  <si>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</si>
  <si>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</si>
  <si>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</si>
  <si>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</si>
  <si>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</si>
  <si>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</si>
  <si>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</si>
  <si>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</si>
  <si>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</si>
  <si>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</si>
  <si>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</si>
  <si>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</si>
  <si>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</si>
  <si>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</si>
  <si>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</si>
  <si>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</si>
  <si>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</si>
  <si>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</si>
  <si>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</si>
  <si>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</si>
  <si>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</si>
  <si>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</si>
  <si>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</si>
  <si>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</si>
  <si>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</si>
  <si>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</si>
  <si>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</si>
  <si>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</si>
  <si>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</si>
  <si>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</si>
  <si>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</si>
  <si>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</si>
  <si>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</si>
  <si>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</si>
  <si>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</si>
  <si>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</si>
  <si>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</si>
  <si>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</si>
  <si>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</si>
  <si>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</si>
  <si>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</si>
  <si>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</si>
  <si>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</si>
  <si>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</si>
  <si>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</si>
  <si>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</si>
  <si>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</si>
  <si>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</si>
  <si>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</si>
  <si>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</si>
  <si>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</si>
  <si>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</si>
  <si>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</si>
  <si>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</si>
  <si>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</si>
  <si>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</si>
  <si>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</si>
  <si>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</si>
  <si>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</si>
  <si>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</si>
  <si>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</si>
  <si>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</si>
  <si>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</si>
  <si>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</si>
  <si>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</si>
  <si>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</si>
  <si>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</si>
  <si>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</si>
  <si>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</si>
  <si>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</si>
  <si>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</si>
  <si>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</si>
  <si>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</si>
  <si>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</si>
  <si>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</si>
  <si>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</si>
  <si>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</si>
  <si>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</si>
  <si>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</si>
  <si>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</si>
  <si>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</si>
  <si>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</si>
  <si>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</si>
  <si>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</si>
  <si>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</si>
  <si>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</si>
  <si>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</si>
  <si>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</si>
  <si>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</si>
  <si>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</si>
  <si>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</si>
  <si>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</si>
  <si>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</si>
  <si>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</si>
  <si>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</si>
  <si>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</si>
  <si>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</si>
  <si>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</si>
  <si>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</si>
  <si>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</si>
  <si>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</si>
  <si>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</si>
  <si>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</si>
  <si>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</si>
  <si>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</si>
  <si>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</si>
  <si>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</si>
  <si>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</si>
  <si>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</si>
  <si>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</si>
  <si>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</si>
  <si>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</si>
  <si>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</si>
  <si>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</si>
  <si>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</si>
  <si>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</si>
  <si>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</si>
  <si>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</si>
  <si>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</si>
  <si>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</si>
  <si>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</si>
  <si>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</si>
  <si>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</si>
  <si>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</si>
  <si>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</si>
  <si>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</si>
  <si>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</si>
  <si>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</si>
  <si>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</si>
  <si>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</si>
  <si>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</si>
  <si>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</si>
  <si>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</si>
  <si>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</si>
  <si>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</si>
  <si>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</si>
  <si>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</si>
  <si>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</si>
  <si>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</si>
  <si>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</si>
  <si>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</si>
  <si>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</si>
  <si>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</si>
  <si>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</si>
  <si>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</si>
  <si>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</si>
  <si>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</si>
  <si>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</si>
  <si>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</si>
  <si>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</si>
  <si>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</si>
  <si>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</si>
  <si>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</si>
  <si>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</si>
  <si>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</si>
  <si>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</si>
  <si>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</si>
  <si>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</si>
  <si>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</si>
  <si>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</si>
  <si>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</si>
  <si>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</si>
  <si>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</si>
  <si>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</si>
  <si>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</si>
  <si>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</si>
  <si>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</si>
  <si>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</si>
  <si>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</si>
  <si>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</si>
  <si>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</si>
  <si>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</si>
  <si>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</si>
  <si>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</si>
  <si>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</si>
  <si>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</si>
  <si>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</si>
  <si>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</si>
  <si>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</si>
  <si>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</si>
  <si>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</si>
  <si>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</si>
  <si>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</si>
  <si>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</si>
  <si>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</si>
  <si>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</si>
  <si>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</si>
  <si>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</si>
  <si>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</si>
  <si>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</si>
  <si>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</si>
  <si>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</si>
  <si>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</si>
  <si>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</si>
  <si>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</si>
  <si>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</si>
  <si>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</si>
  <si>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</si>
  <si>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</si>
  <si>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</si>
  <si>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</si>
  <si>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</si>
  <si>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比较法-住宅</t>
  </si>
  <si>
    <t>住宅</t>
    <phoneticPr fontId="26" type="noConversion"/>
  </si>
  <si>
    <t>精装</t>
    <phoneticPr fontId="26" type="noConversion"/>
  </si>
  <si>
    <t>普装</t>
    <phoneticPr fontId="26" type="noConversion"/>
  </si>
  <si>
    <t>简装</t>
    <phoneticPr fontId="26" type="noConversion"/>
  </si>
  <si>
    <t>毛坯</t>
  </si>
  <si>
    <t>毛坯</t>
    <phoneticPr fontId="26" type="noConversion"/>
  </si>
  <si>
    <t>平层</t>
    <phoneticPr fontId="26" type="noConversion"/>
  </si>
  <si>
    <t>多层板楼</t>
  </si>
  <si>
    <t>多层板楼</t>
    <phoneticPr fontId="26" type="noConversion"/>
  </si>
  <si>
    <t>砖混</t>
    <phoneticPr fontId="26" type="noConversion"/>
  </si>
  <si>
    <t>建成年代</t>
    <phoneticPr fontId="26" type="noConversion"/>
  </si>
  <si>
    <t>南北</t>
  </si>
  <si>
    <t>南北</t>
    <phoneticPr fontId="26" type="noConversion"/>
  </si>
  <si>
    <t>已包含在土地取得成本中</t>
  </si>
  <si>
    <t>未包含在土地购买价格中</t>
  </si>
  <si>
    <t>https://esf.fang.com/newsecond/news/13197669_3.htm</t>
    <phoneticPr fontId="249" type="noConversion"/>
  </si>
  <si>
    <t xml:space="preserve">西城区真武庙二里甲9号楼17层1707 </t>
    <phoneticPr fontId="8" type="noConversion"/>
  </si>
  <si>
    <t>收益法 (元)</t>
  </si>
  <si>
    <t>押一</t>
  </si>
  <si>
    <t>成本法 (元)</t>
  </si>
  <si>
    <t>北京住房公积金管理中心住房公积金贷款中心</t>
  </si>
  <si>
    <t>孙雪松</t>
  </si>
  <si>
    <t>中介</t>
    <phoneticPr fontId="5" type="noConversion"/>
  </si>
  <si>
    <t>正常</t>
    <phoneticPr fontId="5" type="noConversion"/>
  </si>
  <si>
    <t>二手房</t>
    <phoneticPr fontId="5" type="noConversion"/>
  </si>
  <si>
    <t>孙雪松</t>
    <phoneticPr fontId="5" type="noConversion"/>
  </si>
  <si>
    <t>李培红</t>
  </si>
  <si>
    <t>C</t>
    <phoneticPr fontId="5" type="noConversion"/>
  </si>
  <si>
    <t>买卖合同</t>
    <phoneticPr fontId="5" type="noConversion"/>
  </si>
  <si>
    <t>换正式</t>
    <phoneticPr fontId="5" type="noConversion"/>
  </si>
  <si>
    <t>十一</t>
    <phoneticPr fontId="5" type="noConversion"/>
  </si>
  <si>
    <t>李晓岩</t>
    <phoneticPr fontId="5" type="noConversion"/>
  </si>
  <si>
    <t>可抵押商品住宅</t>
  </si>
  <si>
    <t>刘硕晨</t>
    <phoneticPr fontId="5" type="noConversion"/>
  </si>
  <si>
    <t>北京住房公积金管理中心住房公积金贷款中心</t>
    <phoneticPr fontId="5" type="noConversion"/>
  </si>
  <si>
    <t>复式、平层√、跃层、错层</t>
  </si>
  <si>
    <t>二室一厅一卫一厨</t>
    <phoneticPr fontId="5" type="noConversion"/>
  </si>
  <si>
    <t>陈岩峰、刘芳</t>
    <phoneticPr fontId="5" type="noConversion"/>
  </si>
  <si>
    <t>102</t>
    <phoneticPr fontId="5" type="noConversion"/>
  </si>
  <si>
    <t>1层2门</t>
    <phoneticPr fontId="5" type="noConversion"/>
  </si>
  <si>
    <t>1号楼</t>
    <phoneticPr fontId="5" type="noConversion"/>
  </si>
  <si>
    <t>白云路7号院</t>
    <phoneticPr fontId="5" type="noConversion"/>
  </si>
  <si>
    <t>18001165680</t>
    <phoneticPr fontId="5" type="noConversion"/>
  </si>
  <si>
    <t>110109197508021217、110109198003221824</t>
    <phoneticPr fontId="5" type="noConversion"/>
  </si>
  <si>
    <t>2013-22-CP-44296-DFU</t>
    <phoneticPr fontId="5" type="noConversion"/>
  </si>
  <si>
    <t>汽北小区</t>
    <phoneticPr fontId="136" type="noConversion"/>
  </si>
  <si>
    <t>祁龙</t>
  </si>
  <si>
    <t>不含任何税费</t>
  </si>
  <si>
    <t>中介</t>
  </si>
  <si>
    <t>凌红政</t>
    <phoneticPr fontId="5" type="noConversion"/>
  </si>
  <si>
    <t>785054</t>
    <phoneticPr fontId="5" type="noConversion"/>
  </si>
  <si>
    <t>九</t>
  </si>
  <si>
    <t>马超</t>
    <phoneticPr fontId="5" type="noConversion"/>
  </si>
  <si>
    <t>复式、平层√、跃层、错层</t>
    <phoneticPr fontId="5" type="noConversion"/>
  </si>
  <si>
    <t>433</t>
    <phoneticPr fontId="5" type="noConversion"/>
  </si>
  <si>
    <t>4层4门</t>
    <phoneticPr fontId="5" type="noConversion"/>
  </si>
  <si>
    <t>甲1号楼</t>
    <phoneticPr fontId="5" type="noConversion"/>
  </si>
  <si>
    <t/>
  </si>
  <si>
    <t>白云路西里</t>
    <phoneticPr fontId="5" type="noConversion"/>
  </si>
  <si>
    <t>13811953680</t>
    <phoneticPr fontId="5" type="noConversion"/>
  </si>
  <si>
    <t>142130197710115020</t>
    <phoneticPr fontId="5" type="noConversion"/>
  </si>
  <si>
    <t>周玉梅</t>
    <phoneticPr fontId="5" type="noConversion"/>
  </si>
  <si>
    <t>2013-22-YP-35943-FU</t>
    <phoneticPr fontId="5" type="noConversion"/>
  </si>
  <si>
    <t>王明君</t>
  </si>
  <si>
    <t>武欣欣</t>
    <phoneticPr fontId="5" type="noConversion"/>
  </si>
  <si>
    <t>743343</t>
    <phoneticPr fontId="5" type="noConversion"/>
  </si>
  <si>
    <t xml:space="preserve"> </t>
  </si>
  <si>
    <t>王明君</t>
    <phoneticPr fontId="5" type="noConversion"/>
  </si>
  <si>
    <t>四</t>
    <phoneticPr fontId="5" type="noConversion"/>
  </si>
  <si>
    <t>王超岳</t>
    <phoneticPr fontId="5" type="noConversion"/>
  </si>
  <si>
    <t>王建军</t>
  </si>
  <si>
    <t>503</t>
    <phoneticPr fontId="5" type="noConversion"/>
  </si>
  <si>
    <t>5层1门</t>
    <phoneticPr fontId="5" type="noConversion"/>
  </si>
  <si>
    <t>22号楼</t>
    <phoneticPr fontId="5" type="noConversion"/>
  </si>
  <si>
    <t>白云路西里丙</t>
    <phoneticPr fontId="5" type="noConversion"/>
  </si>
  <si>
    <t>13641210399</t>
    <phoneticPr fontId="5" type="noConversion"/>
  </si>
  <si>
    <t>230221197510121812</t>
    <phoneticPr fontId="5" type="noConversion"/>
  </si>
  <si>
    <t>2013-22-CP-20499-FU</t>
  </si>
  <si>
    <t>戴钧</t>
  </si>
  <si>
    <t>戴钧</t>
    <phoneticPr fontId="5" type="noConversion"/>
  </si>
  <si>
    <t>王进荣、王进华、王进军、王进国</t>
    <phoneticPr fontId="5" type="noConversion"/>
  </si>
  <si>
    <t>708734</t>
    <phoneticPr fontId="5" type="noConversion"/>
  </si>
  <si>
    <t>三</t>
    <phoneticPr fontId="5" type="noConversion"/>
  </si>
  <si>
    <t>李晓岩</t>
  </si>
  <si>
    <t>李颖哲</t>
    <phoneticPr fontId="5" type="noConversion"/>
  </si>
  <si>
    <t>17号</t>
    <phoneticPr fontId="5" type="noConversion"/>
  </si>
  <si>
    <t>6层3门</t>
    <phoneticPr fontId="5" type="noConversion"/>
  </si>
  <si>
    <t>6号楼</t>
    <phoneticPr fontId="5" type="noConversion"/>
  </si>
  <si>
    <t>白云观街南里</t>
    <phoneticPr fontId="5" type="noConversion"/>
  </si>
  <si>
    <t>13641284672</t>
    <phoneticPr fontId="5" type="noConversion"/>
  </si>
  <si>
    <t>220204197403133326</t>
    <phoneticPr fontId="5" type="noConversion"/>
  </si>
  <si>
    <t>2013-22-YP-10232-FU</t>
    <phoneticPr fontId="5" type="noConversion"/>
  </si>
  <si>
    <t>不含任何税费</t>
    <phoneticPr fontId="5" type="noConversion"/>
  </si>
  <si>
    <t>石玉英</t>
    <phoneticPr fontId="5" type="noConversion"/>
  </si>
  <si>
    <t>十二</t>
    <phoneticPr fontId="5" type="noConversion"/>
  </si>
  <si>
    <t>二手房</t>
  </si>
  <si>
    <t>三室一厅一卫一厨</t>
    <phoneticPr fontId="5" type="noConversion"/>
  </si>
  <si>
    <t>任熙源</t>
  </si>
  <si>
    <t>2层</t>
    <phoneticPr fontId="5" type="noConversion"/>
  </si>
  <si>
    <t>甲9号楼</t>
    <phoneticPr fontId="5" type="noConversion"/>
  </si>
  <si>
    <t>真武庙二里</t>
    <phoneticPr fontId="5" type="noConversion"/>
  </si>
  <si>
    <t>410105198610160037</t>
    <phoneticPr fontId="5" type="noConversion"/>
  </si>
  <si>
    <t>2013-22-CP-46612-FU</t>
  </si>
  <si>
    <t>套内单价</t>
    <phoneticPr fontId="5" type="noConversion"/>
  </si>
  <si>
    <t>评估套内单价</t>
    <phoneticPr fontId="5" type="noConversion"/>
  </si>
  <si>
    <t>价格内涵</t>
    <phoneticPr fontId="5" type="noConversion"/>
  </si>
  <si>
    <t>交易方式</t>
    <phoneticPr fontId="5" type="noConversion"/>
  </si>
  <si>
    <t>交易情况</t>
    <phoneticPr fontId="5" type="noConversion"/>
  </si>
  <si>
    <t>销售方式</t>
    <phoneticPr fontId="5" type="noConversion"/>
  </si>
  <si>
    <t>释放清单出具日期</t>
    <phoneticPr fontId="5" type="noConversion"/>
  </si>
  <si>
    <t>出具日期</t>
    <phoneticPr fontId="5" type="noConversion"/>
  </si>
  <si>
    <t>补充人</t>
    <phoneticPr fontId="5" type="noConversion"/>
  </si>
  <si>
    <t>缺失备注</t>
    <phoneticPr fontId="5" type="noConversion"/>
  </si>
  <si>
    <t>交易日期</t>
    <phoneticPr fontId="5" type="noConversion"/>
  </si>
  <si>
    <t>层高（米）</t>
    <phoneticPr fontId="5" type="noConversion"/>
  </si>
  <si>
    <t>联系电话</t>
    <phoneticPr fontId="5" type="noConversion"/>
  </si>
  <si>
    <t>邮政编码</t>
    <phoneticPr fontId="5" type="noConversion"/>
  </si>
  <si>
    <t>法定代表人</t>
    <phoneticPr fontId="5" type="noConversion"/>
  </si>
  <si>
    <t>营业执照注册号</t>
    <phoneticPr fontId="5" type="noConversion"/>
  </si>
  <si>
    <t>注册地址</t>
    <phoneticPr fontId="5" type="noConversion"/>
  </si>
  <si>
    <t>出卖人</t>
    <phoneticPr fontId="5" type="noConversion"/>
  </si>
  <si>
    <t>合同编号</t>
    <phoneticPr fontId="5" type="noConversion"/>
  </si>
  <si>
    <t>合同特定编号</t>
    <phoneticPr fontId="5" type="noConversion"/>
  </si>
  <si>
    <t>合同类型</t>
    <phoneticPr fontId="5" type="noConversion"/>
  </si>
  <si>
    <t>抵押注记</t>
    <phoneticPr fontId="5" type="noConversion"/>
  </si>
  <si>
    <t>更改内容</t>
    <phoneticPr fontId="5" type="noConversion"/>
  </si>
  <si>
    <t>日</t>
    <phoneticPr fontId="5" type="noConversion"/>
  </si>
  <si>
    <t>月</t>
    <phoneticPr fontId="5" type="noConversion"/>
  </si>
  <si>
    <t>年</t>
    <phoneticPr fontId="5" type="noConversion"/>
  </si>
  <si>
    <t>变更内容</t>
    <phoneticPr fontId="5" type="noConversion"/>
  </si>
  <si>
    <t>制作人</t>
    <phoneticPr fontId="5" type="noConversion"/>
  </si>
  <si>
    <t>编号</t>
    <phoneticPr fontId="5" type="noConversion"/>
  </si>
  <si>
    <t>周次</t>
    <phoneticPr fontId="5" type="noConversion"/>
  </si>
  <si>
    <t>房屋所有权证</t>
    <phoneticPr fontId="5" type="noConversion"/>
  </si>
  <si>
    <t>房屋剩余年限</t>
    <phoneticPr fontId="5" type="noConversion"/>
  </si>
  <si>
    <t>评估月份</t>
    <phoneticPr fontId="5" type="noConversion"/>
  </si>
  <si>
    <t>交付时间</t>
    <phoneticPr fontId="5" type="noConversion"/>
  </si>
  <si>
    <t>复核人</t>
    <phoneticPr fontId="5" type="noConversion"/>
  </si>
  <si>
    <t>备注</t>
    <phoneticPr fontId="5" type="noConversion"/>
  </si>
  <si>
    <t>结论</t>
  </si>
  <si>
    <t>工程进度</t>
  </si>
  <si>
    <t>评估人</t>
  </si>
  <si>
    <t>申请人编号</t>
    <phoneticPr fontId="5" type="noConversion"/>
  </si>
  <si>
    <t>资金管理中心</t>
    <phoneticPr fontId="5" type="noConversion"/>
  </si>
  <si>
    <t>收费</t>
  </si>
  <si>
    <r>
      <t>年</t>
    </r>
    <r>
      <rPr>
        <sz val="12"/>
        <color indexed="8"/>
        <rFont val="Times New Roman"/>
        <family val="1"/>
      </rPr>
      <t/>
    </r>
    <phoneticPr fontId="5" type="noConversion"/>
  </si>
  <si>
    <t>大写</t>
  </si>
  <si>
    <t>最高抵押额</t>
  </si>
  <si>
    <t>风险率</t>
  </si>
  <si>
    <t>建面评估单价(元/M2)</t>
    <phoneticPr fontId="5" type="noConversion"/>
  </si>
  <si>
    <t>评估总额(万元)</t>
  </si>
  <si>
    <t>评估总额</t>
  </si>
  <si>
    <t>建面成交单价</t>
    <phoneticPr fontId="5" type="noConversion"/>
  </si>
  <si>
    <t>成交总价</t>
    <phoneticPr fontId="5" type="noConversion"/>
  </si>
  <si>
    <t>单元住宅类型</t>
    <phoneticPr fontId="5" type="noConversion"/>
  </si>
  <si>
    <t>套内建</t>
    <phoneticPr fontId="5" type="noConversion"/>
  </si>
  <si>
    <t>楼户型</t>
    <phoneticPr fontId="5" type="noConversion"/>
  </si>
  <si>
    <t>第几层</t>
    <phoneticPr fontId="5" type="noConversion"/>
  </si>
  <si>
    <t>总楼层</t>
    <phoneticPr fontId="136" type="noConversion"/>
  </si>
  <si>
    <t>面积M2</t>
  </si>
  <si>
    <t>开发商(产权人)</t>
  </si>
  <si>
    <t>门牌号</t>
    <phoneticPr fontId="5" type="noConversion"/>
  </si>
  <si>
    <t>单元</t>
    <phoneticPr fontId="5" type="noConversion"/>
  </si>
  <si>
    <t>楼号</t>
    <phoneticPr fontId="5" type="noConversion"/>
  </si>
  <si>
    <t>组团名</t>
    <phoneticPr fontId="5" type="noConversion"/>
  </si>
  <si>
    <t>居住区名</t>
    <phoneticPr fontId="5" type="noConversion"/>
  </si>
  <si>
    <t>所在区县</t>
  </si>
  <si>
    <t>联系电话</t>
  </si>
  <si>
    <t>身份证号</t>
  </si>
  <si>
    <t>姓名</t>
  </si>
  <si>
    <t>仅限于抵押物</t>
    <phoneticPr fontId="5" type="noConversion"/>
  </si>
  <si>
    <t>评估通知单</t>
    <phoneticPr fontId="5" type="noConversion"/>
  </si>
  <si>
    <t>更改日期</t>
    <phoneticPr fontId="5" type="noConversion"/>
  </si>
  <si>
    <t>康正代办</t>
    <phoneticPr fontId="5" type="noConversion"/>
  </si>
  <si>
    <t>记录时间</t>
    <phoneticPr fontId="5" type="noConversion"/>
  </si>
  <si>
    <t>贷款机构</t>
  </si>
  <si>
    <t>评估日期</t>
  </si>
  <si>
    <t>南北</t>
    <phoneticPr fontId="136" type="noConversion"/>
  </si>
  <si>
    <t>东西</t>
    <phoneticPr fontId="136" type="noConversion"/>
  </si>
  <si>
    <t>南</t>
  </si>
  <si>
    <t>南</t>
    <phoneticPr fontId="136" type="noConversion"/>
  </si>
  <si>
    <t>南</t>
    <phoneticPr fontId="26" type="noConversion"/>
  </si>
  <si>
    <t>塔楼</t>
  </si>
  <si>
    <t>塔楼</t>
    <phoneticPr fontId="26" type="noConversion"/>
  </si>
  <si>
    <t>普装</t>
  </si>
  <si>
    <t>西北</t>
  </si>
  <si>
    <t>西北</t>
    <phoneticPr fontId="26" type="noConversion"/>
  </si>
  <si>
    <t>真武庙二里</t>
    <phoneticPr fontId="136" type="noConversion"/>
  </si>
  <si>
    <t>西</t>
  </si>
  <si>
    <t>西</t>
    <phoneticPr fontId="136" type="noConversion"/>
  </si>
  <si>
    <t>西</t>
    <phoneticPr fontId="26" type="noConversion"/>
  </si>
  <si>
    <t>精装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</si>
</sst>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411]General"/>
    <numFmt numFmtId="199" formatCode="[DBNum1][$-804]General"/>
  </numFmts>
  <fonts count="276">
    <font>
      <sz val="11"/>
      <color theme="1"/>
      <name val="宋体"/>
      <charset val="134"/>
      <scheme val="minor"/>
    </font>
    <font>
      <sz val="11"/>
      <color theme="1"/>
      <name val="宋体"/>
      <family val="2"/>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2"/>
      <charset val="134"/>
      <scheme val="minor"/>
    </font>
    <font>
      <sz val="11"/>
      <color rgb="FFFF0000"/>
      <name val="宋体"/>
      <family val="2"/>
      <scheme val="minor"/>
    </font>
    <font>
      <sz val="10"/>
      <name val="Times New Roman"/>
      <family val="1"/>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71" fillId="0" borderId="0" applyNumberFormat="0" applyFill="0" applyBorder="0" applyAlignment="0" applyProtection="0">
      <alignment vertical="center"/>
    </xf>
    <xf numFmtId="0" fontId="2" fillId="0" borderId="0">
      <alignment vertical="center"/>
    </xf>
    <xf numFmtId="0" fontId="1" fillId="0" borderId="0"/>
  </cellStyleXfs>
  <cellXfs count="358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130" fillId="0" borderId="51"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130" fillId="0" borderId="5" xfId="0" applyFont="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0" fontId="271" fillId="0" borderId="0" xfId="19">
      <alignment vertical="center"/>
    </xf>
    <xf numFmtId="0" fontId="2" fillId="0" borderId="0" xfId="20">
      <alignment vertical="center"/>
    </xf>
    <xf numFmtId="0" fontId="1" fillId="0" borderId="0" xfId="21"/>
    <xf numFmtId="0" fontId="272" fillId="0" borderId="0" xfId="21" applyFont="1"/>
    <xf numFmtId="0" fontId="1" fillId="0" borderId="0" xfId="21" applyAlignment="1">
      <alignment horizontal="center"/>
    </xf>
    <xf numFmtId="0" fontId="21" fillId="0" borderId="0" xfId="21" applyFont="1" applyAlignment="1">
      <alignment horizontal="left" vertical="center"/>
    </xf>
    <xf numFmtId="0" fontId="21" fillId="0" borderId="0" xfId="21" applyFont="1" applyAlignment="1" applyProtection="1">
      <alignment vertical="center"/>
      <protection locked="0"/>
    </xf>
    <xf numFmtId="0" fontId="273" fillId="0" borderId="0" xfId="21" applyFont="1"/>
    <xf numFmtId="0" fontId="21" fillId="0" borderId="1" xfId="21" applyFont="1" applyBorder="1" applyAlignment="1" applyProtection="1">
      <alignment horizontal="left" vertical="center"/>
      <protection locked="0"/>
    </xf>
    <xf numFmtId="0" fontId="21" fillId="0" borderId="1" xfId="21" applyFont="1" applyBorder="1" applyAlignment="1">
      <alignment horizontal="left" vertical="center"/>
    </xf>
    <xf numFmtId="183" fontId="21" fillId="0" borderId="1" xfId="21" applyNumberFormat="1" applyFont="1" applyBorder="1" applyAlignment="1">
      <alignment horizontal="left" vertical="center"/>
    </xf>
    <xf numFmtId="31" fontId="21" fillId="0" borderId="1" xfId="21" applyNumberFormat="1" applyFont="1" applyBorder="1" applyAlignment="1">
      <alignment horizontal="left" vertical="center"/>
    </xf>
    <xf numFmtId="0" fontId="21" fillId="0" borderId="1" xfId="21" applyFont="1" applyBorder="1" applyAlignment="1">
      <alignment vertical="center"/>
    </xf>
    <xf numFmtId="31" fontId="21" fillId="5" borderId="1" xfId="21" applyNumberFormat="1" applyFont="1" applyFill="1" applyBorder="1" applyAlignment="1">
      <alignment horizontal="left" vertical="center"/>
    </xf>
    <xf numFmtId="0" fontId="21" fillId="5" borderId="1" xfId="21" applyFont="1" applyFill="1" applyBorder="1" applyAlignment="1">
      <alignment horizontal="left" vertical="center"/>
    </xf>
    <xf numFmtId="49" fontId="21" fillId="5" borderId="1" xfId="21" applyNumberFormat="1" applyFont="1" applyFill="1" applyBorder="1" applyAlignment="1">
      <alignment horizontal="left" vertical="center"/>
    </xf>
    <xf numFmtId="0" fontId="21" fillId="5" borderId="1" xfId="21" applyFont="1" applyFill="1" applyBorder="1" applyAlignment="1">
      <alignment vertical="center"/>
    </xf>
    <xf numFmtId="183" fontId="21" fillId="5" borderId="1" xfId="21" applyNumberFormat="1" applyFont="1" applyFill="1" applyBorder="1" applyAlignment="1">
      <alignment vertical="center"/>
    </xf>
    <xf numFmtId="0" fontId="131" fillId="5" borderId="1" xfId="21" applyFont="1" applyFill="1" applyBorder="1" applyAlignment="1">
      <alignment horizontal="center" vertical="center"/>
    </xf>
    <xf numFmtId="196" fontId="21" fillId="5" borderId="1" xfId="21" applyNumberFormat="1" applyFont="1" applyFill="1" applyBorder="1" applyAlignment="1">
      <alignment horizontal="left" vertical="center"/>
    </xf>
    <xf numFmtId="2" fontId="21" fillId="5" borderId="1" xfId="21" applyNumberFormat="1" applyFont="1" applyFill="1" applyBorder="1" applyAlignment="1">
      <alignment horizontal="left" vertical="center"/>
    </xf>
    <xf numFmtId="9" fontId="21" fillId="5" borderId="1" xfId="21" applyNumberFormat="1" applyFont="1" applyFill="1" applyBorder="1" applyAlignment="1">
      <alignment horizontal="left" vertical="center"/>
    </xf>
    <xf numFmtId="49" fontId="21" fillId="5" borderId="1" xfId="21" applyNumberFormat="1" applyFont="1" applyFill="1" applyBorder="1" applyAlignment="1">
      <alignment horizontal="center" vertical="center"/>
    </xf>
    <xf numFmtId="0" fontId="21" fillId="5" borderId="1" xfId="21" applyFont="1" applyFill="1" applyBorder="1" applyAlignment="1">
      <alignment horizontal="center" vertical="center"/>
    </xf>
    <xf numFmtId="49" fontId="21" fillId="0" borderId="1" xfId="21" applyNumberFormat="1" applyFont="1" applyBorder="1" applyAlignment="1">
      <alignment horizontal="left" vertical="center"/>
    </xf>
    <xf numFmtId="0" fontId="21" fillId="0" borderId="0" xfId="21" applyFont="1" applyAlignment="1">
      <alignment vertical="center"/>
    </xf>
    <xf numFmtId="0" fontId="21" fillId="0" borderId="1" xfId="21" applyFont="1" applyBorder="1" applyAlignment="1" applyProtection="1">
      <alignment vertical="center"/>
      <protection locked="0"/>
    </xf>
    <xf numFmtId="183" fontId="21" fillId="0" borderId="1" xfId="21" applyNumberFormat="1" applyFont="1" applyBorder="1" applyAlignment="1" applyProtection="1">
      <alignment vertical="center"/>
      <protection locked="0"/>
    </xf>
    <xf numFmtId="31" fontId="21" fillId="5" borderId="1" xfId="21" applyNumberFormat="1" applyFont="1" applyFill="1" applyBorder="1" applyAlignment="1" applyProtection="1">
      <alignment vertical="center"/>
      <protection locked="0"/>
    </xf>
    <xf numFmtId="179" fontId="21" fillId="5" borderId="1" xfId="21" applyNumberFormat="1" applyFont="1" applyFill="1" applyBorder="1" applyAlignment="1" applyProtection="1">
      <alignment vertical="center"/>
      <protection locked="0"/>
    </xf>
    <xf numFmtId="0" fontId="21" fillId="5" borderId="1" xfId="21" applyFont="1" applyFill="1" applyBorder="1" applyAlignment="1" applyProtection="1">
      <alignment vertical="center"/>
      <protection locked="0"/>
    </xf>
    <xf numFmtId="197" fontId="21" fillId="5" borderId="1" xfId="21" applyNumberFormat="1" applyFont="1" applyFill="1" applyBorder="1" applyAlignment="1" applyProtection="1">
      <alignment vertical="center"/>
      <protection locked="0"/>
    </xf>
    <xf numFmtId="49" fontId="21" fillId="5" borderId="1" xfId="21" applyNumberFormat="1" applyFont="1" applyFill="1" applyBorder="1" applyAlignment="1" applyProtection="1">
      <alignment vertical="center"/>
      <protection locked="0"/>
    </xf>
    <xf numFmtId="0" fontId="21" fillId="5" borderId="1" xfId="21" applyFont="1" applyFill="1" applyBorder="1" applyAlignment="1" applyProtection="1">
      <alignment horizontal="right" vertical="center"/>
      <protection locked="0"/>
    </xf>
    <xf numFmtId="183" fontId="21" fillId="5" borderId="1" xfId="21" applyNumberFormat="1" applyFont="1" applyFill="1" applyBorder="1" applyAlignment="1" applyProtection="1">
      <alignment vertical="center"/>
      <protection locked="0"/>
    </xf>
    <xf numFmtId="198" fontId="21" fillId="5" borderId="1" xfId="21" applyNumberFormat="1" applyFont="1" applyFill="1" applyBorder="1" applyAlignment="1">
      <alignment vertical="center"/>
    </xf>
    <xf numFmtId="31" fontId="21" fillId="5" borderId="1" xfId="21" applyNumberFormat="1" applyFont="1" applyFill="1" applyBorder="1" applyAlignment="1">
      <alignment vertical="center"/>
    </xf>
    <xf numFmtId="49" fontId="21" fillId="5" borderId="1" xfId="21" applyNumberFormat="1" applyFont="1" applyFill="1" applyBorder="1" applyAlignment="1">
      <alignment vertical="center"/>
    </xf>
    <xf numFmtId="196" fontId="21" fillId="5" borderId="1" xfId="21" applyNumberFormat="1" applyFont="1" applyFill="1" applyBorder="1" applyAlignment="1">
      <alignment vertical="center"/>
    </xf>
    <xf numFmtId="2" fontId="21" fillId="5" borderId="1" xfId="21" applyNumberFormat="1" applyFont="1" applyFill="1" applyBorder="1" applyAlignment="1">
      <alignment vertical="center"/>
    </xf>
    <xf numFmtId="9" fontId="21" fillId="5" borderId="1" xfId="21" applyNumberFormat="1" applyFont="1" applyFill="1" applyBorder="1" applyAlignment="1">
      <alignment vertical="center"/>
    </xf>
    <xf numFmtId="1" fontId="21" fillId="5" borderId="1" xfId="21" applyNumberFormat="1" applyFont="1" applyFill="1" applyBorder="1" applyAlignment="1">
      <alignment vertical="center"/>
    </xf>
    <xf numFmtId="49" fontId="21" fillId="0" borderId="1" xfId="21" applyNumberFormat="1" applyFont="1" applyBorder="1" applyAlignment="1">
      <alignment vertical="center"/>
    </xf>
    <xf numFmtId="31" fontId="21" fillId="0" borderId="1" xfId="21" applyNumberFormat="1" applyFont="1" applyBorder="1" applyAlignment="1" applyProtection="1">
      <alignment horizontal="right" vertical="center"/>
      <protection locked="0"/>
    </xf>
    <xf numFmtId="31" fontId="21" fillId="0" borderId="1" xfId="21" applyNumberFormat="1" applyFont="1" applyBorder="1" applyAlignment="1" applyProtection="1">
      <alignment vertical="center"/>
      <protection locked="0"/>
    </xf>
    <xf numFmtId="179" fontId="21" fillId="0" borderId="1" xfId="21" applyNumberFormat="1" applyFont="1" applyBorder="1" applyAlignment="1" applyProtection="1">
      <alignment vertical="center"/>
      <protection locked="0"/>
    </xf>
    <xf numFmtId="197" fontId="21" fillId="0" borderId="1" xfId="21" applyNumberFormat="1" applyFont="1" applyBorder="1" applyAlignment="1" applyProtection="1">
      <alignment vertical="center"/>
      <protection locked="0"/>
    </xf>
    <xf numFmtId="49" fontId="21" fillId="0" borderId="1" xfId="21" applyNumberFormat="1" applyFont="1" applyBorder="1" applyAlignment="1" applyProtection="1">
      <alignment vertical="center"/>
      <protection locked="0"/>
    </xf>
    <xf numFmtId="199" fontId="21" fillId="0" borderId="1" xfId="21" applyNumberFormat="1" applyFont="1" applyBorder="1" applyAlignment="1">
      <alignment horizontal="left" vertical="center"/>
    </xf>
    <xf numFmtId="0" fontId="21" fillId="0" borderId="1" xfId="21" applyFont="1" applyBorder="1" applyAlignment="1">
      <alignment horizontal="right" vertical="center"/>
    </xf>
    <xf numFmtId="199" fontId="21" fillId="0" borderId="1" xfId="21" applyNumberFormat="1" applyFont="1" applyBorder="1" applyAlignment="1">
      <alignment horizontal="center" vertical="center"/>
    </xf>
    <xf numFmtId="31" fontId="21" fillId="0" borderId="1" xfId="21" applyNumberFormat="1" applyFont="1" applyBorder="1" applyAlignment="1">
      <alignment vertical="center"/>
    </xf>
    <xf numFmtId="0" fontId="21" fillId="0" borderId="1" xfId="21" applyFont="1" applyBorder="1" applyAlignment="1">
      <alignment horizontal="center" vertical="center"/>
    </xf>
    <xf numFmtId="0" fontId="131" fillId="22" borderId="1" xfId="21" applyFont="1" applyFill="1" applyBorder="1" applyAlignment="1">
      <alignment horizontal="center" vertical="center"/>
    </xf>
    <xf numFmtId="0" fontId="21" fillId="0" borderId="1" xfId="21" applyFont="1" applyBorder="1" applyAlignment="1" applyProtection="1">
      <alignment horizontal="right" vertical="center"/>
      <protection locked="0"/>
    </xf>
    <xf numFmtId="196" fontId="21" fillId="0" borderId="1" xfId="21" applyNumberFormat="1" applyFont="1" applyBorder="1" applyAlignment="1">
      <alignment horizontal="right" vertical="center"/>
    </xf>
    <xf numFmtId="2" fontId="21" fillId="0" borderId="1" xfId="21" applyNumberFormat="1" applyFont="1" applyBorder="1" applyAlignment="1">
      <alignment horizontal="right" vertical="center"/>
    </xf>
    <xf numFmtId="9" fontId="21" fillId="0" borderId="1" xfId="21" applyNumberFormat="1" applyFont="1" applyBorder="1" applyAlignment="1">
      <alignment horizontal="right" vertical="center"/>
    </xf>
    <xf numFmtId="1" fontId="21" fillId="0" borderId="1" xfId="21" applyNumberFormat="1" applyFont="1" applyBorder="1" applyAlignment="1">
      <alignment horizontal="right" vertical="center"/>
    </xf>
    <xf numFmtId="49" fontId="21" fillId="0" borderId="1" xfId="21" applyNumberFormat="1" applyFont="1" applyBorder="1" applyAlignment="1">
      <alignment horizontal="center" vertical="center"/>
    </xf>
    <xf numFmtId="58" fontId="21" fillId="0" borderId="1" xfId="21" applyNumberFormat="1" applyFont="1" applyBorder="1" applyAlignment="1" applyProtection="1">
      <alignment vertical="center"/>
      <protection locked="0"/>
    </xf>
    <xf numFmtId="183" fontId="21" fillId="0" borderId="1" xfId="21" applyNumberFormat="1" applyFont="1" applyBorder="1" applyAlignment="1">
      <alignment vertical="center"/>
    </xf>
    <xf numFmtId="196" fontId="21" fillId="5" borderId="1" xfId="21" applyNumberFormat="1" applyFont="1" applyFill="1" applyBorder="1" applyAlignment="1">
      <alignment horizontal="right" vertical="center"/>
    </xf>
    <xf numFmtId="2" fontId="21" fillId="5" borderId="1" xfId="21" applyNumberFormat="1" applyFont="1" applyFill="1" applyBorder="1" applyAlignment="1">
      <alignment horizontal="right" vertical="center"/>
    </xf>
    <xf numFmtId="0" fontId="21" fillId="5" borderId="1" xfId="21" applyFont="1" applyFill="1" applyBorder="1" applyAlignment="1">
      <alignment horizontal="right" vertical="center"/>
    </xf>
    <xf numFmtId="0" fontId="82" fillId="0" borderId="1" xfId="21" applyFont="1" applyBorder="1" applyAlignment="1" applyProtection="1">
      <alignment horizontal="center"/>
      <protection locked="0"/>
    </xf>
    <xf numFmtId="0" fontId="82" fillId="0" borderId="1" xfId="21" applyFont="1" applyBorder="1" applyAlignment="1">
      <alignment horizontal="center"/>
    </xf>
    <xf numFmtId="183" fontId="178" fillId="0" borderId="1" xfId="21" applyNumberFormat="1" applyFont="1" applyBorder="1" applyAlignment="1" applyProtection="1">
      <alignment horizontal="center"/>
      <protection locked="0"/>
    </xf>
    <xf numFmtId="183" fontId="82" fillId="0" borderId="1" xfId="21" applyNumberFormat="1" applyFont="1" applyBorder="1" applyAlignment="1" applyProtection="1">
      <alignment horizontal="center"/>
      <protection locked="0"/>
    </xf>
    <xf numFmtId="31" fontId="82" fillId="0" borderId="1" xfId="21" applyNumberFormat="1" applyFont="1" applyBorder="1" applyAlignment="1" applyProtection="1">
      <alignment horizontal="center"/>
      <protection locked="0"/>
    </xf>
    <xf numFmtId="179" fontId="82" fillId="0" borderId="1" xfId="21" applyNumberFormat="1" applyFont="1" applyBorder="1" applyAlignment="1" applyProtection="1">
      <alignment horizontal="center"/>
      <protection locked="0"/>
    </xf>
    <xf numFmtId="197" fontId="82" fillId="0" borderId="1" xfId="21" applyNumberFormat="1" applyFont="1" applyBorder="1" applyAlignment="1" applyProtection="1">
      <alignment horizontal="center"/>
      <protection locked="0"/>
    </xf>
    <xf numFmtId="49" fontId="82" fillId="0" borderId="1" xfId="21" applyNumberFormat="1" applyFont="1" applyBorder="1" applyAlignment="1" applyProtection="1">
      <alignment horizontal="center"/>
      <protection locked="0"/>
    </xf>
    <xf numFmtId="46" fontId="82" fillId="0" borderId="1" xfId="21" applyNumberFormat="1" applyFont="1" applyBorder="1" applyAlignment="1" applyProtection="1">
      <alignment horizontal="center"/>
      <protection locked="0"/>
    </xf>
    <xf numFmtId="0" fontId="178" fillId="0" borderId="1" xfId="21" applyFont="1" applyBorder="1" applyAlignment="1" applyProtection="1">
      <alignment horizontal="center"/>
      <protection locked="0"/>
    </xf>
    <xf numFmtId="0" fontId="178" fillId="0" borderId="5" xfId="21" applyFont="1" applyBorder="1" applyAlignment="1" applyProtection="1">
      <alignment horizontal="center"/>
      <protection locked="0"/>
    </xf>
    <xf numFmtId="0" fontId="140" fillId="0" borderId="1" xfId="21" applyFont="1" applyBorder="1" applyAlignment="1" applyProtection="1">
      <alignment horizontal="center" vertical="center"/>
      <protection locked="0"/>
    </xf>
    <xf numFmtId="0" fontId="82" fillId="0" borderId="1" xfId="21" applyFont="1" applyBorder="1" applyAlignment="1" applyProtection="1">
      <alignment horizontal="right"/>
      <protection locked="0"/>
    </xf>
    <xf numFmtId="196" fontId="82" fillId="0" borderId="1" xfId="21" applyNumberFormat="1" applyFont="1" applyBorder="1" applyAlignment="1" applyProtection="1">
      <alignment horizontal="right"/>
      <protection locked="0"/>
    </xf>
    <xf numFmtId="0" fontId="82" fillId="0" borderId="1" xfId="21" applyFont="1" applyBorder="1" applyProtection="1">
      <protection locked="0"/>
    </xf>
    <xf numFmtId="0" fontId="21" fillId="0" borderId="1" xfId="21" applyFont="1" applyBorder="1" applyProtection="1">
      <protection locked="0"/>
    </xf>
    <xf numFmtId="31" fontId="21" fillId="0" borderId="1" xfId="21" applyNumberFormat="1" applyFont="1" applyBorder="1" applyProtection="1">
      <protection locked="0"/>
    </xf>
    <xf numFmtId="179" fontId="21" fillId="0" borderId="1" xfId="21" applyNumberFormat="1" applyFont="1" applyBorder="1" applyProtection="1">
      <protection locked="0"/>
    </xf>
    <xf numFmtId="197" fontId="21" fillId="0" borderId="1" xfId="21" applyNumberFormat="1" applyFont="1" applyBorder="1" applyProtection="1">
      <protection locked="0"/>
    </xf>
    <xf numFmtId="49" fontId="21" fillId="0" borderId="1" xfId="21" applyNumberFormat="1" applyFont="1" applyBorder="1" applyProtection="1">
      <protection locked="0"/>
    </xf>
    <xf numFmtId="0" fontId="21" fillId="0" borderId="1" xfId="21" applyFont="1" applyBorder="1" applyAlignment="1" applyProtection="1">
      <alignment horizontal="center"/>
      <protection locked="0"/>
    </xf>
    <xf numFmtId="0" fontId="131" fillId="0" borderId="1" xfId="21" applyFont="1" applyBorder="1" applyAlignment="1" applyProtection="1">
      <alignment horizontal="center" vertical="center"/>
      <protection locked="0"/>
    </xf>
    <xf numFmtId="0" fontId="21" fillId="0" borderId="1" xfId="21" applyFont="1" applyBorder="1" applyAlignment="1" applyProtection="1">
      <alignment horizontal="left"/>
      <protection locked="0"/>
    </xf>
    <xf numFmtId="0" fontId="186" fillId="0" borderId="1" xfId="21" applyFont="1" applyBorder="1" applyAlignment="1" applyProtection="1">
      <alignment horizontal="left"/>
      <protection locked="0"/>
    </xf>
    <xf numFmtId="0" fontId="21" fillId="0" borderId="1" xfId="21" applyFont="1" applyBorder="1" applyAlignment="1" applyProtection="1">
      <alignment horizontal="right"/>
      <protection locked="0"/>
    </xf>
    <xf numFmtId="196" fontId="21" fillId="0" borderId="1" xfId="21" applyNumberFormat="1" applyFont="1" applyBorder="1" applyAlignment="1" applyProtection="1">
      <alignment horizontal="right"/>
      <protection locked="0"/>
    </xf>
    <xf numFmtId="49" fontId="21" fillId="0" borderId="1" xfId="21" applyNumberFormat="1" applyFont="1" applyBorder="1" applyAlignment="1" applyProtection="1">
      <alignment horizontal="center"/>
      <protection locked="0"/>
    </xf>
    <xf numFmtId="49" fontId="21" fillId="0" borderId="1" xfId="21" applyNumberFormat="1" applyFont="1" applyBorder="1" applyAlignment="1" applyProtection="1">
      <alignment horizontal="left"/>
      <protection locked="0"/>
    </xf>
    <xf numFmtId="0" fontId="130" fillId="0" borderId="83" xfId="0" applyFont="1" applyBorder="1" applyAlignment="1" applyProtection="1">
      <alignment horizontal="center" vertical="center"/>
      <protection locked="0"/>
    </xf>
    <xf numFmtId="0" fontId="21" fillId="0" borderId="0" xfId="21" applyFont="1" applyAlignment="1">
      <alignment horizontal="center" vertical="center"/>
    </xf>
    <xf numFmtId="0" fontId="21" fillId="0" borderId="0" xfId="21" applyFont="1" applyAlignment="1" applyProtection="1">
      <alignment horizontal="center" vertical="center"/>
      <protection locked="0"/>
    </xf>
    <xf numFmtId="0" fontId="2" fillId="0" borderId="0" xfId="20" applyAlignment="1">
      <alignment horizontal="center" vertical="center"/>
    </xf>
    <xf numFmtId="14" fontId="2" fillId="0" borderId="0" xfId="20" applyNumberFormat="1">
      <alignment vertical="center"/>
    </xf>
    <xf numFmtId="0" fontId="46" fillId="9" borderId="5" xfId="0" applyFont="1" applyFill="1" applyBorder="1" applyAlignment="1">
      <alignment horizontal="center" vertical="center" wrapText="1"/>
    </xf>
    <xf numFmtId="0" fontId="60" fillId="9" borderId="48" xfId="0" applyFont="1" applyFill="1" applyBorder="1" applyAlignment="1" applyProtection="1">
      <alignment horizontal="center" vertical="center" wrapText="1"/>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210"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168" fillId="0" borderId="3"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2" xfId="21" xr:uid="{4A9DC4BA-678A-4949-B709-270087ED7A97}"/>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33</xdr:row>
      <xdr:rowOff>12389</xdr:rowOff>
    </xdr:from>
    <xdr:to>
      <xdr:col>18</xdr:col>
      <xdr:colOff>266700</xdr:colOff>
      <xdr:row>60</xdr:row>
      <xdr:rowOff>130641</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57150" y="5670239"/>
          <a:ext cx="12382500" cy="4747402"/>
        </a:xfrm>
        <a:prstGeom prst="rect">
          <a:avLst/>
        </a:prstGeom>
      </xdr:spPr>
    </xdr:pic>
    <xdr:clientData/>
  </xdr:twoCellAnchor>
  <xdr:twoCellAnchor editAs="oneCell">
    <xdr:from>
      <xdr:col>0</xdr:col>
      <xdr:colOff>1</xdr:colOff>
      <xdr:row>0</xdr:row>
      <xdr:rowOff>0</xdr:rowOff>
    </xdr:from>
    <xdr:to>
      <xdr:col>19</xdr:col>
      <xdr:colOff>257176</xdr:colOff>
      <xdr:row>34</xdr:row>
      <xdr:rowOff>37101</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 y="0"/>
          <a:ext cx="13106400" cy="5866401"/>
        </a:xfrm>
        <a:prstGeom prst="rect">
          <a:avLst/>
        </a:prstGeom>
      </xdr:spPr>
    </xdr:pic>
    <xdr:clientData/>
  </xdr:twoCellAnchor>
  <xdr:twoCellAnchor editAs="oneCell">
    <xdr:from>
      <xdr:col>0</xdr:col>
      <xdr:colOff>0</xdr:colOff>
      <xdr:row>75</xdr:row>
      <xdr:rowOff>0</xdr:rowOff>
    </xdr:from>
    <xdr:to>
      <xdr:col>17</xdr:col>
      <xdr:colOff>293943</xdr:colOff>
      <xdr:row>120</xdr:row>
      <xdr:rowOff>46590</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3716000"/>
          <a:ext cx="10657143" cy="8276190"/>
        </a:xfrm>
        <a:prstGeom prst="rect">
          <a:avLst/>
        </a:prstGeom>
      </xdr:spPr>
    </xdr:pic>
    <xdr:clientData/>
  </xdr:twoCellAnchor>
  <xdr:twoCellAnchor editAs="oneCell">
    <xdr:from>
      <xdr:col>19</xdr:col>
      <xdr:colOff>421796</xdr:colOff>
      <xdr:row>2</xdr:row>
      <xdr:rowOff>38100</xdr:rowOff>
    </xdr:from>
    <xdr:to>
      <xdr:col>32</xdr:col>
      <xdr:colOff>122365</xdr:colOff>
      <xdr:row>15</xdr:row>
      <xdr:rowOff>66296</xdr:rowOff>
    </xdr:to>
    <xdr:pic>
      <xdr:nvPicPr>
        <xdr:cNvPr id="5" name="图片 4">
          <a:extLst>
            <a:ext uri="{FF2B5EF4-FFF2-40B4-BE49-F238E27FC236}">
              <a16:creationId xmlns:a16="http://schemas.microsoft.com/office/drawing/2014/main" id="{DFCCE64B-70C7-5DCE-1C88-C68F8843B0F9}"/>
            </a:ext>
          </a:extLst>
        </xdr:cNvPr>
        <xdr:cNvPicPr>
          <a:picLocks noChangeAspect="1"/>
        </xdr:cNvPicPr>
      </xdr:nvPicPr>
      <xdr:blipFill>
        <a:blip xmlns:r="http://schemas.openxmlformats.org/officeDocument/2006/relationships" r:embed="rId4"/>
        <a:stretch>
          <a:fillRect/>
        </a:stretch>
      </xdr:blipFill>
      <xdr:spPr>
        <a:xfrm>
          <a:off x="13271021" y="381000"/>
          <a:ext cx="8701694" cy="2257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4-1-0928&#20891;&#38431;-&#30495;&#27494;&#24217;\&#21103;&#26412;&#27979;&#31639;&#8212;&#8212;&#22522;&#20934;&#22320;&#20215;-&#20108;&#23457;&#25913;2.6.xlsx" TargetMode="External"/><Relationship Id="rId1" Type="http://schemas.openxmlformats.org/officeDocument/2006/relationships/externalLinkPath" Target="&#21103;&#26412;&#27979;&#31639;&#8212;&#8212;&#22522;&#20934;&#22320;&#20215;-&#20108;&#23457;&#25913;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ow r="29">
          <cell r="E29">
            <v>2222514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sf.fang.com/newsecond/news/13197669_3.htm"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估价对象为北京市房地产，为所有。根据《国有土地使用证》[]，估价对象（分摊）出让国有建设用地使用权面积为0平方米，建筑面积为68.7平方米。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估价对象为北京市房地产,属开发建设的，该项目尚在开发建设中。根据《国有土地使用证》[]，估价对象（分摊）出让国有建设用地使用权面积为0平方米，规划建筑面积为68.7平方米。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2014年4月14日</v>
      </c>
    </row>
    <row r="13" spans="1:2">
      <c r="A13" s="1118" t="s">
        <v>529</v>
      </c>
      <c r="B13" s="1119" t="str">
        <f>'预评函-1'!A18</f>
        <v>本次估价的“房地产价值”是指在正常市场情况下，在价值时点2014年4月14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68.7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9"/>
      <c r="B54" s="1446" t="s">
        <v>385</v>
      </c>
      <c r="C54" s="1444" t="s">
        <v>583</v>
      </c>
    </row>
    <row r="55" spans="1:4">
      <c r="A55" s="3289"/>
      <c r="B55" s="1446" t="s">
        <v>386</v>
      </c>
      <c r="C55" s="1444" t="s">
        <v>584</v>
      </c>
    </row>
    <row r="56" spans="1:4">
      <c r="A56" s="3289"/>
      <c r="B56" s="1446" t="s">
        <v>387</v>
      </c>
      <c r="C56" s="1444" t="s">
        <v>588</v>
      </c>
    </row>
    <row r="57" spans="1:4">
      <c r="A57" s="328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90" t="s">
        <v>2582</v>
      </c>
      <c r="J2" s="3290"/>
      <c r="K2" s="3290"/>
      <c r="L2" s="3290"/>
      <c r="M2" s="3290"/>
      <c r="N2" s="3290"/>
      <c r="O2" s="3290"/>
      <c r="P2" s="3290"/>
      <c r="Q2" s="3290"/>
      <c r="R2" s="3290"/>
    </row>
    <row r="3" spans="1:18">
      <c r="A3" s="2760" t="s">
        <v>2503</v>
      </c>
      <c r="B3" s="2761">
        <f>项目基本情况!D3</f>
        <v>41743</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12.69</v>
      </c>
      <c r="D5" s="2765">
        <f>IF(ISERROR(ROUND(POWER(1+E5,A5-C5)*(POWER(1+E5,C5)-1)/(POWER(1+E5,A5)-1),3)),0,ROUND(POWER(1+E5,A5-C5)*(POWER(1+E5,C5)-1)/(POWER(1+E5,A5)-1),4))</f>
        <v>0.49519999999999997</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22.69</v>
      </c>
      <c r="D6" s="2765">
        <f>IF(ISERROR(ROUND(POWER(1+E6,A6-C6)*(POWER(1+E6,C6)-1)/(POWER(1+E6,A6)-1),3)),0,ROUND(POWER(1+E6,A6-C6)*(POWER(1+E6,C6)-1)/(POWER(1+E6,A6)-1),4))</f>
        <v>0.68579999999999997</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42.71</v>
      </c>
      <c r="D7" s="2765">
        <f>IF(ISERROR(ROUND(POWER(1+E7,A7-C7)*(POWER(1+E7,C7)-1)/(POWER(1+E7,A7)-1),3)),0,ROUND(POWER(1+E7,A7-C7)*(POWER(1+E7,C7)-1)/(POWER(1+E7,A7)-1),4))</f>
        <v>0.86850000000000005</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91" t="str">
        <f>IF(B10="北京市","北京市",C10)&amp;F10&amp;IF(结果表!G1="在建","出让国有建设用地使用权及在建建筑物",IF(结果表!G1="土地","出让国有建设用地使用权",))&amp;B9&amp;"预评估"</f>
        <v>北京市房地产市场价值预评估</v>
      </c>
      <c r="C1" s="3292"/>
      <c r="D1" s="3292"/>
      <c r="E1" s="3292"/>
      <c r="F1" s="3292"/>
      <c r="G1" s="3292"/>
      <c r="H1" s="3292"/>
      <c r="I1" s="3293"/>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41743</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94"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95"/>
      <c r="E9" s="2203"/>
      <c r="F9" s="2205"/>
      <c r="G9" s="2440"/>
      <c r="H9" s="2440"/>
      <c r="I9" s="2440"/>
      <c r="J9" s="2242"/>
      <c r="K9" s="2399"/>
      <c r="L9" s="2396"/>
      <c r="M9" s="2396"/>
      <c r="N9" s="2242"/>
      <c r="O9" s="1669"/>
      <c r="P9" s="2242"/>
      <c r="Q9" s="2242"/>
      <c r="R9" s="2242"/>
    </row>
    <row r="10" spans="1:30" ht="36.75" thickTop="1">
      <c r="A10" s="2206" t="s">
        <v>2179</v>
      </c>
      <c r="B10" s="2207" t="s">
        <v>3387</v>
      </c>
      <c r="C10" s="3148" t="s">
        <v>3414</v>
      </c>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69257</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301"/>
      <c r="C16" s="3302"/>
      <c r="D16" s="3303"/>
      <c r="E16" s="2219" t="s">
        <v>2194</v>
      </c>
      <c r="F16" s="3304"/>
      <c r="G16" s="3305"/>
      <c r="H16" s="3305"/>
      <c r="I16" s="3306"/>
      <c r="J16" s="2242"/>
      <c r="K16" s="2400"/>
      <c r="L16" s="1669"/>
      <c r="M16" s="1669"/>
      <c r="N16" s="2242"/>
      <c r="O16" s="1669"/>
      <c r="P16" s="2242"/>
      <c r="Q16" s="2242"/>
      <c r="R16" s="2242"/>
    </row>
    <row r="17" spans="1:28">
      <c r="A17" s="305" t="s">
        <v>2195</v>
      </c>
      <c r="B17" s="294" t="s">
        <v>2196</v>
      </c>
      <c r="C17" s="8">
        <f>'数据-汇总表'!E3</f>
        <v>68.7</v>
      </c>
      <c r="D17" s="1255" t="s">
        <v>2197</v>
      </c>
      <c r="E17" s="3307" t="s">
        <v>2198</v>
      </c>
      <c r="F17" s="3308"/>
      <c r="G17" s="3308"/>
      <c r="H17" s="3308"/>
      <c r="I17" s="3309"/>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310" t="s">
        <v>2202</v>
      </c>
      <c r="F18" s="3311"/>
      <c r="G18" s="3311"/>
      <c r="H18" s="3311"/>
      <c r="I18" s="3312"/>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97" t="s">
        <v>2206</v>
      </c>
      <c r="C20" s="3298"/>
      <c r="D20" s="3299" t="s">
        <v>2207</v>
      </c>
      <c r="E20" s="3300"/>
      <c r="F20" s="2427" t="s">
        <v>1056</v>
      </c>
      <c r="G20" s="2439"/>
      <c r="H20" s="2439"/>
      <c r="I20" s="2439"/>
      <c r="J20" s="2242"/>
      <c r="K20" s="329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9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9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314"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314"/>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314"/>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315"/>
      <c r="B30" s="294" t="s">
        <v>2218</v>
      </c>
      <c r="C30" s="3316"/>
      <c r="D30" s="3317"/>
      <c r="E30" s="2439"/>
      <c r="F30" s="2439"/>
      <c r="G30" s="2439"/>
      <c r="H30" s="2439"/>
      <c r="I30" s="2439"/>
      <c r="J30" s="2242"/>
      <c r="K30" s="2399"/>
      <c r="L30" s="2396"/>
      <c r="M30" s="2396"/>
      <c r="N30" s="2242"/>
      <c r="O30" s="1669"/>
      <c r="P30" s="2242"/>
      <c r="Q30" s="2242"/>
      <c r="R30" s="2242"/>
      <c r="S30" s="2242"/>
      <c r="T30" s="2242"/>
      <c r="U30" s="2242"/>
      <c r="V30" s="2242"/>
    </row>
    <row r="31" spans="1:28">
      <c r="A31" s="3318"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319"/>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319"/>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313" t="s">
        <v>2228</v>
      </c>
      <c r="T34" s="315" t="str">
        <f>NUMBERSTRING(7-K34,1)&amp;"通"</f>
        <v>七通</v>
      </c>
      <c r="U34" s="2242"/>
      <c r="V34" s="2242"/>
    </row>
    <row r="35" spans="1:30" ht="38.25">
      <c r="A35" s="2233"/>
      <c r="B35" s="3313" t="s">
        <v>2229</v>
      </c>
      <c r="C35" s="3313"/>
      <c r="D35" s="3313"/>
      <c r="E35" s="3313"/>
      <c r="F35" s="8" t="str">
        <f>C10</f>
        <v xml:space="preserve">西城区真武庙二里甲9号楼17层1707 </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3"/>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68.7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68.7</v>
      </c>
      <c r="H5" s="13">
        <f t="shared" ref="H5:AT5" si="0">SUM(H13:H656)</f>
        <v>68.7</v>
      </c>
      <c r="I5" s="13">
        <f t="shared" si="0"/>
        <v>68.7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68.7</v>
      </c>
      <c r="BA5" s="15">
        <f t="shared" si="1"/>
        <v>68.7</v>
      </c>
      <c r="BB5" s="15">
        <f t="shared" si="1"/>
        <v>68.7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68.7</v>
      </c>
      <c r="H13" s="17">
        <f>SUMIF(I$12:AB$12,"总值",I13:AB13)</f>
        <v>68.7</v>
      </c>
      <c r="I13" s="1513">
        <v>68.7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68.7</v>
      </c>
      <c r="BA13" s="13">
        <f>SUM(BB13:BK13)</f>
        <v>68.7</v>
      </c>
      <c r="BB13" s="13">
        <f>IF($D13="是",I13-J13,0)</f>
        <v>68.7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29" t="s">
        <v>1131</v>
      </c>
      <c r="B2" s="3329"/>
      <c r="C2" s="3329"/>
      <c r="D2" s="748" t="s">
        <v>1107</v>
      </c>
      <c r="E2" s="1522" t="s">
        <v>1108</v>
      </c>
      <c r="F2" s="2436"/>
      <c r="G2" s="2429"/>
      <c r="H2" s="2430"/>
      <c r="I2" s="2144" t="s">
        <v>1132</v>
      </c>
      <c r="J2" s="2436"/>
      <c r="K2" s="2436"/>
      <c r="L2" s="2436"/>
      <c r="M2" s="2436"/>
      <c r="N2" s="2437"/>
      <c r="O2" s="2436"/>
      <c r="P2" s="2436"/>
    </row>
    <row r="3" spans="1:16" ht="15.75" thickBot="1">
      <c r="A3" s="3330" t="s">
        <v>1105</v>
      </c>
      <c r="B3" s="3330"/>
      <c r="C3" s="3330"/>
      <c r="D3" s="41">
        <f>'数据-基础表'!AY6</f>
        <v>0</v>
      </c>
      <c r="E3" s="41">
        <f>'数据-基础表'!AZ5</f>
        <v>68.7</v>
      </c>
      <c r="F3" s="2436"/>
      <c r="G3" s="42"/>
      <c r="H3" s="43" t="s">
        <v>1106</v>
      </c>
      <c r="I3" s="802" t="e">
        <f>ROUND('数据-基础表'!B3/'数据-基础表'!A3,2)</f>
        <v>#DIV/0!</v>
      </c>
      <c r="J3" s="2436"/>
      <c r="K3" s="2436"/>
      <c r="L3" s="2436"/>
      <c r="M3" s="2436"/>
      <c r="N3" s="2437"/>
      <c r="O3" s="2436"/>
      <c r="P3" s="2436"/>
    </row>
    <row r="4" spans="1:16" ht="15">
      <c r="A4" s="3331"/>
      <c r="B4" s="3332"/>
      <c r="C4" s="3333"/>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334" t="s">
        <v>1110</v>
      </c>
      <c r="C5" s="3334"/>
      <c r="D5" s="43">
        <f>ROUND($D$3*E5/$E$3,2)</f>
        <v>0</v>
      </c>
      <c r="E5" s="44">
        <f>SUMIF('数据-基础表'!$11:$11,"住宅",'数据-基础表'!$5:$5)</f>
        <v>68.7</v>
      </c>
      <c r="F5" s="2436"/>
      <c r="G5" s="42"/>
      <c r="H5" s="43" t="s">
        <v>1106</v>
      </c>
      <c r="I5" s="802" t="e">
        <f>ROUND(E31/D31,2)</f>
        <v>#DIV/0!</v>
      </c>
      <c r="J5" s="2436"/>
      <c r="K5" s="2436"/>
      <c r="L5" s="2436"/>
      <c r="M5" s="2436"/>
      <c r="N5" s="2436"/>
      <c r="O5" s="2436"/>
      <c r="P5" s="2436"/>
    </row>
    <row r="6" spans="1:16" ht="15" thickBot="1">
      <c r="A6" s="1526"/>
      <c r="B6" s="3334" t="s">
        <v>1111</v>
      </c>
      <c r="C6" s="3334"/>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326"/>
      <c r="B7" s="3327"/>
      <c r="C7" s="3328"/>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68.7</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68.7</v>
      </c>
      <c r="F16" s="2436"/>
      <c r="G16" s="2436"/>
      <c r="H16" s="1530" t="s">
        <v>1135</v>
      </c>
      <c r="I16" s="1531"/>
      <c r="J16" s="1071"/>
      <c r="K16" s="3323" t="s">
        <v>1135</v>
      </c>
      <c r="L16" s="3324"/>
      <c r="M16" s="3324"/>
      <c r="N16" s="3324"/>
      <c r="O16" s="3324"/>
      <c r="P16" s="3325"/>
    </row>
    <row r="17" spans="1:19" ht="15">
      <c r="A17" s="1532" t="s">
        <v>1136</v>
      </c>
      <c r="B17" s="1533" t="s">
        <v>1137</v>
      </c>
      <c r="C17" s="1534" t="s">
        <v>1138</v>
      </c>
      <c r="D17" s="1535" t="s">
        <v>1126</v>
      </c>
      <c r="E17" s="1536" t="s">
        <v>1127</v>
      </c>
      <c r="F17" s="1537"/>
      <c r="G17" s="1538"/>
      <c r="H17" s="1539" t="s">
        <v>1139</v>
      </c>
      <c r="I17" s="1540" t="s">
        <v>1124</v>
      </c>
      <c r="J17" s="1071"/>
      <c r="K17" s="3320" t="s">
        <v>1140</v>
      </c>
      <c r="L17" s="3321"/>
      <c r="M17" s="3322"/>
      <c r="N17" s="3320" t="s">
        <v>1141</v>
      </c>
      <c r="O17" s="3321"/>
      <c r="P17" s="3322"/>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68.7</v>
      </c>
      <c r="F19" s="2555">
        <f>'数据-基础表'!I13</f>
        <v>68.7</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68.7</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68.7</v>
      </c>
      <c r="F27" s="1072">
        <f>IF(SUM(F19:F26)=E8,SUM(F19:F26),"地上面积有误")</f>
        <v>68.7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68.7</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68.7</v>
      </c>
      <c r="F31" s="644">
        <f>F27+F30</f>
        <v>68.7</v>
      </c>
      <c r="G31" s="645">
        <f>G27+G30</f>
        <v>0</v>
      </c>
      <c r="H31" s="2436"/>
      <c r="I31" s="2436"/>
      <c r="J31" s="2436"/>
      <c r="K31" s="2436"/>
      <c r="L31" s="2436"/>
      <c r="M31" s="2436"/>
      <c r="N31" s="2436"/>
      <c r="O31" s="2436"/>
      <c r="P31" s="2436"/>
    </row>
    <row r="32" spans="1:19">
      <c r="A32" s="1525"/>
      <c r="B32" s="1525" t="s">
        <v>1159</v>
      </c>
      <c r="C32" s="1525"/>
      <c r="D32" s="1525"/>
      <c r="E32" s="990">
        <f>SUMIF(C19:C26,"*住宅*",E19:E26)</f>
        <v>68.7</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2"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41743</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69257</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68.7</v>
      </c>
      <c r="L6" s="692">
        <v>3000</v>
      </c>
      <c r="M6" s="64">
        <f t="shared" ref="M6:M14" si="0">ROUND(K6*L6/10000,0)</f>
        <v>21</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5000</v>
      </c>
      <c r="V6" s="67">
        <v>0.03</v>
      </c>
      <c r="W6" s="67">
        <v>0.1</v>
      </c>
      <c r="X6" s="979"/>
      <c r="Y6" s="68">
        <f>N6</f>
        <v>0.7</v>
      </c>
      <c r="Z6" s="69"/>
      <c r="AA6" s="63"/>
      <c r="AB6" s="63"/>
      <c r="AC6" s="979"/>
      <c r="AD6" s="70"/>
      <c r="AE6" s="980">
        <f ca="1">IF(AN6="",0,SUMIF(INDIRECT("'"&amp;AN6&amp;"'"&amp;"!E:E"),$AE$5,INDIRECT("'"&amp;AN6&amp;"'"&amp;"!F:F")))</f>
        <v>70</v>
      </c>
      <c r="AF6" s="74"/>
      <c r="AG6" s="130">
        <f>IF(AF6="",0,AE6-AF6)</f>
        <v>0</v>
      </c>
      <c r="AH6" s="71">
        <v>1</v>
      </c>
      <c r="AI6" s="73">
        <v>12</v>
      </c>
      <c r="AJ6" s="74"/>
      <c r="AK6" s="75">
        <v>2E-3</v>
      </c>
      <c r="AL6" s="76">
        <v>1E-3</v>
      </c>
      <c r="AM6" s="77">
        <v>0.01</v>
      </c>
      <c r="AN6" s="1588" t="s">
        <v>3415</v>
      </c>
      <c r="AO6" s="50">
        <f ca="1">SUMIF(INDIRECT("'"&amp;AN6&amp;"'"&amp;"!A:A"),"总价",INDIRECT("'"&amp;AN6&amp;"'"&amp;"!B:B"))</f>
        <v>190.1028</v>
      </c>
      <c r="AP6" s="1589">
        <f>IF(C6="住宅",K6*L6,0)</f>
        <v>206100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68.7</v>
      </c>
      <c r="L16" s="87">
        <f>ROUND(M16*10000/SUM(K6:K14),0)</f>
        <v>3057</v>
      </c>
      <c r="M16" s="87">
        <f>SUM(M6:M14)</f>
        <v>21</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ROUND(1-(1-2%)*(2014-1990)/50,2)</f>
        <v>0.53</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0.85</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 (元)'!C9</f>
        <v>10992</v>
      </c>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0.05</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6.1500000000000006E-2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335" t="s">
        <v>2286</v>
      </c>
      <c r="B1" s="3336"/>
      <c r="C1" s="3336"/>
      <c r="D1" s="3336"/>
      <c r="E1" s="3336"/>
      <c r="F1" s="3336"/>
      <c r="G1" s="333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68.7</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41743</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373.02726000000001</v>
      </c>
      <c r="C5" s="2297" t="e">
        <f ca="1">IF(B5=D14,结果表!H102,ROUND(B5*10000/$B$1,0))</f>
        <v>#VALUE!</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68.7</v>
      </c>
      <c r="C14" s="2303"/>
      <c r="D14" s="2303">
        <f ca="1">E14*B14/10000</f>
        <v>373.02726000000001</v>
      </c>
      <c r="E14" s="2303">
        <f ca="1">结果表!G20</f>
        <v>54298</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404" t="str">
        <f>项目基本情况!S2</f>
        <v>北京市房地产</v>
      </c>
      <c r="B2" s="3405"/>
      <c r="C2" s="3405"/>
      <c r="D2" s="3405"/>
      <c r="E2" s="3405"/>
      <c r="F2" s="3405"/>
      <c r="G2" s="3405"/>
      <c r="H2" s="3405"/>
      <c r="I2" s="3406"/>
    </row>
    <row r="3" spans="1:12" ht="12.75">
      <c r="A3" s="3408" t="s">
        <v>1264</v>
      </c>
      <c r="B3" s="3409"/>
      <c r="C3" s="3409"/>
      <c r="D3" s="3409"/>
      <c r="E3" s="3409"/>
      <c r="F3" s="3409"/>
      <c r="G3" s="3409"/>
      <c r="H3" s="3409"/>
      <c r="I3" s="3409"/>
    </row>
    <row r="4" spans="1:12" ht="14.25">
      <c r="A4" s="1623" t="s">
        <v>1265</v>
      </c>
      <c r="B4" s="1624" t="s">
        <v>1266</v>
      </c>
      <c r="C4" s="1625" t="s">
        <v>3417</v>
      </c>
      <c r="D4" s="1625" t="s">
        <v>3397</v>
      </c>
      <c r="E4" s="3413" t="s">
        <v>1267</v>
      </c>
      <c r="F4" s="3414"/>
      <c r="G4" s="3414"/>
      <c r="H4" s="3414"/>
      <c r="I4" s="341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52" t="s">
        <v>1268</v>
      </c>
      <c r="B5" s="3407">
        <v>25</v>
      </c>
      <c r="C5" s="3410">
        <v>4</v>
      </c>
      <c r="D5" s="3398">
        <f>10-C5</f>
        <v>6</v>
      </c>
      <c r="E5" s="123" t="s">
        <v>1269</v>
      </c>
      <c r="F5" s="1626"/>
      <c r="G5" s="1626"/>
      <c r="H5" s="1626"/>
      <c r="I5" s="1280"/>
    </row>
    <row r="6" spans="1:12" ht="12.75">
      <c r="A6" s="3352"/>
      <c r="B6" s="3407"/>
      <c r="C6" s="3412"/>
      <c r="D6" s="3398"/>
      <c r="E6" s="123" t="s">
        <v>1270</v>
      </c>
      <c r="F6" s="1626"/>
      <c r="G6" s="1626"/>
      <c r="H6" s="1626"/>
      <c r="I6" s="1280"/>
    </row>
    <row r="7" spans="1:12" ht="12.75">
      <c r="A7" s="3352"/>
      <c r="B7" s="3407"/>
      <c r="C7" s="3411"/>
      <c r="D7" s="3398"/>
      <c r="E7" s="123" t="s">
        <v>1271</v>
      </c>
      <c r="F7" s="1626"/>
      <c r="G7" s="1626"/>
      <c r="H7" s="1626"/>
      <c r="I7" s="1280"/>
    </row>
    <row r="8" spans="1:12" ht="12.75">
      <c r="A8" s="3352" t="s">
        <v>1272</v>
      </c>
      <c r="B8" s="3407">
        <v>15</v>
      </c>
      <c r="C8" s="3410"/>
      <c r="D8" s="3398"/>
      <c r="E8" s="123" t="s">
        <v>1273</v>
      </c>
      <c r="F8" s="1626"/>
      <c r="G8" s="1626"/>
      <c r="H8" s="1626"/>
      <c r="I8" s="1280"/>
    </row>
    <row r="9" spans="1:12" ht="12.75">
      <c r="A9" s="3352"/>
      <c r="B9" s="3407"/>
      <c r="C9" s="3411"/>
      <c r="D9" s="3398"/>
      <c r="E9" s="123" t="s">
        <v>1274</v>
      </c>
      <c r="F9" s="1626"/>
      <c r="G9" s="1626"/>
      <c r="H9" s="1626"/>
      <c r="I9" s="1280"/>
    </row>
    <row r="10" spans="1:12" ht="12.75">
      <c r="A10" s="3352" t="s">
        <v>1275</v>
      </c>
      <c r="B10" s="3407">
        <v>15</v>
      </c>
      <c r="C10" s="3410"/>
      <c r="D10" s="3398"/>
      <c r="E10" s="123" t="s">
        <v>1276</v>
      </c>
      <c r="F10" s="1626"/>
      <c r="G10" s="1626"/>
      <c r="H10" s="1626"/>
      <c r="I10" s="1280"/>
    </row>
    <row r="11" spans="1:12" ht="12.75">
      <c r="A11" s="3352"/>
      <c r="B11" s="3407"/>
      <c r="C11" s="3411"/>
      <c r="D11" s="3398"/>
      <c r="E11" s="123" t="s">
        <v>1277</v>
      </c>
      <c r="F11" s="1626"/>
      <c r="G11" s="1626"/>
      <c r="H11" s="1626"/>
      <c r="I11" s="1280"/>
    </row>
    <row r="12" spans="1:12" ht="12.75">
      <c r="A12" s="3352" t="s">
        <v>1278</v>
      </c>
      <c r="B12" s="3407">
        <v>15</v>
      </c>
      <c r="C12" s="3410"/>
      <c r="D12" s="3398"/>
      <c r="E12" s="123" t="s">
        <v>1279</v>
      </c>
      <c r="F12" s="1626"/>
      <c r="G12" s="1626"/>
      <c r="H12" s="1626"/>
      <c r="I12" s="1280"/>
    </row>
    <row r="13" spans="1:12" ht="12.75">
      <c r="A13" s="3352"/>
      <c r="B13" s="3407"/>
      <c r="C13" s="3411"/>
      <c r="D13" s="3398"/>
      <c r="E13" s="123" t="s">
        <v>1280</v>
      </c>
      <c r="F13" s="1626"/>
      <c r="G13" s="1626"/>
      <c r="H13" s="1626"/>
      <c r="I13" s="1280"/>
    </row>
    <row r="14" spans="1:12" ht="12.75">
      <c r="A14" s="3352" t="s">
        <v>1281</v>
      </c>
      <c r="B14" s="3407">
        <v>30</v>
      </c>
      <c r="C14" s="3410"/>
      <c r="D14" s="3398"/>
      <c r="E14" s="123" t="s">
        <v>1282</v>
      </c>
      <c r="F14" s="1626"/>
      <c r="G14" s="1626"/>
      <c r="H14" s="1626"/>
      <c r="I14" s="1280"/>
    </row>
    <row r="15" spans="1:12" ht="12.75">
      <c r="A15" s="3352"/>
      <c r="B15" s="3407"/>
      <c r="C15" s="3412"/>
      <c r="D15" s="3398"/>
      <c r="E15" s="123" t="s">
        <v>1283</v>
      </c>
      <c r="F15" s="1626"/>
      <c r="G15" s="1626"/>
      <c r="H15" s="1626"/>
      <c r="I15" s="1280"/>
    </row>
    <row r="16" spans="1:12" ht="12.75">
      <c r="A16" s="3352"/>
      <c r="B16" s="3407"/>
      <c r="C16" s="3411"/>
      <c r="D16" s="3398"/>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429" t="s">
        <v>2131</v>
      </c>
      <c r="F18" s="3430"/>
      <c r="G18" s="3430"/>
      <c r="H18" s="3430"/>
      <c r="I18" s="3430"/>
      <c r="K18" s="294" t="s">
        <v>1289</v>
      </c>
      <c r="L18" s="294">
        <f>IF(C1="",'数据-汇总表'!E3,SUMIF(项目类型,C1,'数据-汇总表'!E17:E26)+SUMIF(项目类型,C1,'数据-汇总表'!I17:I26))</f>
        <v>68.7</v>
      </c>
      <c r="M18" s="294">
        <f>IF(C1="",'数据-汇总表'!E3,SUMIF(项目类型,C1,'数据-汇总表'!E17:E26))</f>
        <v>68.7</v>
      </c>
    </row>
    <row r="19" spans="1:36" ht="15">
      <c r="A19" s="1629" t="s">
        <v>1290</v>
      </c>
      <c r="B19" s="1630" t="s">
        <v>1291</v>
      </c>
      <c r="C19" s="126">
        <f ca="1">SUMIF(INDIRECT("'"&amp;C4&amp;"'"&amp;"!A:A"),结果表!B19,INDIRECT("'"&amp;C4&amp;"'"&amp;"!B:B"))</f>
        <v>340.29399999999998</v>
      </c>
      <c r="D19" s="127">
        <f ca="1">SUMIF(INDIRECT("'"&amp;D4&amp;"'"&amp;"!A:A"),结果表!B19,INDIRECT("'"&amp;D4&amp;"'"&amp;"!B:B"))</f>
        <v>394.84640000000002</v>
      </c>
      <c r="E19" s="1629" t="s">
        <v>1292</v>
      </c>
      <c r="F19" s="1630" t="s">
        <v>1291</v>
      </c>
      <c r="G19" s="128">
        <f ca="1">ROUND(C19*$C$18+D19*$D$18,0)</f>
        <v>373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49533</v>
      </c>
      <c r="D20" s="130">
        <f ca="1">SUMIF(INDIRECT("'"&amp;D4&amp;"'"&amp;"!A:A"),结果表!B20,INDIRECT("'"&amp;D4&amp;"'"&amp;"!B:B"))</f>
        <v>57474</v>
      </c>
      <c r="E20" s="1632"/>
      <c r="F20" s="43" t="s">
        <v>1295</v>
      </c>
      <c r="G20" s="131">
        <f ca="1">ROUND(C20*$C$18+D20*$D$18,0)</f>
        <v>54298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0.16030961462735172</v>
      </c>
      <c r="E22" s="121"/>
      <c r="F22" s="121"/>
      <c r="G22" s="121">
        <f ca="1">ROUND(G20*系统读取表!B14,0)</f>
        <v>3730273</v>
      </c>
      <c r="H22" s="121"/>
      <c r="I22" s="121"/>
    </row>
    <row r="23" spans="1:36" ht="13.5" thickBot="1">
      <c r="A23" s="646"/>
      <c r="B23" s="646"/>
      <c r="C23" s="646"/>
      <c r="D23" s="646"/>
      <c r="E23" s="121"/>
      <c r="F23" s="121"/>
      <c r="G23" s="121"/>
      <c r="H23" s="121"/>
      <c r="I23" s="121"/>
    </row>
    <row r="24" spans="1:36" ht="14.25">
      <c r="A24" s="3422" t="s">
        <v>1299</v>
      </c>
      <c r="B24" s="1630" t="s">
        <v>1291</v>
      </c>
      <c r="C24" s="128">
        <f>IF(B30=0,0,D30)</f>
        <v>0</v>
      </c>
      <c r="D24" s="1636"/>
      <c r="E24" s="121"/>
      <c r="F24" s="121"/>
      <c r="G24" s="121"/>
      <c r="H24" s="121"/>
      <c r="I24" s="121"/>
    </row>
    <row r="25" spans="1:36" ht="14.25">
      <c r="A25" s="342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54298</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99" t="s">
        <v>1312</v>
      </c>
      <c r="B36" s="1651" t="s">
        <v>1313</v>
      </c>
      <c r="C36" s="137"/>
      <c r="D36" s="1652"/>
      <c r="E36" s="1566"/>
      <c r="F36" s="1653"/>
      <c r="G36" s="121"/>
      <c r="H36" s="121"/>
      <c r="I36" s="121"/>
    </row>
    <row r="37" spans="1:15" ht="15.75" thickBot="1">
      <c r="A37" s="3400"/>
      <c r="B37" s="1554" t="s">
        <v>1314</v>
      </c>
      <c r="C37" s="139"/>
      <c r="D37" s="1071"/>
      <c r="E37" s="1071"/>
      <c r="F37" s="1653"/>
      <c r="G37" s="121"/>
      <c r="H37" s="121"/>
      <c r="I37" s="121"/>
    </row>
    <row r="38" spans="1:15" ht="15.75" thickBot="1">
      <c r="A38" s="3401"/>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419" t="s">
        <v>1326</v>
      </c>
      <c r="B45" s="3420"/>
      <c r="C45" s="3421"/>
      <c r="D45" s="147" t="e">
        <f ca="1">ROUND(H101*F45,0)</f>
        <v>#REF!</v>
      </c>
      <c r="E45" s="148" t="s">
        <v>1327</v>
      </c>
      <c r="F45" s="149">
        <v>1</v>
      </c>
      <c r="G45" s="150" t="s">
        <v>1328</v>
      </c>
      <c r="H45" s="121"/>
      <c r="I45" s="121"/>
      <c r="J45" s="3339" t="s">
        <v>1329</v>
      </c>
      <c r="K45" s="3339"/>
      <c r="L45" s="3339"/>
      <c r="M45" s="3339"/>
      <c r="N45" s="3339"/>
      <c r="O45" s="3339"/>
    </row>
    <row r="46" spans="1:15" ht="14.25" customHeight="1">
      <c r="A46" s="3416" t="s">
        <v>1330</v>
      </c>
      <c r="B46" s="3417"/>
      <c r="C46" s="3417"/>
      <c r="D46" s="3417"/>
      <c r="E46" s="3417"/>
      <c r="F46" s="3417"/>
      <c r="G46" s="3418"/>
      <c r="H46" s="1667"/>
      <c r="I46" s="151"/>
      <c r="J46" s="2307">
        <v>1</v>
      </c>
      <c r="K46" s="3340" t="s">
        <v>1331</v>
      </c>
      <c r="L46" s="3340"/>
      <c r="M46" s="3341"/>
      <c r="N46" s="3341"/>
      <c r="O46" s="3341"/>
    </row>
    <row r="47" spans="1:15" ht="12" customHeight="1">
      <c r="A47" s="152" t="s">
        <v>1332</v>
      </c>
      <c r="B47" s="153"/>
      <c r="C47" s="154"/>
      <c r="D47" s="1024" t="s">
        <v>1333</v>
      </c>
      <c r="E47" s="294" t="s">
        <v>1334</v>
      </c>
      <c r="F47" s="155" t="s">
        <v>1335</v>
      </c>
      <c r="G47" s="2330" t="s">
        <v>1336</v>
      </c>
      <c r="H47" s="2331"/>
      <c r="I47" s="151"/>
      <c r="J47" s="2307">
        <v>2</v>
      </c>
      <c r="K47" s="3340" t="s">
        <v>1337</v>
      </c>
      <c r="L47" s="3340"/>
      <c r="M47" s="3342">
        <f>'数据-取费表'!B2</f>
        <v>41743</v>
      </c>
      <c r="N47" s="3342"/>
      <c r="O47" s="3342"/>
    </row>
    <row r="48" spans="1:15" ht="25.5">
      <c r="A48" s="3402" t="s">
        <v>1338</v>
      </c>
      <c r="B48" s="3403"/>
      <c r="C48" s="3403"/>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40" t="s">
        <v>1340</v>
      </c>
      <c r="L48" s="3340"/>
      <c r="M48" s="3343" t="e">
        <f ca="1">H101</f>
        <v>#REF!</v>
      </c>
      <c r="N48" s="3343"/>
      <c r="O48" s="3343"/>
    </row>
    <row r="49" spans="1:35" ht="25.5" customHeight="1">
      <c r="A49" s="2150" t="s">
        <v>1341</v>
      </c>
      <c r="B49" s="3388" t="s">
        <v>1342</v>
      </c>
      <c r="C49" s="3388"/>
      <c r="D49" s="1477">
        <v>0</v>
      </c>
      <c r="E49" s="316" t="s">
        <v>1343</v>
      </c>
      <c r="F49" s="2230" t="s">
        <v>28</v>
      </c>
      <c r="G49" s="3371"/>
      <c r="H49" s="2132" t="s">
        <v>2134</v>
      </c>
      <c r="I49" s="2133"/>
      <c r="J49" s="2307">
        <v>4</v>
      </c>
      <c r="K49" s="3340" t="str">
        <f>IF(项目基本情况!E8="房地产抵押价值","房地产抵押价值","抵押担保权已注销时的房地产抵押价值")</f>
        <v>抵押担保权已注销时的房地产抵押价值</v>
      </c>
      <c r="L49" s="3340"/>
      <c r="M49" s="3343" t="str">
        <f>IF(项目基本情况!E8="房地产抵押价值",H107,H109)</f>
        <v>——</v>
      </c>
      <c r="N49" s="3343"/>
      <c r="O49" s="3343"/>
    </row>
    <row r="50" spans="1:35" ht="25.5" customHeight="1">
      <c r="A50" s="2335"/>
      <c r="B50" s="3388" t="s">
        <v>1344</v>
      </c>
      <c r="C50" s="3388"/>
      <c r="D50" s="2187"/>
      <c r="E50" s="323"/>
      <c r="F50" s="2230"/>
      <c r="G50" s="3372"/>
      <c r="H50" s="2134" t="s">
        <v>2135</v>
      </c>
      <c r="I50" s="2133"/>
      <c r="J50" s="3339" t="s">
        <v>1345</v>
      </c>
      <c r="K50" s="3339"/>
      <c r="L50" s="3339"/>
      <c r="M50" s="3339"/>
      <c r="N50" s="3339"/>
      <c r="O50" s="3339"/>
    </row>
    <row r="51" spans="1:35" ht="20.45" customHeight="1">
      <c r="A51" s="2336"/>
      <c r="B51" s="3388" t="s">
        <v>1346</v>
      </c>
      <c r="C51" s="3388"/>
      <c r="D51" s="1024"/>
      <c r="E51" s="319"/>
      <c r="F51" s="2230"/>
      <c r="G51" s="3373"/>
      <c r="H51" s="2134" t="s">
        <v>2136</v>
      </c>
      <c r="I51" s="2133"/>
      <c r="J51" s="2308" t="s">
        <v>1347</v>
      </c>
      <c r="K51" s="3340" t="s">
        <v>1348</v>
      </c>
      <c r="L51" s="3340"/>
      <c r="M51" s="2308" t="s">
        <v>1349</v>
      </c>
      <c r="N51" s="2308" t="s">
        <v>1350</v>
      </c>
      <c r="O51" s="2308" t="s">
        <v>1351</v>
      </c>
    </row>
    <row r="52" spans="1:35" ht="24" customHeight="1">
      <c r="A52" s="2151" t="s">
        <v>1352</v>
      </c>
      <c r="B52" s="3388" t="s">
        <v>1353</v>
      </c>
      <c r="C52" s="3388"/>
      <c r="D52" s="1024" t="e">
        <f ca="1">ROUND(D45*'数据-取费表'!B41/(1+'数据-取费表'!C42),0)</f>
        <v>#REF!</v>
      </c>
      <c r="E52" s="1255" t="s">
        <v>1354</v>
      </c>
      <c r="F52" s="2337">
        <f>'数据-取费表'!B41</f>
        <v>5.6000000000000001E-2</v>
      </c>
      <c r="G52" s="2338"/>
      <c r="H52" s="2328"/>
      <c r="I52" s="1668"/>
      <c r="J52" s="2307">
        <v>1</v>
      </c>
      <c r="K52" s="3365" t="s">
        <v>1355</v>
      </c>
      <c r="L52" s="3365"/>
      <c r="M52" s="2309" t="b">
        <f>D48</f>
        <v>0</v>
      </c>
      <c r="N52" s="2307" t="str">
        <f>E48</f>
        <v>销售额×税（费）率</v>
      </c>
      <c r="O52" s="2310">
        <f>F48</f>
        <v>5.6000000000000001E-2</v>
      </c>
    </row>
    <row r="53" spans="1:35" ht="12" customHeight="1">
      <c r="A53" s="2151" t="s">
        <v>1356</v>
      </c>
      <c r="B53" s="3389" t="s">
        <v>2291</v>
      </c>
      <c r="C53" s="3390"/>
      <c r="D53" s="1024" t="e">
        <f ca="1">ROUND(D45*'数据-取费表'!B41/(1+'数据-取费表'!C42),0)</f>
        <v>#REF!</v>
      </c>
      <c r="E53" s="1255" t="s">
        <v>1354</v>
      </c>
      <c r="F53" s="2337">
        <f>'数据-取费表'!B41</f>
        <v>5.6000000000000001E-2</v>
      </c>
      <c r="G53" s="2338"/>
      <c r="H53" s="2328"/>
      <c r="I53" s="1668"/>
      <c r="J53" s="2307">
        <v>2</v>
      </c>
      <c r="K53" s="3365" t="s">
        <v>1357</v>
      </c>
      <c r="L53" s="3365"/>
      <c r="M53" s="2309" t="e">
        <f t="shared" ref="M53:O54" ca="1" si="0">D55</f>
        <v>#REF!</v>
      </c>
      <c r="N53" s="2307" t="str">
        <f t="shared" si="0"/>
        <v>销售额×税（费）率</v>
      </c>
      <c r="O53" s="2310" t="str">
        <f t="shared" si="0"/>
        <v>免征</v>
      </c>
    </row>
    <row r="54" spans="1:35" ht="12" customHeight="1">
      <c r="A54" s="2151" t="s">
        <v>1358</v>
      </c>
      <c r="B54" s="3389" t="s">
        <v>2292</v>
      </c>
      <c r="C54" s="3390"/>
      <c r="D54" s="1024" t="e">
        <f ca="1">C68</f>
        <v>#REF!</v>
      </c>
      <c r="E54" s="319" t="s">
        <v>1359</v>
      </c>
      <c r="F54" s="2337">
        <f>'数据-取费表'!B41</f>
        <v>5.6000000000000001E-2</v>
      </c>
      <c r="G54" s="2338"/>
      <c r="H54" s="2339"/>
      <c r="I54" s="1668"/>
      <c r="J54" s="2307">
        <v>3</v>
      </c>
      <c r="K54" s="3365" t="s">
        <v>1360</v>
      </c>
      <c r="L54" s="3365"/>
      <c r="M54" s="2309" t="e">
        <f t="shared" ca="1" si="0"/>
        <v>#REF!</v>
      </c>
      <c r="N54" s="2307" t="str">
        <f t="shared" si="0"/>
        <v>增值额×税（费）率</v>
      </c>
      <c r="O54" s="2311" t="str">
        <f t="shared" si="0"/>
        <v>免征</v>
      </c>
    </row>
    <row r="55" spans="1:35" ht="24" customHeight="1">
      <c r="A55" s="3425" t="s">
        <v>1361</v>
      </c>
      <c r="B55" s="3403"/>
      <c r="C55" s="3403"/>
      <c r="D55" s="12" t="e">
        <f ca="1">IF(H55="个人住宅",0,ROUND(D45*I55,0))</f>
        <v>#REF!</v>
      </c>
      <c r="E55" s="1255" t="s">
        <v>1362</v>
      </c>
      <c r="F55" s="2337" t="str">
        <f>IF(H55="正常",I55,"免征")</f>
        <v>免征</v>
      </c>
      <c r="G55" s="2338"/>
      <c r="H55" s="2334"/>
      <c r="I55" s="157">
        <f>'数据-取费表'!B49</f>
        <v>5.0000000000000001E-4</v>
      </c>
      <c r="J55" s="2307">
        <f>IF(H59="非个人房产","",4)</f>
        <v>4</v>
      </c>
      <c r="K55" s="3365" t="str">
        <f>IF(H59="非个人房产","——","个人所得税")</f>
        <v>个人所得税</v>
      </c>
      <c r="L55" s="3365"/>
      <c r="M55" s="2312" t="e">
        <f ca="1">D59</f>
        <v>#REF!</v>
      </c>
      <c r="N55" s="1881" t="str">
        <f>E59</f>
        <v>差额计税</v>
      </c>
      <c r="O55" s="2313">
        <f>F59</f>
        <v>0.01</v>
      </c>
    </row>
    <row r="56" spans="1:35" ht="24.75">
      <c r="A56" s="3425" t="s">
        <v>1363</v>
      </c>
      <c r="B56" s="3403"/>
      <c r="C56" s="3403"/>
      <c r="D56" s="12" t="e">
        <f ca="1">IF(H56="个人住宅",D57,D58)</f>
        <v>#REF!</v>
      </c>
      <c r="E56" s="1255" t="s">
        <v>1364</v>
      </c>
      <c r="F56" s="2337" t="str">
        <f>IF(H56="正常",F58,"免征")</f>
        <v>免征</v>
      </c>
      <c r="G56" s="2340" t="s">
        <v>1365</v>
      </c>
      <c r="H56" s="2341"/>
      <c r="I56" s="1669"/>
      <c r="J56" s="2307" t="str">
        <f>IF(项目基本情况!K6="上海银行",IF(J55="",4,J55+1),"")</f>
        <v/>
      </c>
      <c r="K56" s="3346" t="str">
        <f>IF(项目基本情况!K6="上海银行","其他处置费用","")</f>
        <v/>
      </c>
      <c r="L56" s="3347"/>
      <c r="M56" s="2309" t="str">
        <f>IF(项目基本情况!K6="上海银行",M69,"")</f>
        <v/>
      </c>
      <c r="N56" s="3346" t="str">
        <f>IF(项目基本情况!K6="上海银行","包含处置中涉及的律师、诉讼、拍卖、评估等费用","")</f>
        <v/>
      </c>
      <c r="O56" s="3349"/>
    </row>
    <row r="57" spans="1:35" ht="12.75">
      <c r="A57" s="2151" t="s">
        <v>1341</v>
      </c>
      <c r="B57" s="3389" t="s">
        <v>1366</v>
      </c>
      <c r="C57" s="3390"/>
      <c r="D57" s="1477">
        <v>0</v>
      </c>
      <c r="E57" s="316" t="s">
        <v>1343</v>
      </c>
      <c r="F57" s="294"/>
      <c r="G57" s="2338"/>
      <c r="H57" s="2342"/>
      <c r="I57" s="1669"/>
      <c r="J57" s="3365">
        <f>IF(AND(J55="",J56=""),4,IF(项目基本情况!K6="上海银行",结果表!J56+1,结果表!J55+1))</f>
        <v>5</v>
      </c>
      <c r="K57" s="3365" t="s">
        <v>1367</v>
      </c>
      <c r="L57" s="2314" t="s">
        <v>1368</v>
      </c>
      <c r="M57" s="2315"/>
      <c r="N57" s="2316">
        <f ca="1">SUMIF(M52:M56,"&lt;9e307")</f>
        <v>0</v>
      </c>
      <c r="O57" s="2317"/>
      <c r="P57" s="2462" t="e">
        <f ca="1">N57/M49</f>
        <v>#VALUE!</v>
      </c>
    </row>
    <row r="58" spans="1:35" ht="24.75">
      <c r="A58" s="2151" t="s">
        <v>1352</v>
      </c>
      <c r="B58" s="3389" t="s">
        <v>1369</v>
      </c>
      <c r="C58" s="3388"/>
      <c r="D58" s="12" t="e">
        <f ca="1">IF(H58="转让取得",C81,C97)</f>
        <v>#REF!</v>
      </c>
      <c r="E58" s="1255" t="s">
        <v>1364</v>
      </c>
      <c r="F58" s="294" t="s">
        <v>28</v>
      </c>
      <c r="G58" s="2338"/>
      <c r="H58" s="2341"/>
      <c r="I58" s="1669"/>
      <c r="J58" s="3365"/>
      <c r="K58" s="3365"/>
      <c r="L58" s="2314" t="s">
        <v>1370</v>
      </c>
      <c r="M58" s="2318"/>
      <c r="N58" s="2319" t="str">
        <f ca="1">NUMBERSTRING(INT(N57*10000),2)&amp;"元整"</f>
        <v>零元整</v>
      </c>
      <c r="O58" s="2320"/>
    </row>
    <row r="59" spans="1:35" ht="24.75" thickBot="1">
      <c r="A59" s="3369" t="s">
        <v>1371</v>
      </c>
      <c r="B59" s="3370"/>
      <c r="C59" s="3370"/>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67">
        <f>J57+1</f>
        <v>6</v>
      </c>
      <c r="K59" s="3365" t="s">
        <v>1372</v>
      </c>
      <c r="L59" s="2307" t="s">
        <v>1368</v>
      </c>
      <c r="M59" s="2321"/>
      <c r="N59" s="2322" t="e">
        <f ca="1">M49-N57</f>
        <v>#VALUE!</v>
      </c>
      <c r="O59" s="2323"/>
    </row>
    <row r="60" spans="1:35" ht="12" customHeight="1">
      <c r="A60" s="1670"/>
      <c r="B60" s="646"/>
      <c r="C60" s="646"/>
      <c r="D60" s="646"/>
      <c r="E60" s="1465"/>
      <c r="F60" s="1669"/>
      <c r="G60" s="1669"/>
      <c r="H60" s="151"/>
      <c r="I60" s="121"/>
      <c r="J60" s="3368"/>
      <c r="K60" s="3365"/>
      <c r="L60" s="2314" t="s">
        <v>1370</v>
      </c>
      <c r="M60" s="2318"/>
      <c r="N60" s="2319" t="e">
        <f ca="1">NUMBERSTRING(INT(N59*10000),2)&amp;"元整"</f>
        <v>#VALUE!</v>
      </c>
      <c r="O60" s="2320"/>
    </row>
    <row r="61" spans="1:35" ht="13.5" thickBot="1">
      <c r="A61" s="3424" t="s">
        <v>1373</v>
      </c>
      <c r="B61" s="3424"/>
      <c r="C61" s="3424"/>
      <c r="D61" s="3424"/>
      <c r="E61" s="3424"/>
      <c r="F61" s="1669"/>
      <c r="G61" s="1669"/>
      <c r="H61" s="151"/>
      <c r="I61" s="121"/>
      <c r="J61" s="2307">
        <f>J59+1</f>
        <v>7</v>
      </c>
      <c r="K61" s="3365" t="s">
        <v>1374</v>
      </c>
      <c r="L61" s="3365"/>
      <c r="M61" s="2324"/>
      <c r="N61" s="2325" t="e">
        <f ca="1">ROUND(N59*10000/'数据-汇总表'!E3,0)</f>
        <v>#VALUE!</v>
      </c>
      <c r="O61" s="2326"/>
    </row>
    <row r="62" spans="1:35" ht="12.75">
      <c r="A62" s="3384" t="s">
        <v>1375</v>
      </c>
      <c r="B62" s="3385"/>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348"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48"/>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48"/>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48"/>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48"/>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348"/>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48"/>
      <c r="K69" s="1244" t="s">
        <v>1393</v>
      </c>
      <c r="L69" s="1244"/>
      <c r="M69" s="294" t="e">
        <f>ROUND(SUM(M63:M68),0)</f>
        <v>#VALUE!</v>
      </c>
      <c r="N69" s="2329" t="e">
        <f>M69/M49</f>
        <v>#VALUE!</v>
      </c>
      <c r="Z69" s="1622"/>
      <c r="AI69" s="1560"/>
    </row>
    <row r="70" spans="1:35" s="642" customFormat="1" ht="15" thickBot="1">
      <c r="A70" s="3392" t="s">
        <v>1394</v>
      </c>
      <c r="B70" s="3393"/>
      <c r="C70" s="3393"/>
      <c r="D70" s="3393"/>
      <c r="E70" s="3393"/>
      <c r="F70" s="3393"/>
      <c r="G70" s="3393"/>
      <c r="H70" s="339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84" t="s">
        <v>1375</v>
      </c>
      <c r="B71" s="3385"/>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89" t="s">
        <v>1402</v>
      </c>
      <c r="F76" s="3388"/>
      <c r="G76" s="3388"/>
      <c r="H76" s="339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381" t="s">
        <v>1406</v>
      </c>
      <c r="F78" s="3382"/>
      <c r="G78" s="3382"/>
      <c r="H78" s="338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92" t="s">
        <v>1410</v>
      </c>
      <c r="B83" s="3393"/>
      <c r="C83" s="3393"/>
      <c r="D83" s="3393"/>
      <c r="E83" s="3393"/>
      <c r="F83" s="3393"/>
      <c r="G83" s="3393"/>
      <c r="H83" s="339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84" t="s">
        <v>1375</v>
      </c>
      <c r="B84" s="3385"/>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350" t="s">
        <v>2129</v>
      </c>
      <c r="H90" s="3351"/>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81" t="s">
        <v>1419</v>
      </c>
      <c r="F91" s="3382"/>
      <c r="G91" s="338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81" t="s">
        <v>1422</v>
      </c>
      <c r="F92" s="3382"/>
      <c r="G92" s="3382"/>
      <c r="H92" s="3383"/>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381" t="s">
        <v>1406</v>
      </c>
      <c r="F93" s="3382"/>
      <c r="G93" s="3382"/>
      <c r="H93" s="338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426" t="s">
        <v>1426</v>
      </c>
      <c r="F94" s="3427"/>
      <c r="G94" s="3427"/>
      <c r="H94" s="342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31" t="s">
        <v>1428</v>
      </c>
      <c r="B100" s="3332"/>
      <c r="C100" s="3332"/>
      <c r="D100" s="3366"/>
      <c r="E100" s="3332" t="s">
        <v>1429</v>
      </c>
      <c r="F100" s="3332"/>
      <c r="G100" s="3332"/>
      <c r="H100" s="3366"/>
      <c r="I100" s="121"/>
    </row>
    <row r="101" spans="1:35" ht="18.75" customHeight="1">
      <c r="A101" s="3374" t="s">
        <v>1430</v>
      </c>
      <c r="B101" s="3375"/>
      <c r="C101" s="2368" t="str">
        <f>C4</f>
        <v>成本法 (元)</v>
      </c>
      <c r="D101" s="2369" t="str">
        <f>D4</f>
        <v>比较法-住宅</v>
      </c>
      <c r="E101" s="3344" t="s">
        <v>1431</v>
      </c>
      <c r="F101" s="3345"/>
      <c r="G101" s="1686" t="s">
        <v>1432</v>
      </c>
      <c r="H101" s="2378" t="e">
        <f ca="1">H118</f>
        <v>#REF!</v>
      </c>
      <c r="I101" s="121"/>
    </row>
    <row r="102" spans="1:35" ht="18.75" customHeight="1">
      <c r="A102" s="3376" t="s">
        <v>1433</v>
      </c>
      <c r="B102" s="2367" t="s">
        <v>1432</v>
      </c>
      <c r="C102" s="2368">
        <f ca="1">IF(D32="楼面单价",ROUND(C19,0),C19)</f>
        <v>340.29399999999998</v>
      </c>
      <c r="D102" s="2369">
        <f ca="1">IF(D32="楼面单价",ROUND(D19,0),D19)</f>
        <v>394.84640000000002</v>
      </c>
      <c r="E102" s="3344"/>
      <c r="F102" s="3345"/>
      <c r="G102" s="1686" t="s">
        <v>1434</v>
      </c>
      <c r="H102" s="2338" t="e">
        <f ca="1">I118</f>
        <v>#REF!</v>
      </c>
      <c r="I102" s="121"/>
    </row>
    <row r="103" spans="1:35" ht="42.75" customHeight="1">
      <c r="A103" s="3376"/>
      <c r="B103" s="2367" t="s">
        <v>1434</v>
      </c>
      <c r="C103" s="2370">
        <f ca="1">C20</f>
        <v>49533</v>
      </c>
      <c r="D103" s="2371">
        <f ca="1">D20</f>
        <v>57474</v>
      </c>
      <c r="E103" s="3337" t="s">
        <v>1435</v>
      </c>
      <c r="F103" s="3338"/>
      <c r="G103" s="1687" t="s">
        <v>1436</v>
      </c>
      <c r="H103" s="2378">
        <f>IF(D36="正常操作",H104+H105+H106,H105+H106)</f>
        <v>0</v>
      </c>
      <c r="I103" s="121"/>
    </row>
    <row r="104" spans="1:35" ht="18.75" customHeight="1">
      <c r="A104" s="3376"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86"/>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77" t="str">
        <f>IF(项目基本情况!E8="已注销","——","3.房地产抵押价值")</f>
        <v>3.房地产抵押价值</v>
      </c>
      <c r="F107" s="3345"/>
      <c r="G107" s="1686" t="s">
        <v>1432</v>
      </c>
      <c r="H107" s="2378" t="e">
        <f ca="1">IF(E107="——","——",H101-H103)</f>
        <v>#REF!</v>
      </c>
      <c r="I107" s="121"/>
    </row>
    <row r="108" spans="1:35" ht="18.75" customHeight="1">
      <c r="A108" s="121"/>
      <c r="B108" s="121"/>
      <c r="C108" s="121"/>
      <c r="D108" s="121"/>
      <c r="E108" s="3377"/>
      <c r="F108" s="3345"/>
      <c r="G108" s="1686" t="s">
        <v>1434</v>
      </c>
      <c r="H108" s="2338">
        <f ca="1">IF(H107=H101,H102,ROUND(H107*10000/'数据-汇总表'!E3,0))</f>
        <v>0</v>
      </c>
      <c r="I108" s="121"/>
    </row>
    <row r="109" spans="1:35" ht="18.75" customHeight="1">
      <c r="A109" s="121"/>
      <c r="B109" s="121"/>
      <c r="C109" s="121"/>
      <c r="D109" s="121"/>
      <c r="E109" s="3377" t="str">
        <f>IF(项目基本情况!E8="已注销及未注销","4.抵押担保权已注销时的房地产抵押价值",IF(项目基本情况!E8="已注销","3.抵押担保权已注销时的房地产抵押价值","——"))</f>
        <v>——</v>
      </c>
      <c r="F109" s="3345"/>
      <c r="G109" s="1686" t="s">
        <v>1432</v>
      </c>
      <c r="H109" s="2381" t="str">
        <f>IF(E109="——","——",H101-H105-H106)</f>
        <v>——</v>
      </c>
      <c r="I109" s="121"/>
    </row>
    <row r="110" spans="1:35" ht="18.75" customHeight="1">
      <c r="A110" s="121"/>
      <c r="B110" s="121"/>
      <c r="C110" s="121"/>
      <c r="D110" s="121"/>
      <c r="E110" s="3377"/>
      <c r="F110" s="3345"/>
      <c r="G110" s="1686" t="s">
        <v>1434</v>
      </c>
      <c r="H110" s="2338" t="str">
        <f>IF(H109="——","——",ROUND(H109*10000/'数据-汇总表'!E3,0))</f>
        <v>——</v>
      </c>
      <c r="I110" s="121"/>
    </row>
    <row r="111" spans="1:35" ht="18.75" customHeight="1">
      <c r="A111" s="121"/>
      <c r="B111" s="121"/>
      <c r="C111" s="121"/>
      <c r="D111" s="121"/>
      <c r="E111" s="3378" t="str">
        <f>IF(项目基本情况!E9="抵押净值",IF(OR(项目基本情况!E8="已注销",项目基本情况!E8="房地产抵押价值"),"4.抵押净值","5.抵押净值"),"——")</f>
        <v>——</v>
      </c>
      <c r="F111" s="3364"/>
      <c r="G111" s="1686" t="s">
        <v>1432</v>
      </c>
      <c r="H111" s="2378" t="str">
        <f>IF(E111="——","——",N59)</f>
        <v>——</v>
      </c>
      <c r="I111" s="121"/>
    </row>
    <row r="112" spans="1:35" ht="18.75" customHeight="1" thickBot="1">
      <c r="A112" s="121"/>
      <c r="B112" s="121"/>
      <c r="C112" s="121"/>
      <c r="D112" s="121"/>
      <c r="E112" s="3379"/>
      <c r="F112" s="3380"/>
      <c r="G112" s="1689" t="s">
        <v>1434</v>
      </c>
      <c r="H112" s="2382" t="str">
        <f>IF(E111="——","——",N61)</f>
        <v>——</v>
      </c>
      <c r="I112" s="121"/>
    </row>
    <row r="113" spans="1:27" ht="18.75" customHeight="1">
      <c r="A113" s="121"/>
      <c r="B113" s="121"/>
      <c r="C113" s="121"/>
      <c r="D113" s="121"/>
      <c r="E113" s="3387" t="s">
        <v>1440</v>
      </c>
      <c r="F113" s="3387"/>
      <c r="G113" s="3387"/>
      <c r="H113" s="3387"/>
      <c r="I113" s="121"/>
    </row>
    <row r="114" spans="1:27" ht="3.75" customHeight="1">
      <c r="A114" s="646"/>
      <c r="B114" s="646"/>
      <c r="C114" s="646"/>
      <c r="D114" s="646"/>
      <c r="E114" s="1670"/>
      <c r="F114" s="1670"/>
      <c r="G114" s="1670"/>
      <c r="H114" s="1670"/>
      <c r="I114" s="646"/>
    </row>
    <row r="115" spans="1:27" ht="18.75" customHeight="1">
      <c r="A115" s="3395" t="s">
        <v>1442</v>
      </c>
      <c r="B115" s="3396"/>
      <c r="C115" s="3396"/>
      <c r="D115" s="3396"/>
      <c r="E115" s="3396"/>
      <c r="F115" s="3396"/>
      <c r="G115" s="3396"/>
      <c r="H115" s="3396"/>
      <c r="I115" s="3397"/>
    </row>
    <row r="116" spans="1:27" ht="27" customHeight="1">
      <c r="A116" s="3352" t="s">
        <v>1443</v>
      </c>
      <c r="B116" s="3356" t="s">
        <v>1444</v>
      </c>
      <c r="C116" s="3356" t="s">
        <v>1445</v>
      </c>
      <c r="D116" s="3362" t="s">
        <v>1446</v>
      </c>
      <c r="E116" s="3363"/>
      <c r="F116" s="3394" t="s">
        <v>1447</v>
      </c>
      <c r="G116" s="3394"/>
      <c r="H116" s="3352" t="s">
        <v>1448</v>
      </c>
      <c r="I116" s="3352"/>
    </row>
    <row r="117" spans="1:27" ht="18.75" customHeight="1">
      <c r="A117" s="3352"/>
      <c r="B117" s="3357"/>
      <c r="C117" s="3357"/>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68.7</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52" t="s">
        <v>1452</v>
      </c>
      <c r="B119" s="3352"/>
      <c r="C119" s="3352"/>
      <c r="D119" s="3358" t="e">
        <f ca="1">NUMBERSTRING(INT(D118*10000),2)&amp;"元整"</f>
        <v>#REF!</v>
      </c>
      <c r="E119" s="3359"/>
      <c r="F119" s="3358" t="e">
        <f ca="1">NUMBERSTRING(INT(F118*10000),2)&amp;"元整"</f>
        <v>#REF!</v>
      </c>
      <c r="G119" s="3359"/>
      <c r="H119" s="3358" t="e">
        <f ca="1">NUMBERSTRING(INT(H118*10000),2)&amp;"元整"</f>
        <v>#REF!</v>
      </c>
      <c r="I119" s="3359"/>
    </row>
    <row r="120" spans="1:27" ht="18.75" customHeight="1">
      <c r="A120" s="3353" t="str">
        <f>IF(项目基本情况!B9="房地产市场价值","",MID(E103,3,LEN(E103)-2))</f>
        <v/>
      </c>
      <c r="B120" s="3354"/>
      <c r="C120" s="3355"/>
      <c r="D120" s="3353">
        <f>H103</f>
        <v>0</v>
      </c>
      <c r="E120" s="3354"/>
      <c r="F120" s="3354"/>
      <c r="G120" s="3354"/>
      <c r="H120" s="3354"/>
      <c r="I120" s="3355"/>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58" t="s">
        <v>1452</v>
      </c>
      <c r="B121" s="3360"/>
      <c r="C121" s="3359"/>
      <c r="D121" s="3358" t="str">
        <f>IF(D120=0,"零元整",NUMBERSTRING(INT(D120*10000),2)&amp;"元整")</f>
        <v>零元整</v>
      </c>
      <c r="E121" s="3360"/>
      <c r="F121" s="3360"/>
      <c r="G121" s="3360"/>
      <c r="H121" s="3360"/>
      <c r="I121" s="3359"/>
      <c r="AA121" s="684"/>
    </row>
    <row r="122" spans="1:27" ht="18.75" customHeight="1">
      <c r="A122" s="3364" t="str">
        <f>IF(项目基本情况!B9="房地产市场价值","",MID(E107,3,LEN(E107)-2))</f>
        <v/>
      </c>
      <c r="B122" s="3364"/>
      <c r="C122" s="3364"/>
      <c r="D122" s="3353" t="e">
        <f ca="1">H107</f>
        <v>#REF!</v>
      </c>
      <c r="E122" s="3354"/>
      <c r="F122" s="3354"/>
      <c r="G122" s="3354"/>
      <c r="H122" s="3354"/>
      <c r="I122" s="3355"/>
      <c r="AA122" s="684"/>
    </row>
    <row r="123" spans="1:27" ht="18.75" customHeight="1">
      <c r="A123" s="3352" t="s">
        <v>1452</v>
      </c>
      <c r="B123" s="3352"/>
      <c r="C123" s="3352"/>
      <c r="D123" s="3358" t="e">
        <f ca="1">NUMBERSTRING(INT(D122*10000),2)&amp;"元整"</f>
        <v>#REF!</v>
      </c>
      <c r="E123" s="3360"/>
      <c r="F123" s="3360"/>
      <c r="G123" s="3360"/>
      <c r="H123" s="3360"/>
      <c r="I123" s="3359"/>
      <c r="AA123" s="684"/>
    </row>
    <row r="124" spans="1:27" ht="18.75" customHeight="1">
      <c r="A124" s="3364" t="str">
        <f>IF(项目基本情况!B9="房地产市场价值","",MID(E109,3,LEN(E109)-2))</f>
        <v/>
      </c>
      <c r="B124" s="3364"/>
      <c r="C124" s="3364"/>
      <c r="D124" s="3353" t="str">
        <f>H109</f>
        <v>——</v>
      </c>
      <c r="E124" s="3354"/>
      <c r="F124" s="3354"/>
      <c r="G124" s="3354"/>
      <c r="H124" s="3354"/>
      <c r="I124" s="3355"/>
      <c r="AA124" s="684"/>
    </row>
    <row r="125" spans="1:27" ht="18.75" customHeight="1">
      <c r="A125" s="3352" t="s">
        <v>1452</v>
      </c>
      <c r="B125" s="3352"/>
      <c r="C125" s="3352"/>
      <c r="D125" s="3358" t="e">
        <f>NUMBERSTRING(INT(D124*10000),2)&amp;"元整"</f>
        <v>#VALUE!</v>
      </c>
      <c r="E125" s="3360"/>
      <c r="F125" s="3360"/>
      <c r="G125" s="3360"/>
      <c r="H125" s="3360"/>
      <c r="I125" s="3359"/>
      <c r="AA125" s="684"/>
    </row>
    <row r="126" spans="1:27" ht="18.75" customHeight="1">
      <c r="A126" s="3364" t="str">
        <f>IF(项目基本情况!B9="房地产市场价值","",MID(E111,3,LEN(E111)-2))</f>
        <v/>
      </c>
      <c r="B126" s="3364"/>
      <c r="C126" s="3364"/>
      <c r="D126" s="3353" t="str">
        <f>H111</f>
        <v>——</v>
      </c>
      <c r="E126" s="3354"/>
      <c r="F126" s="3354"/>
      <c r="G126" s="3354"/>
      <c r="H126" s="3354"/>
      <c r="I126" s="3355"/>
      <c r="AA126" s="684"/>
    </row>
    <row r="127" spans="1:27" ht="18.75" customHeight="1">
      <c r="A127" s="3352" t="s">
        <v>1452</v>
      </c>
      <c r="B127" s="3352"/>
      <c r="C127" s="3352"/>
      <c r="D127" s="3358" t="e">
        <f>NUMBERSTRING(INT(D126*10000),2)&amp;"元整"</f>
        <v>#VALUE!</v>
      </c>
      <c r="E127" s="3360"/>
      <c r="F127" s="3360"/>
      <c r="G127" s="3360"/>
      <c r="H127" s="3360"/>
      <c r="I127" s="3359"/>
      <c r="AA127" s="684"/>
    </row>
    <row r="128" spans="1:27" ht="21.75" customHeight="1">
      <c r="A128" s="3361" t="s">
        <v>1453</v>
      </c>
      <c r="B128" s="3361"/>
      <c r="C128" s="3361"/>
      <c r="D128" s="3361"/>
      <c r="E128" s="3361"/>
      <c r="F128" s="3361"/>
      <c r="G128" s="3361"/>
      <c r="H128" s="3361"/>
      <c r="I128" s="336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15226</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2216303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10992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10992</v>
      </c>
      <c r="D8" s="214"/>
      <c r="E8" s="212"/>
      <c r="F8" s="213"/>
      <c r="G8" s="1713"/>
    </row>
    <row r="9" spans="1:9" s="206" customFormat="1" ht="13.5" customHeight="1">
      <c r="A9" s="733" t="s">
        <v>355</v>
      </c>
      <c r="B9" s="216" t="s">
        <v>1478</v>
      </c>
      <c r="C9" s="217">
        <f ca="1">ROUND(D9*E9/10000,0)</f>
        <v>1</v>
      </c>
      <c r="D9" s="795">
        <f ca="1">IF(B1="",'数据-汇总表'!E5,IF(INDIRECT("'数据-取费表'!c"&amp;$G$1)="住宅",INDIRECT("'数据-取费表'!k"&amp;$G$1),0))</f>
        <v>68.7</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68.7</v>
      </c>
      <c r="E19" s="203">
        <f>'数据-取费表'!B31</f>
        <v>200</v>
      </c>
      <c r="F19" s="223"/>
      <c r="G19" s="1713"/>
    </row>
    <row r="20" spans="1:7" s="206" customFormat="1" ht="13.5" customHeight="1">
      <c r="A20" s="247" t="s">
        <v>1493</v>
      </c>
      <c r="B20" s="202" t="s">
        <v>1494</v>
      </c>
      <c r="C20" s="224">
        <f ca="1">ROUND((C5+C19)*F20,0)</f>
        <v>110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1401</v>
      </c>
      <c r="D22" s="227">
        <f ca="1">C26</f>
        <v>5.9999999999999995E-4</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1394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7</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1665</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1665</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15204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21</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68.7</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31" t="s">
        <v>1544</v>
      </c>
    </row>
    <row r="43" spans="1:7" ht="13.5" customHeight="1">
      <c r="A43" s="734" t="s">
        <v>347</v>
      </c>
      <c r="B43" s="207" t="s">
        <v>1545</v>
      </c>
      <c r="C43" s="230">
        <f ca="1">ROUND(IF('数据-取费表'!B22&lt;=1,C39*F22*'数据-取费表'!B21/2,C39*(POWER((1+F22),'数据-取费表'!B21/2)-1)),0)</f>
        <v>0</v>
      </c>
      <c r="D43" s="230"/>
      <c r="E43" s="230"/>
      <c r="F43" s="231"/>
      <c r="G43" s="3432"/>
    </row>
    <row r="44" spans="1:7" ht="13.5" customHeight="1">
      <c r="A44" s="734" t="s">
        <v>348</v>
      </c>
      <c r="B44" s="207" t="s">
        <v>1546</v>
      </c>
      <c r="C44" s="230">
        <f ca="1">ROUND(IF('数据-取费表'!B22&lt;=1,C40*F22*'数据-取费表'!B21/2,C40*(POWER((1+F22),'数据-取费表'!B21/2)-1)),4)</f>
        <v>5.9999999999999995E-4</v>
      </c>
      <c r="D44" s="230"/>
      <c r="E44" s="230"/>
      <c r="F44" s="231"/>
      <c r="G44" s="3433"/>
    </row>
    <row r="45" spans="1:7" s="206" customFormat="1" ht="13.5" customHeight="1">
      <c r="A45" s="247" t="s">
        <v>1547</v>
      </c>
      <c r="B45" s="236" t="s">
        <v>1513</v>
      </c>
      <c r="C45" s="237">
        <f ca="1">C46</f>
        <v>4</v>
      </c>
      <c r="D45" s="227">
        <f ca="1">C47</f>
        <v>1.5E-3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31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22</v>
      </c>
      <c r="D51" s="224"/>
      <c r="E51" s="224"/>
      <c r="F51" s="256"/>
      <c r="G51" s="226" t="s">
        <v>1560</v>
      </c>
    </row>
    <row r="52" spans="1:7" s="200" customFormat="1" ht="16.5" thickBot="1">
      <c r="A52" s="257" t="s">
        <v>1561</v>
      </c>
      <c r="B52" s="258"/>
      <c r="C52" s="259">
        <f ca="1">C31+C51</f>
        <v>15226</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9" t="str">
        <f>项目基本情况!B1</f>
        <v>北京市房地产市场价值预评估</v>
      </c>
      <c r="C37" s="3249"/>
      <c r="D37" s="3249"/>
      <c r="E37" s="3249"/>
      <c r="F37" s="3249"/>
      <c r="G37" s="3249"/>
      <c r="H37" s="3249"/>
      <c r="I37" s="3249"/>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340.29399999999998</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49533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2301293</v>
      </c>
      <c r="D5" s="203" t="s">
        <v>1469</v>
      </c>
      <c r="E5" s="204" t="s">
        <v>1470</v>
      </c>
      <c r="F5" s="204" t="s">
        <v>1471</v>
      </c>
      <c r="G5" s="205"/>
    </row>
    <row r="6" spans="1:8" s="206" customFormat="1" ht="13.5" customHeight="1">
      <c r="A6" s="732" t="s">
        <v>1472</v>
      </c>
      <c r="B6" s="207" t="s">
        <v>1473</v>
      </c>
      <c r="C6" s="208">
        <f>'[2]2014基准地价'!$E$29</f>
        <v>2222514</v>
      </c>
      <c r="D6" s="209"/>
      <c r="E6" s="210"/>
      <c r="F6" s="210"/>
      <c r="G6" s="211"/>
    </row>
    <row r="7" spans="1:8" s="206" customFormat="1" ht="13.5" customHeight="1">
      <c r="A7" s="732" t="s">
        <v>1474</v>
      </c>
      <c r="B7" s="207" t="s">
        <v>1475</v>
      </c>
      <c r="C7" s="212">
        <f>ROUND(C6*F7,0)</f>
        <v>67787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10992</v>
      </c>
      <c r="D8" s="214"/>
      <c r="E8" s="212"/>
      <c r="F8" s="213"/>
      <c r="G8" s="1713" t="s">
        <v>3412</v>
      </c>
    </row>
    <row r="9" spans="1:8" s="206" customFormat="1" ht="13.5" customHeight="1">
      <c r="A9" s="733" t="s">
        <v>355</v>
      </c>
      <c r="B9" s="216" t="s">
        <v>1478</v>
      </c>
      <c r="C9" s="217">
        <f ca="1">ROUND(D9*E9,0)</f>
        <v>10992</v>
      </c>
      <c r="D9" s="795">
        <f ca="1">IF(B1="",'数据-汇总表'!E5,IF(INDIRECT("'数据-取费表'!c"&amp;$G$1)="住宅",INDIRECT("'数据-取费表'!k"&amp;$G$1),0))</f>
        <v>68.7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68.7</v>
      </c>
      <c r="E19" s="203">
        <f>'数据-取费表'!B31</f>
        <v>200</v>
      </c>
      <c r="F19" s="223"/>
      <c r="G19" s="1713" t="s">
        <v>3411</v>
      </c>
    </row>
    <row r="20" spans="1:7" s="206" customFormat="1" ht="13.5" customHeight="1">
      <c r="A20" s="247" t="s">
        <v>1574</v>
      </c>
      <c r="B20" s="202" t="s">
        <v>1575</v>
      </c>
      <c r="C20" s="224">
        <f ca="1">ROUND((C5+C19)*F20,0)</f>
        <v>23013</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293178</v>
      </c>
      <c r="D22" s="227">
        <f ca="1">C26</f>
        <v>5.9999999999999995E-4</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291763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1415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348646</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348646</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3182884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239420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206100</v>
      </c>
      <c r="D34" s="209"/>
      <c r="E34" s="212"/>
      <c r="F34" s="249"/>
      <c r="G34" s="211"/>
    </row>
    <row r="35" spans="1:7" ht="13.5" customHeight="1">
      <c r="A35" s="734" t="s">
        <v>351</v>
      </c>
      <c r="B35" s="207" t="s">
        <v>1527</v>
      </c>
      <c r="C35" s="212">
        <f ca="1">ROUND(C34*F35,0)</f>
        <v>6183</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10305</v>
      </c>
      <c r="D36" s="212"/>
      <c r="E36" s="212"/>
      <c r="F36" s="251">
        <f>'数据-取费表'!B34</f>
        <v>0.05</v>
      </c>
      <c r="G36" s="252" t="s">
        <v>1530</v>
      </c>
    </row>
    <row r="37" spans="1:7" s="250" customFormat="1" ht="13.5" customHeight="1">
      <c r="A37" s="734" t="s">
        <v>353</v>
      </c>
      <c r="B37" s="207" t="s">
        <v>1531</v>
      </c>
      <c r="C37" s="241">
        <f ca="1">ROUND(E37*D37,0)</f>
        <v>13740</v>
      </c>
      <c r="D37" s="209">
        <f ca="1">D19</f>
        <v>68.7</v>
      </c>
      <c r="E37" s="241">
        <f>'数据-取费表'!B35</f>
        <v>200</v>
      </c>
      <c r="F37" s="251"/>
      <c r="G37" s="253"/>
    </row>
    <row r="38" spans="1:7" ht="13.5" customHeight="1">
      <c r="A38" s="734" t="s">
        <v>354</v>
      </c>
      <c r="B38" s="207" t="s">
        <v>1533</v>
      </c>
      <c r="C38" s="212">
        <f ca="1">ROUND(C34*F38,0)</f>
        <v>3092</v>
      </c>
      <c r="D38" s="212"/>
      <c r="E38" s="212"/>
      <c r="F38" s="251">
        <f>'数据-取费表'!B36</f>
        <v>1.4999999999999999E-2</v>
      </c>
      <c r="G38" s="211" t="s">
        <v>1528</v>
      </c>
    </row>
    <row r="39" spans="1:7" s="206" customFormat="1" ht="13.5" customHeight="1">
      <c r="A39" s="247" t="s">
        <v>1534</v>
      </c>
      <c r="B39" s="202" t="s">
        <v>1535</v>
      </c>
      <c r="C39" s="224">
        <f ca="1">ROUND(C33*F20,0)</f>
        <v>2394</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14871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14724</v>
      </c>
      <c r="D42" s="230"/>
      <c r="E42" s="230"/>
      <c r="F42" s="231"/>
      <c r="G42" s="3431" t="s">
        <v>1591</v>
      </c>
    </row>
    <row r="43" spans="1:7" ht="13.5" customHeight="1">
      <c r="A43" s="734" t="s">
        <v>347</v>
      </c>
      <c r="B43" s="207" t="s">
        <v>1545</v>
      </c>
      <c r="C43" s="230">
        <f ca="1">ROUND(IF('数据-取费表'!B22&lt;=1,C39*F22*'数据-取费表'!B20/2,C39*(POWER((1+F22),'数据-取费表'!B20/2)-1)),0)</f>
        <v>147</v>
      </c>
      <c r="D43" s="230"/>
      <c r="E43" s="230"/>
      <c r="F43" s="231"/>
      <c r="G43" s="3432"/>
    </row>
    <row r="44" spans="1:7" ht="13.5" customHeight="1">
      <c r="A44" s="734" t="s">
        <v>348</v>
      </c>
      <c r="B44" s="207" t="s">
        <v>1546</v>
      </c>
      <c r="C44" s="230">
        <f ca="1">ROUND(IF('数据-取费表'!B22&lt;=1,C40*F22*'数据-取费表'!B20/2,C40*(POWER((1+F22),'数据-取费表'!B20/2)-1)),4)</f>
        <v>5.9999999999999995E-4</v>
      </c>
      <c r="D44" s="230"/>
      <c r="E44" s="230"/>
      <c r="F44" s="231"/>
      <c r="G44" s="3433"/>
    </row>
    <row r="45" spans="1:7" s="206" customFormat="1" ht="13.5" customHeight="1">
      <c r="A45" s="247" t="s">
        <v>1547</v>
      </c>
      <c r="B45" s="236" t="s">
        <v>1513</v>
      </c>
      <c r="C45" s="237">
        <f ca="1">C46</f>
        <v>36272</v>
      </c>
      <c r="D45" s="227">
        <f ca="1">C47</f>
        <v>1.5E-3</v>
      </c>
      <c r="E45" s="228" t="s">
        <v>1539</v>
      </c>
      <c r="F45" s="238">
        <f ca="1">F27</f>
        <v>0.15</v>
      </c>
      <c r="G45" s="239" t="s">
        <v>1548</v>
      </c>
    </row>
    <row r="46" spans="1:7" s="206" customFormat="1" ht="13.5" customHeight="1">
      <c r="A46" s="734" t="s">
        <v>346</v>
      </c>
      <c r="B46" s="240" t="s">
        <v>1549</v>
      </c>
      <c r="C46" s="241">
        <f ca="1">ROUND((C33+C39)*F27,0)</f>
        <v>36272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314365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220056</v>
      </c>
      <c r="D51" s="224"/>
      <c r="E51" s="224"/>
      <c r="F51" s="256"/>
      <c r="G51" s="226" t="s">
        <v>1560</v>
      </c>
    </row>
    <row r="52" spans="1:7" s="200" customFormat="1" ht="16.5" thickBot="1">
      <c r="A52" s="257" t="s">
        <v>1561</v>
      </c>
      <c r="B52" s="258"/>
      <c r="C52" s="259">
        <f ca="1">C31+C51</f>
        <v>3402940</v>
      </c>
      <c r="D52" s="258"/>
      <c r="E52" s="258"/>
      <c r="F52" s="258"/>
      <c r="G52" s="260"/>
    </row>
    <row r="55" spans="1:7" ht="15">
      <c r="B55" s="262" t="s">
        <v>1562</v>
      </c>
      <c r="C55" s="263"/>
    </row>
    <row r="56" spans="1:7">
      <c r="B56" s="265" t="s">
        <v>802</v>
      </c>
      <c r="C56" s="267">
        <f ca="1">1-C57</f>
        <v>0.93500000000000005</v>
      </c>
    </row>
    <row r="57" spans="1:7">
      <c r="B57" s="265" t="s">
        <v>803</v>
      </c>
      <c r="C57" s="266">
        <f ca="1">ROUND(C51/C52,3)</f>
        <v>6.5000000000000002E-2</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12388</v>
      </c>
      <c r="C2" s="268" t="s">
        <v>1595</v>
      </c>
      <c r="D2" s="268"/>
      <c r="E2" s="2565"/>
      <c r="F2" s="2565"/>
      <c r="G2" s="2565"/>
      <c r="H2" s="2565"/>
      <c r="I2" s="2565"/>
      <c r="J2" s="2565"/>
      <c r="K2" s="2565"/>
    </row>
    <row r="3" spans="1:33" ht="18" customHeight="1" thickBot="1">
      <c r="A3" s="195" t="s">
        <v>1464</v>
      </c>
      <c r="B3" s="196">
        <f ca="1">ROUND(B2*10000/IF(C1="",'数据-汇总表'!E3,INDIRECT("'数据-取费表'!K"&amp;$K$1)),0)</f>
        <v>1803202</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68.7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-10991</v>
      </c>
      <c r="D18" s="796"/>
      <c r="E18" s="21"/>
      <c r="F18" s="756"/>
      <c r="G18" s="1719"/>
      <c r="H18" s="1105"/>
      <c r="I18" s="1720"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68.7</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-10991</v>
      </c>
      <c r="D21" s="767"/>
      <c r="E21" s="273"/>
      <c r="F21" s="273"/>
      <c r="G21" s="123" t="s">
        <v>1629</v>
      </c>
      <c r="H21" s="759"/>
      <c r="I21" s="759"/>
      <c r="J21" s="759"/>
      <c r="K21" s="760"/>
    </row>
    <row r="22" spans="1:33" s="755" customFormat="1" ht="13.5" customHeight="1">
      <c r="A22" s="744" t="s">
        <v>1601</v>
      </c>
      <c r="B22" s="765" t="s">
        <v>1630</v>
      </c>
      <c r="C22" s="766">
        <f ca="1">ROUND(C21*F22,0)</f>
        <v>-110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-1665</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-1665</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12388</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6" t="s">
        <v>694</v>
      </c>
      <c r="C6" s="1011">
        <f ca="1">ROUND(F6*F8*F7*(1-F9)/10000,0)</f>
        <v>0</v>
      </c>
      <c r="D6" s="147" t="s">
        <v>2109</v>
      </c>
      <c r="E6" s="294" t="s">
        <v>696</v>
      </c>
      <c r="F6" s="295">
        <f ca="1">INDIRECT("'数据-取费表'!u"&amp;$G$1)</f>
        <v>0</v>
      </c>
      <c r="G6" s="1291"/>
      <c r="H6" s="1006" t="s">
        <v>398</v>
      </c>
      <c r="I6" s="3436" t="s">
        <v>694</v>
      </c>
      <c r="J6" s="293">
        <f ca="1">ROUND(M6*M8*M7*(1-M9)/10000,0)</f>
        <v>0</v>
      </c>
      <c r="K6" s="147" t="s">
        <v>2108</v>
      </c>
      <c r="L6" s="294" t="s">
        <v>696</v>
      </c>
      <c r="M6" s="295">
        <f ca="1">INDIRECT("'数据-取费表'!z"&amp;$G$1)</f>
        <v>0</v>
      </c>
    </row>
    <row r="7" spans="1:37" ht="18" customHeight="1">
      <c r="A7" s="1010"/>
      <c r="B7" s="3437"/>
      <c r="C7" s="1012"/>
      <c r="D7" s="299"/>
      <c r="E7" s="1013" t="s">
        <v>697</v>
      </c>
      <c r="F7" s="295">
        <f ca="1">IF(INDIRECT("'数据-取费表'!ah"&amp;$G$1)="",INDIRECT("'数据-取费表'!k"&amp;$G$1),INDIRECT("'数据-取费表'!ah"&amp;$G$1))</f>
        <v>0</v>
      </c>
      <c r="G7" s="1291"/>
      <c r="H7" s="296"/>
      <c r="I7" s="3437"/>
      <c r="J7" s="298"/>
      <c r="K7" s="299"/>
      <c r="L7" s="294" t="s">
        <v>697</v>
      </c>
      <c r="M7" s="295">
        <f ca="1">F7</f>
        <v>0</v>
      </c>
    </row>
    <row r="8" spans="1:37" ht="18" customHeight="1">
      <c r="A8" s="296"/>
      <c r="B8" s="3437"/>
      <c r="C8" s="298"/>
      <c r="D8" s="299"/>
      <c r="E8" s="294" t="s">
        <v>698</v>
      </c>
      <c r="F8" s="295">
        <f ca="1">INDIRECT("'数据-取费表'!ai"&amp;$G$1)</f>
        <v>0</v>
      </c>
      <c r="G8" s="1291"/>
      <c r="H8" s="296"/>
      <c r="I8" s="3437"/>
      <c r="J8" s="298"/>
      <c r="K8" s="299"/>
      <c r="L8" s="294" t="s">
        <v>698</v>
      </c>
      <c r="M8" s="295">
        <f ca="1">INDIRECT("'数据-取费表'!ai"&amp;$G$1)</f>
        <v>0</v>
      </c>
    </row>
    <row r="9" spans="1:37" ht="18" customHeight="1">
      <c r="A9" s="296"/>
      <c r="B9" s="3438"/>
      <c r="C9" s="298"/>
      <c r="D9" s="299"/>
      <c r="E9" s="294" t="s">
        <v>699</v>
      </c>
      <c r="F9" s="304">
        <f ca="1">INDIRECT("'数据-取费表'!w"&amp;$G$1)</f>
        <v>0</v>
      </c>
      <c r="G9" s="1291"/>
      <c r="H9" s="296"/>
      <c r="I9" s="3438"/>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34" t="s">
        <v>837</v>
      </c>
      <c r="L53" s="3435"/>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9" t="s">
        <v>2319</v>
      </c>
      <c r="K2" s="3440"/>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41" t="s">
        <v>2329</v>
      </c>
      <c r="K3" s="3442"/>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41" t="s">
        <v>2331</v>
      </c>
      <c r="K4" s="3442"/>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43" t="s">
        <v>2335</v>
      </c>
      <c r="B6" s="3444"/>
      <c r="C6" s="3445"/>
      <c r="D6" s="2619"/>
      <c r="E6" s="2620"/>
      <c r="F6" s="2621"/>
      <c r="G6" s="2622"/>
      <c r="H6" s="2597"/>
      <c r="I6" s="2598"/>
      <c r="J6" s="3446">
        <v>1</v>
      </c>
      <c r="K6" s="3447"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46"/>
      <c r="K7" s="3448"/>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50" t="s">
        <v>2349</v>
      </c>
      <c r="C8" s="3451"/>
      <c r="D8" s="2638" t="s">
        <v>2350</v>
      </c>
      <c r="E8" s="2639" t="s">
        <v>2351</v>
      </c>
      <c r="F8" s="2640" t="s">
        <v>2352</v>
      </c>
      <c r="G8" s="2641"/>
      <c r="H8" s="2597"/>
      <c r="I8" s="2598"/>
      <c r="J8" s="3446"/>
      <c r="K8" s="3448"/>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50" t="s">
        <v>2355</v>
      </c>
      <c r="C9" s="3451"/>
      <c r="D9" s="2638">
        <f>ROUND(D6*E9,0)</f>
        <v>0</v>
      </c>
      <c r="E9" s="2642"/>
      <c r="F9" s="2643" t="s">
        <v>2356</v>
      </c>
      <c r="G9" s="2622"/>
      <c r="H9" s="2597"/>
      <c r="I9" s="2598"/>
      <c r="J9" s="3446"/>
      <c r="K9" s="3448"/>
      <c r="L9" s="2632" t="s">
        <v>2357</v>
      </c>
      <c r="M9" s="2633"/>
      <c r="N9" s="2609"/>
      <c r="O9" s="2634"/>
      <c r="P9" s="2634"/>
      <c r="Q9" s="2635">
        <v>365</v>
      </c>
      <c r="R9" s="2636">
        <f t="shared" si="0"/>
        <v>0</v>
      </c>
      <c r="S9" s="2590"/>
      <c r="T9" s="2590"/>
      <c r="U9" s="2590"/>
      <c r="V9" s="2598"/>
    </row>
    <row r="10" spans="1:22" s="2602" customFormat="1" ht="13.15" customHeight="1">
      <c r="A10" s="2637">
        <v>2</v>
      </c>
      <c r="B10" s="3450" t="s">
        <v>2358</v>
      </c>
      <c r="C10" s="3451"/>
      <c r="D10" s="2638">
        <f>ROUND(D6*E10,0)</f>
        <v>0</v>
      </c>
      <c r="E10" s="2642"/>
      <c r="F10" s="2643" t="s">
        <v>2359</v>
      </c>
      <c r="G10" s="2622"/>
      <c r="H10" s="2597"/>
      <c r="I10" s="2598"/>
      <c r="J10" s="3446"/>
      <c r="K10" s="3448"/>
      <c r="L10" s="2632" t="s">
        <v>2360</v>
      </c>
      <c r="M10" s="2633"/>
      <c r="N10" s="2609"/>
      <c r="O10" s="2634"/>
      <c r="P10" s="2634"/>
      <c r="Q10" s="2635">
        <v>365</v>
      </c>
      <c r="R10" s="2636">
        <f t="shared" si="0"/>
        <v>0</v>
      </c>
      <c r="S10" s="2590"/>
      <c r="T10" s="2590"/>
      <c r="U10" s="2590"/>
      <c r="V10" s="2598"/>
    </row>
    <row r="11" spans="1:22" s="2602" customFormat="1" ht="13.15" customHeight="1">
      <c r="A11" s="2637">
        <v>3</v>
      </c>
      <c r="B11" s="3450" t="s">
        <v>2361</v>
      </c>
      <c r="C11" s="3451"/>
      <c r="D11" s="2638">
        <f>D12+D14+D15+D16</f>
        <v>0</v>
      </c>
      <c r="E11" s="2644" t="e">
        <f>D11/D6</f>
        <v>#DIV/0!</v>
      </c>
      <c r="F11" s="2640"/>
      <c r="G11" s="2641"/>
      <c r="H11" s="2597"/>
      <c r="I11" s="2598"/>
      <c r="J11" s="3446"/>
      <c r="K11" s="3448"/>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52" t="s">
        <v>2364</v>
      </c>
      <c r="C12" s="3453"/>
      <c r="D12" s="2646">
        <f>ROUND(D13*1.2%*(1-30%),0)</f>
        <v>0</v>
      </c>
      <c r="E12" s="2647">
        <v>1.2E-2</v>
      </c>
      <c r="F12" s="2640" t="s">
        <v>2365</v>
      </c>
      <c r="G12" s="2641"/>
      <c r="H12" s="2597"/>
      <c r="I12" s="2598"/>
      <c r="J12" s="3446"/>
      <c r="K12" s="3448"/>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46"/>
      <c r="K13" s="3448"/>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52" t="s">
        <v>2370</v>
      </c>
      <c r="C14" s="3453"/>
      <c r="D14" s="2646">
        <f>ROUND(E14*B5/10000,0)</f>
        <v>0</v>
      </c>
      <c r="E14" s="2635"/>
      <c r="F14" s="2640" t="s">
        <v>2371</v>
      </c>
      <c r="G14" s="2641"/>
      <c r="H14" s="2597"/>
      <c r="I14" s="2598"/>
      <c r="J14" s="3446"/>
      <c r="K14" s="3449"/>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52" t="s">
        <v>2374</v>
      </c>
      <c r="C15" s="3453"/>
      <c r="D15" s="2646">
        <f>ROUND(D6*E15,0)</f>
        <v>0</v>
      </c>
      <c r="E15" s="2647">
        <v>5.5E-2</v>
      </c>
      <c r="F15" s="2640" t="s">
        <v>2375</v>
      </c>
      <c r="G15" s="2622"/>
      <c r="H15" s="2597"/>
      <c r="I15" s="2598"/>
      <c r="J15" s="3446">
        <v>2</v>
      </c>
      <c r="K15" s="3447"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52" t="s">
        <v>2383</v>
      </c>
      <c r="C16" s="3453"/>
      <c r="D16" s="2657">
        <f>D6*E16</f>
        <v>0</v>
      </c>
      <c r="E16" s="2658"/>
      <c r="F16" s="2643" t="s">
        <v>2384</v>
      </c>
      <c r="G16" s="2622"/>
      <c r="H16" s="2597"/>
      <c r="I16" s="2598"/>
      <c r="J16" s="3446"/>
      <c r="K16" s="3448"/>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54" t="s">
        <v>2386</v>
      </c>
      <c r="C17" s="3455"/>
      <c r="D17" s="2660">
        <f>ROUND(D6*E17,0)</f>
        <v>0</v>
      </c>
      <c r="E17" s="2661"/>
      <c r="F17" s="2662" t="s">
        <v>2387</v>
      </c>
      <c r="G17" s="2622"/>
      <c r="H17" s="2597"/>
      <c r="I17" s="2598"/>
      <c r="J17" s="3446"/>
      <c r="K17" s="3448"/>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46"/>
      <c r="K18" s="3448"/>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46"/>
      <c r="K19" s="3449"/>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46">
        <v>3</v>
      </c>
      <c r="K20" s="3447"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46"/>
      <c r="K21" s="3448"/>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46"/>
      <c r="K22" s="3448"/>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46"/>
      <c r="K23" s="3448"/>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46"/>
      <c r="K24" s="3449"/>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56">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57"/>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9" t="s">
        <v>2319</v>
      </c>
      <c r="K32" s="3440"/>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41" t="s">
        <v>2329</v>
      </c>
      <c r="K33" s="3442"/>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41" t="s">
        <v>2331</v>
      </c>
      <c r="K34" s="344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46">
        <v>1</v>
      </c>
      <c r="K36" s="3447"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46"/>
      <c r="K37" s="3448"/>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46"/>
      <c r="K38" s="3448"/>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46"/>
      <c r="K39" s="3448"/>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46"/>
      <c r="K40" s="3449"/>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56">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57"/>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190.1028</v>
      </c>
      <c r="C2" s="1728" t="s">
        <v>1651</v>
      </c>
      <c r="D2" s="1729" t="s">
        <v>1652</v>
      </c>
      <c r="E2" s="2390">
        <f>SUM(E6:E13)</f>
        <v>68.7</v>
      </c>
      <c r="F2" s="2477"/>
      <c r="G2" s="459"/>
      <c r="H2" s="459"/>
      <c r="I2" s="459"/>
      <c r="J2" s="459"/>
      <c r="K2" s="459"/>
      <c r="L2" s="459"/>
      <c r="M2" s="459"/>
      <c r="N2" s="459"/>
      <c r="O2" s="459"/>
      <c r="P2" s="459"/>
      <c r="Q2" s="459"/>
      <c r="R2" s="459"/>
      <c r="S2" s="459"/>
    </row>
    <row r="3" spans="1:22" ht="15.75">
      <c r="A3" s="1727" t="s">
        <v>686</v>
      </c>
      <c r="B3" s="2384">
        <f ca="1">ROUND(B2*10000/E2,0)</f>
        <v>27671</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8" t="s">
        <v>1654</v>
      </c>
      <c r="C5" s="3459"/>
      <c r="D5" s="2478"/>
      <c r="E5" s="1730"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190.1028</v>
      </c>
      <c r="C6" s="1728" t="s">
        <v>1651</v>
      </c>
      <c r="D6" s="2477"/>
      <c r="E6" s="2389">
        <f>IF(OR(A6=0,F6="否"),0,'数据-取费表'!K6+'数据-取费表'!S6)</f>
        <v>68.7</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7" zoomScale="90" zoomScaleNormal="60" zoomScaleSheetLayoutView="90" workbookViewId="0">
      <selection activeCell="M41" sqref="M41"/>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394.84640000000002</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57474</v>
      </c>
      <c r="C3" s="344" t="s">
        <v>1665</v>
      </c>
      <c r="D3" s="343">
        <f>IF(D1="",'数据-汇总表'!E3,SUMIF('数据-汇总表'!$C19:$C33,D1,'数据-汇总表'!$E19:$E33))</f>
        <v>68.7</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78" t="s">
        <v>1667</v>
      </c>
      <c r="D4" s="3479"/>
      <c r="E4" s="3480" t="s">
        <v>1668</v>
      </c>
      <c r="F4" s="3481"/>
      <c r="G4" s="3478" t="s">
        <v>1669</v>
      </c>
      <c r="H4" s="3479"/>
      <c r="I4" s="3478" t="s">
        <v>1670</v>
      </c>
      <c r="J4" s="3479"/>
      <c r="K4" s="1743" t="s">
        <v>1671</v>
      </c>
      <c r="L4" s="2484"/>
      <c r="M4" s="2485"/>
      <c r="N4" s="2485"/>
      <c r="O4" s="2485"/>
      <c r="P4" s="3482" t="s">
        <v>1672</v>
      </c>
      <c r="Q4" s="3483"/>
      <c r="R4" s="3465" t="s">
        <v>1668</v>
      </c>
      <c r="S4" s="3466"/>
      <c r="T4" s="3465" t="s">
        <v>1669</v>
      </c>
      <c r="U4" s="3466"/>
      <c r="V4" s="3490" t="s">
        <v>1670</v>
      </c>
      <c r="W4" s="3490"/>
      <c r="X4" s="1264"/>
      <c r="Y4" s="3465" t="s">
        <v>1672</v>
      </c>
      <c r="Z4" s="3466"/>
      <c r="AA4" s="3460" t="s">
        <v>1668</v>
      </c>
      <c r="AB4" s="3460" t="s">
        <v>1669</v>
      </c>
      <c r="AC4" s="3460" t="s">
        <v>1670</v>
      </c>
    </row>
    <row r="5" spans="1:29" ht="15">
      <c r="A5" s="348"/>
      <c r="B5" s="349"/>
      <c r="C5" s="3471" t="s">
        <v>1673</v>
      </c>
      <c r="D5" s="3472"/>
      <c r="E5" s="3469" t="str">
        <f>二部案例!F3</f>
        <v>真武庙二里</v>
      </c>
      <c r="F5" s="3470"/>
      <c r="G5" s="3491" t="str">
        <f>E5</f>
        <v>真武庙二里</v>
      </c>
      <c r="H5" s="3472"/>
      <c r="I5" s="3471" t="str">
        <f>E5</f>
        <v>真武庙二里</v>
      </c>
      <c r="J5" s="3472"/>
      <c r="K5" s="1744"/>
      <c r="L5" s="2484"/>
      <c r="M5" s="2485"/>
      <c r="N5" s="2485"/>
      <c r="O5" s="2485"/>
      <c r="P5" s="3484"/>
      <c r="Q5" s="3485"/>
      <c r="R5" s="3467"/>
      <c r="S5" s="3468"/>
      <c r="T5" s="3467"/>
      <c r="U5" s="3468"/>
      <c r="V5" s="3490"/>
      <c r="W5" s="3490"/>
      <c r="X5" s="1264"/>
      <c r="Y5" s="3467"/>
      <c r="Z5" s="3468"/>
      <c r="AA5" s="3461"/>
      <c r="AB5" s="3461"/>
      <c r="AC5" s="3461"/>
    </row>
    <row r="6" spans="1:29" ht="15.75" thickBot="1">
      <c r="A6" s="350"/>
      <c r="B6" s="351"/>
      <c r="C6" s="3473" t="s">
        <v>1677</v>
      </c>
      <c r="D6" s="3474"/>
      <c r="E6" s="3475" t="s">
        <v>1677</v>
      </c>
      <c r="F6" s="3476"/>
      <c r="G6" s="3473" t="s">
        <v>1677</v>
      </c>
      <c r="H6" s="3474"/>
      <c r="I6" s="3473" t="s">
        <v>1677</v>
      </c>
      <c r="J6" s="3474"/>
      <c r="K6" s="1744" t="s">
        <v>1678</v>
      </c>
      <c r="L6" s="2484"/>
      <c r="M6" s="2485"/>
      <c r="N6" s="2485"/>
      <c r="O6" s="2485"/>
      <c r="P6" s="3486"/>
      <c r="Q6" s="3487"/>
      <c r="R6" s="3467"/>
      <c r="S6" s="3468"/>
      <c r="T6" s="3488"/>
      <c r="U6" s="3489"/>
      <c r="V6" s="3490"/>
      <c r="W6" s="3490"/>
      <c r="X6" s="1264"/>
      <c r="Y6" s="3488"/>
      <c r="Z6" s="3489"/>
      <c r="AA6" s="3462"/>
      <c r="AB6" s="3462"/>
      <c r="AC6" s="3462"/>
    </row>
    <row r="7" spans="1:29" s="102" customFormat="1" ht="15.75" thickBot="1">
      <c r="A7" s="352" t="s">
        <v>1679</v>
      </c>
      <c r="B7" s="353"/>
      <c r="C7" s="354">
        <f>'数据-取费表'!B2</f>
        <v>41743</v>
      </c>
      <c r="D7" s="355">
        <v>100</v>
      </c>
      <c r="E7" s="356">
        <f>链家案例!AA19</f>
        <v>41568</v>
      </c>
      <c r="F7" s="357">
        <f>SUMIF(58:58,YEAR(E7)&amp;"-"&amp;MONTH(E7),59:59)</f>
        <v>99.8</v>
      </c>
      <c r="G7" s="356">
        <f>链家案例!AA20</f>
        <v>41563</v>
      </c>
      <c r="H7" s="355">
        <f>SUMIF(58:58,YEAR(G7)&amp;"-"&amp;MONTH(G7),59:59)</f>
        <v>99.8</v>
      </c>
      <c r="I7" s="356">
        <f>链家案例!AA21</f>
        <v>41563</v>
      </c>
      <c r="J7" s="355">
        <f>SUMIF(58:58,YEAR(I7)&amp;"-"&amp;MONTH(I7),59:59)</f>
        <v>99.8</v>
      </c>
      <c r="K7" s="1745"/>
      <c r="L7" s="2486"/>
      <c r="M7" s="2437"/>
      <c r="N7" s="2437"/>
      <c r="O7" s="2437"/>
      <c r="P7" s="3463" t="s">
        <v>1680</v>
      </c>
      <c r="Q7" s="3492"/>
      <c r="R7" s="664" t="s">
        <v>20</v>
      </c>
      <c r="S7" s="665">
        <f t="shared" ref="S7:S15" si="0">F7</f>
        <v>99.8</v>
      </c>
      <c r="T7" s="664" t="s">
        <v>20</v>
      </c>
      <c r="U7" s="665">
        <f t="shared" ref="U7:U15" si="1">H7</f>
        <v>99.8</v>
      </c>
      <c r="V7" s="664" t="s">
        <v>20</v>
      </c>
      <c r="W7" s="665">
        <f t="shared" ref="W7:W15" si="2">J7</f>
        <v>99.8</v>
      </c>
      <c r="X7" s="666"/>
      <c r="Y7" s="3463" t="s">
        <v>1680</v>
      </c>
      <c r="Z7" s="3464"/>
      <c r="AA7" s="50">
        <f>D7/F7</f>
        <v>1.0020040080160322</v>
      </c>
      <c r="AB7" s="50">
        <f>D7/H7</f>
        <v>1.0020040080160322</v>
      </c>
      <c r="AC7" s="50">
        <f>D7/J7</f>
        <v>1.0020040080160322</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463" t="s">
        <v>1683</v>
      </c>
      <c r="Q8" s="3464"/>
      <c r="R8" s="664" t="s">
        <v>20</v>
      </c>
      <c r="S8" s="665">
        <f t="shared" si="0"/>
        <v>100</v>
      </c>
      <c r="T8" s="664" t="s">
        <v>20</v>
      </c>
      <c r="U8" s="665">
        <f t="shared" si="1"/>
        <v>100</v>
      </c>
      <c r="V8" s="664" t="s">
        <v>20</v>
      </c>
      <c r="W8" s="665">
        <f t="shared" si="2"/>
        <v>100</v>
      </c>
      <c r="X8" s="666"/>
      <c r="Y8" s="3463" t="s">
        <v>1683</v>
      </c>
      <c r="Z8" s="3464"/>
      <c r="AA8" s="50">
        <f t="shared" ref="AA8:AA19" si="3">D8/F8</f>
        <v>1</v>
      </c>
      <c r="AB8" s="50">
        <f t="shared" ref="AB8:AB19" si="4">D8/H8</f>
        <v>1</v>
      </c>
      <c r="AC8" s="50">
        <f t="shared" ref="AC8:AC19" si="5">D8/J8</f>
        <v>1</v>
      </c>
    </row>
    <row r="9" spans="1:29" s="102" customFormat="1">
      <c r="A9" s="359" t="s">
        <v>1684</v>
      </c>
      <c r="B9" s="60" t="s">
        <v>1685</v>
      </c>
      <c r="C9" s="3142" t="s">
        <v>3398</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477" t="s">
        <v>1686</v>
      </c>
      <c r="Q9" s="530" t="str">
        <f t="shared" ref="Q9:Q15" si="6">B9</f>
        <v>用途</v>
      </c>
      <c r="R9" s="664" t="s">
        <v>14</v>
      </c>
      <c r="S9" s="665">
        <f t="shared" si="0"/>
        <v>100</v>
      </c>
      <c r="T9" s="664" t="s">
        <v>14</v>
      </c>
      <c r="U9" s="665">
        <f t="shared" si="1"/>
        <v>100</v>
      </c>
      <c r="V9" s="664" t="s">
        <v>14</v>
      </c>
      <c r="W9" s="665">
        <f t="shared" si="2"/>
        <v>100</v>
      </c>
      <c r="X9" s="666"/>
      <c r="Y9" s="340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77"/>
      <c r="Q10" s="530" t="str">
        <f t="shared" si="6"/>
        <v>土地使用年限（年）</v>
      </c>
      <c r="R10" s="664" t="s">
        <v>14</v>
      </c>
      <c r="S10" s="665">
        <f t="shared" si="0"/>
        <v>100</v>
      </c>
      <c r="T10" s="664" t="s">
        <v>14</v>
      </c>
      <c r="U10" s="665">
        <f t="shared" si="1"/>
        <v>100</v>
      </c>
      <c r="V10" s="664" t="s">
        <v>14</v>
      </c>
      <c r="W10" s="665">
        <f t="shared" si="2"/>
        <v>100</v>
      </c>
      <c r="X10" s="666"/>
      <c r="Y10" s="3407"/>
      <c r="Z10" s="50" t="str">
        <f t="shared" si="7"/>
        <v>土地使用年限（年）</v>
      </c>
      <c r="AA10" s="50">
        <f t="shared" si="3"/>
        <v>1</v>
      </c>
      <c r="AB10" s="50">
        <f t="shared" si="4"/>
        <v>1</v>
      </c>
      <c r="AC10" s="50">
        <f t="shared" si="5"/>
        <v>1</v>
      </c>
    </row>
    <row r="11" spans="1:29" ht="15">
      <c r="A11" s="367"/>
      <c r="B11" s="364" t="s">
        <v>1689</v>
      </c>
      <c r="C11" s="368">
        <v>2.5</v>
      </c>
      <c r="D11" s="119">
        <v>100</v>
      </c>
      <c r="E11" s="369">
        <f>C11</f>
        <v>2.5</v>
      </c>
      <c r="F11" s="364">
        <f>LOOKUP(E11,68:68,69:69)-LOOKUP(C11,68:68,69:69)+100</f>
        <v>100</v>
      </c>
      <c r="G11" s="368">
        <f>C11</f>
        <v>2.5</v>
      </c>
      <c r="H11" s="119">
        <f>LOOKUP(G11,68:68,69:69)-LOOKUP(C11,68:68,69:69)+100</f>
        <v>100</v>
      </c>
      <c r="I11" s="368">
        <f>C11</f>
        <v>2.5</v>
      </c>
      <c r="J11" s="119">
        <f>LOOKUP(I11,68:68,69:69)-LOOKUP(C11,68:68,69:69)+100</f>
        <v>100</v>
      </c>
      <c r="K11" s="365"/>
      <c r="L11" s="2489"/>
      <c r="M11" s="2485"/>
      <c r="N11" s="2485"/>
      <c r="O11" s="2485"/>
      <c r="P11" s="3477"/>
      <c r="Q11" s="530" t="str">
        <f t="shared" si="6"/>
        <v>容积率</v>
      </c>
      <c r="R11" s="664" t="s">
        <v>18</v>
      </c>
      <c r="S11" s="665">
        <f t="shared" si="0"/>
        <v>100</v>
      </c>
      <c r="T11" s="664" t="s">
        <v>18</v>
      </c>
      <c r="U11" s="665">
        <f t="shared" si="1"/>
        <v>100</v>
      </c>
      <c r="V11" s="664" t="s">
        <v>18</v>
      </c>
      <c r="W11" s="665">
        <f t="shared" si="2"/>
        <v>100</v>
      </c>
      <c r="X11" s="666"/>
      <c r="Y11" s="340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77"/>
      <c r="Q12" s="530">
        <f t="shared" si="6"/>
        <v>111</v>
      </c>
      <c r="R12" s="664" t="s">
        <v>18</v>
      </c>
      <c r="S12" s="665">
        <f t="shared" si="0"/>
        <v>100</v>
      </c>
      <c r="T12" s="664" t="s">
        <v>18</v>
      </c>
      <c r="U12" s="665">
        <f t="shared" si="1"/>
        <v>100</v>
      </c>
      <c r="V12" s="664" t="s">
        <v>18</v>
      </c>
      <c r="W12" s="665">
        <f t="shared" si="2"/>
        <v>100</v>
      </c>
      <c r="X12" s="666"/>
      <c r="Y12" s="340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77"/>
      <c r="Q13" s="530">
        <f t="shared" si="6"/>
        <v>111</v>
      </c>
      <c r="R13" s="664" t="s">
        <v>18</v>
      </c>
      <c r="S13" s="665">
        <f t="shared" si="0"/>
        <v>100</v>
      </c>
      <c r="T13" s="664" t="s">
        <v>18</v>
      </c>
      <c r="U13" s="665">
        <f t="shared" si="1"/>
        <v>100</v>
      </c>
      <c r="V13" s="664" t="s">
        <v>18</v>
      </c>
      <c r="W13" s="665">
        <f t="shared" si="2"/>
        <v>100</v>
      </c>
      <c r="X13" s="666"/>
      <c r="Y13" s="340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77"/>
      <c r="Q14" s="530">
        <f t="shared" si="6"/>
        <v>111</v>
      </c>
      <c r="R14" s="664" t="s">
        <v>18</v>
      </c>
      <c r="S14" s="665">
        <f t="shared" si="0"/>
        <v>100</v>
      </c>
      <c r="T14" s="664" t="s">
        <v>18</v>
      </c>
      <c r="U14" s="665">
        <f t="shared" si="1"/>
        <v>100</v>
      </c>
      <c r="V14" s="664" t="s">
        <v>18</v>
      </c>
      <c r="W14" s="665">
        <f t="shared" si="2"/>
        <v>100</v>
      </c>
      <c r="X14" s="666"/>
      <c r="Y14" s="3407"/>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504" t="s">
        <v>1691</v>
      </c>
      <c r="Q15" s="1262" t="str">
        <f t="shared" si="6"/>
        <v>居住社区成熟度</v>
      </c>
      <c r="R15" s="667" t="s">
        <v>18</v>
      </c>
      <c r="S15" s="668">
        <f t="shared" si="0"/>
        <v>100</v>
      </c>
      <c r="T15" s="667" t="s">
        <v>18</v>
      </c>
      <c r="U15" s="668">
        <f t="shared" si="1"/>
        <v>100</v>
      </c>
      <c r="V15" s="667" t="s">
        <v>18</v>
      </c>
      <c r="W15" s="668">
        <f t="shared" si="2"/>
        <v>100</v>
      </c>
      <c r="X15" s="1264"/>
      <c r="Y15" s="349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505"/>
      <c r="Q16" s="1262"/>
      <c r="R16" s="667"/>
      <c r="S16" s="668"/>
      <c r="T16" s="667"/>
      <c r="U16" s="668"/>
      <c r="V16" s="667"/>
      <c r="W16" s="668"/>
      <c r="X16" s="1264"/>
      <c r="Y16" s="3498"/>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505"/>
      <c r="Q17" s="1262" t="str">
        <f>B17</f>
        <v>交通便捷度</v>
      </c>
      <c r="R17" s="667" t="s">
        <v>18</v>
      </c>
      <c r="S17" s="668">
        <f>F17</f>
        <v>100</v>
      </c>
      <c r="T17" s="667" t="s">
        <v>18</v>
      </c>
      <c r="U17" s="668">
        <f>H17</f>
        <v>100</v>
      </c>
      <c r="V17" s="667" t="s">
        <v>18</v>
      </c>
      <c r="W17" s="668">
        <f>J17</f>
        <v>100</v>
      </c>
      <c r="X17" s="1264"/>
      <c r="Y17" s="349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505"/>
      <c r="Q18" s="1262"/>
      <c r="R18" s="667"/>
      <c r="S18" s="668"/>
      <c r="T18" s="667"/>
      <c r="U18" s="668"/>
      <c r="V18" s="667"/>
      <c r="W18" s="668"/>
      <c r="X18" s="1264"/>
      <c r="Y18" s="3498"/>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505"/>
      <c r="Q19" s="1262" t="str">
        <f>B19</f>
        <v>公共配套设施</v>
      </c>
      <c r="R19" s="667" t="s">
        <v>18</v>
      </c>
      <c r="S19" s="668">
        <f>F19</f>
        <v>100</v>
      </c>
      <c r="T19" s="667" t="s">
        <v>18</v>
      </c>
      <c r="U19" s="668">
        <f>H19</f>
        <v>100</v>
      </c>
      <c r="V19" s="667" t="s">
        <v>18</v>
      </c>
      <c r="W19" s="668">
        <f>J19</f>
        <v>100</v>
      </c>
      <c r="X19" s="1264"/>
      <c r="Y19" s="349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505"/>
      <c r="Q20" s="1262"/>
      <c r="R20" s="667"/>
      <c r="S20" s="668"/>
      <c r="T20" s="667"/>
      <c r="U20" s="668"/>
      <c r="V20" s="667"/>
      <c r="W20" s="668"/>
      <c r="X20" s="1264"/>
      <c r="Y20" s="3498"/>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505"/>
      <c r="Q21" s="1262" t="str">
        <f>B21</f>
        <v>基础设施水平</v>
      </c>
      <c r="R21" s="667" t="s">
        <v>14</v>
      </c>
      <c r="S21" s="668">
        <f>F21</f>
        <v>100</v>
      </c>
      <c r="T21" s="667" t="s">
        <v>14</v>
      </c>
      <c r="U21" s="668">
        <f>H21</f>
        <v>100</v>
      </c>
      <c r="V21" s="667" t="s">
        <v>14</v>
      </c>
      <c r="W21" s="668">
        <f>J21</f>
        <v>100</v>
      </c>
      <c r="X21" s="1264"/>
      <c r="Y21" s="349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505"/>
      <c r="Q22" s="1262"/>
      <c r="R22" s="667"/>
      <c r="S22" s="668"/>
      <c r="T22" s="667"/>
      <c r="U22" s="668"/>
      <c r="V22" s="667"/>
      <c r="W22" s="668"/>
      <c r="X22" s="1264"/>
      <c r="Y22" s="3498"/>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505"/>
      <c r="Q23" s="1262" t="str">
        <f>B23</f>
        <v>自然及人文环境</v>
      </c>
      <c r="R23" s="667" t="s">
        <v>18</v>
      </c>
      <c r="S23" s="668">
        <f>F23</f>
        <v>100</v>
      </c>
      <c r="T23" s="667" t="s">
        <v>18</v>
      </c>
      <c r="U23" s="668">
        <f>H23</f>
        <v>100</v>
      </c>
      <c r="V23" s="667" t="s">
        <v>18</v>
      </c>
      <c r="W23" s="668">
        <f>J23</f>
        <v>100</v>
      </c>
      <c r="X23" s="1264"/>
      <c r="Y23" s="349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505"/>
      <c r="Q24" s="1262"/>
      <c r="R24" s="667"/>
      <c r="S24" s="668"/>
      <c r="T24" s="667"/>
      <c r="U24" s="668"/>
      <c r="V24" s="667"/>
      <c r="W24" s="668"/>
      <c r="X24" s="1264"/>
      <c r="Y24" s="3498"/>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505"/>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98"/>
      <c r="Z25" s="1263" t="str">
        <f>Q25</f>
        <v>楼层-1</v>
      </c>
      <c r="AA25" s="1263">
        <f t="shared" ref="AA25:AA46" si="15">D25/F25</f>
        <v>1</v>
      </c>
      <c r="AB25" s="1263">
        <f t="shared" ref="AB25:AB46" si="16">D25/H25</f>
        <v>1</v>
      </c>
      <c r="AC25" s="1263">
        <f t="shared" ref="AC25:AC46" si="17">D25/J25</f>
        <v>1</v>
      </c>
    </row>
    <row r="26" spans="1:29" ht="15">
      <c r="A26" s="367"/>
      <c r="B26" s="364" t="s">
        <v>1693</v>
      </c>
      <c r="C26" s="399" t="s">
        <v>3583</v>
      </c>
      <c r="D26" s="374">
        <v>100</v>
      </c>
      <c r="E26" s="1759" t="s">
        <v>3577</v>
      </c>
      <c r="F26" s="374">
        <f>SUMIF(88:88,E26,89:89)-SUMIF(88:88,C26,89:89)+100</f>
        <v>104</v>
      </c>
      <c r="G26" s="1760" t="s">
        <v>3409</v>
      </c>
      <c r="H26" s="374">
        <f>SUMIF(88:88,G26,89:89)-SUMIF(88:88,C26,89:89)+100</f>
        <v>106</v>
      </c>
      <c r="I26" s="1760" t="s">
        <v>3586</v>
      </c>
      <c r="J26" s="374">
        <f>SUMIF(88:88,I26,89:89)-SUMIF(88:88,C26,89:89)+100</f>
        <v>102</v>
      </c>
      <c r="K26" s="365">
        <v>2</v>
      </c>
      <c r="L26" s="2490"/>
      <c r="M26" s="2485"/>
      <c r="N26" s="2485"/>
      <c r="O26" s="2485"/>
      <c r="P26" s="3505"/>
      <c r="Q26" s="1262" t="str">
        <f t="shared" si="11"/>
        <v>朝向</v>
      </c>
      <c r="R26" s="667" t="s">
        <v>18</v>
      </c>
      <c r="S26" s="668">
        <f t="shared" si="12"/>
        <v>104</v>
      </c>
      <c r="T26" s="667" t="s">
        <v>18</v>
      </c>
      <c r="U26" s="668">
        <f t="shared" si="13"/>
        <v>106</v>
      </c>
      <c r="V26" s="667" t="s">
        <v>18</v>
      </c>
      <c r="W26" s="668">
        <f t="shared" si="14"/>
        <v>102</v>
      </c>
      <c r="X26" s="1264"/>
      <c r="Y26" s="3498"/>
      <c r="Z26" s="1263" t="str">
        <f>Q26</f>
        <v>朝向</v>
      </c>
      <c r="AA26" s="1263">
        <f t="shared" si="15"/>
        <v>0.96153846153846156</v>
      </c>
      <c r="AB26" s="1263">
        <f t="shared" si="16"/>
        <v>0.94339622641509435</v>
      </c>
      <c r="AC26" s="1263">
        <f t="shared" si="17"/>
        <v>0.98039215686274506</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7"/>
      <c r="N27" s="2437"/>
      <c r="O27" s="2437"/>
      <c r="P27" s="3505"/>
      <c r="Q27" s="530">
        <f t="shared" si="11"/>
        <v>111</v>
      </c>
      <c r="R27" s="664" t="s">
        <v>18</v>
      </c>
      <c r="S27" s="665">
        <f t="shared" si="12"/>
        <v>100</v>
      </c>
      <c r="T27" s="664" t="s">
        <v>18</v>
      </c>
      <c r="U27" s="665">
        <f t="shared" si="13"/>
        <v>100</v>
      </c>
      <c r="V27" s="664" t="s">
        <v>18</v>
      </c>
      <c r="W27" s="665">
        <f t="shared" si="14"/>
        <v>100</v>
      </c>
      <c r="X27" s="666"/>
      <c r="Y27" s="3498"/>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505"/>
      <c r="Q28" s="1262">
        <f t="shared" si="11"/>
        <v>111</v>
      </c>
      <c r="R28" s="667" t="s">
        <v>18</v>
      </c>
      <c r="S28" s="668">
        <f t="shared" si="12"/>
        <v>100</v>
      </c>
      <c r="T28" s="667" t="s">
        <v>18</v>
      </c>
      <c r="U28" s="668">
        <f t="shared" si="13"/>
        <v>100</v>
      </c>
      <c r="V28" s="667" t="s">
        <v>18</v>
      </c>
      <c r="W28" s="668">
        <f t="shared" si="14"/>
        <v>100</v>
      </c>
      <c r="X28" s="1264"/>
      <c r="Y28" s="3498"/>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505"/>
      <c r="Q29" s="1262">
        <f t="shared" si="11"/>
        <v>111</v>
      </c>
      <c r="R29" s="667" t="s">
        <v>18</v>
      </c>
      <c r="S29" s="668">
        <f t="shared" si="12"/>
        <v>100</v>
      </c>
      <c r="T29" s="667" t="s">
        <v>18</v>
      </c>
      <c r="U29" s="668">
        <f t="shared" si="13"/>
        <v>100</v>
      </c>
      <c r="V29" s="667" t="s">
        <v>18</v>
      </c>
      <c r="W29" s="668">
        <f t="shared" si="14"/>
        <v>100</v>
      </c>
      <c r="X29" s="1264"/>
      <c r="Y29" s="3498"/>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505"/>
      <c r="Q30" s="1262">
        <f t="shared" si="11"/>
        <v>111</v>
      </c>
      <c r="R30" s="667" t="s">
        <v>18</v>
      </c>
      <c r="S30" s="668">
        <f t="shared" si="12"/>
        <v>100</v>
      </c>
      <c r="T30" s="667" t="s">
        <v>18</v>
      </c>
      <c r="U30" s="668">
        <f t="shared" si="13"/>
        <v>100</v>
      </c>
      <c r="V30" s="667" t="s">
        <v>18</v>
      </c>
      <c r="W30" s="668">
        <f t="shared" si="14"/>
        <v>100</v>
      </c>
      <c r="X30" s="1264"/>
      <c r="Y30" s="3498"/>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505"/>
      <c r="Q31" s="1262">
        <f t="shared" si="11"/>
        <v>111</v>
      </c>
      <c r="R31" s="667" t="s">
        <v>18</v>
      </c>
      <c r="S31" s="668">
        <f t="shared" si="12"/>
        <v>100</v>
      </c>
      <c r="T31" s="667" t="s">
        <v>18</v>
      </c>
      <c r="U31" s="668">
        <f t="shared" si="13"/>
        <v>100</v>
      </c>
      <c r="V31" s="667" t="s">
        <v>18</v>
      </c>
      <c r="W31" s="668">
        <f t="shared" si="14"/>
        <v>100</v>
      </c>
      <c r="X31" s="1264"/>
      <c r="Y31" s="3498"/>
      <c r="Z31" s="1263">
        <f t="shared" si="18"/>
        <v>111</v>
      </c>
      <c r="AA31" s="1263">
        <f t="shared" si="15"/>
        <v>1</v>
      </c>
      <c r="AB31" s="1263">
        <f t="shared" si="16"/>
        <v>1</v>
      </c>
      <c r="AC31" s="1263">
        <f t="shared" si="17"/>
        <v>1</v>
      </c>
    </row>
    <row r="32" spans="1:29" ht="15">
      <c r="A32" s="379" t="s">
        <v>1694</v>
      </c>
      <c r="B32" s="60" t="s">
        <v>1695</v>
      </c>
      <c r="C32" s="1763" t="s">
        <v>3580</v>
      </c>
      <c r="D32" s="405">
        <v>100</v>
      </c>
      <c r="E32" s="1764" t="s">
        <v>3580</v>
      </c>
      <c r="F32" s="400">
        <f>SUMIF(100:100,E32,101:101)-SUMIF(100:100,C32,101:101)+100</f>
        <v>100</v>
      </c>
      <c r="G32" s="1763" t="s">
        <v>3405</v>
      </c>
      <c r="H32" s="405">
        <f>SUMIF(100:100,G32,101:101)-SUMIF(100:100,C32,101:101)+100</f>
        <v>105</v>
      </c>
      <c r="I32" s="1764" t="s">
        <v>3580</v>
      </c>
      <c r="J32" s="374">
        <f>SUMIF(100:100,I32,101:101)-SUMIF(100:100,C32,101:101)+100</f>
        <v>100</v>
      </c>
      <c r="K32" s="365">
        <v>5</v>
      </c>
      <c r="L32" s="2490"/>
      <c r="M32" s="2485"/>
      <c r="N32" s="2485"/>
      <c r="O32" s="2485"/>
      <c r="P32" s="3499" t="s">
        <v>1696</v>
      </c>
      <c r="Q32" s="1262" t="str">
        <f t="shared" si="11"/>
        <v>建筑类型</v>
      </c>
      <c r="R32" s="667" t="s">
        <v>18</v>
      </c>
      <c r="S32" s="668">
        <f t="shared" si="12"/>
        <v>100</v>
      </c>
      <c r="T32" s="667" t="s">
        <v>18</v>
      </c>
      <c r="U32" s="668">
        <f t="shared" si="13"/>
        <v>105</v>
      </c>
      <c r="V32" s="667" t="s">
        <v>18</v>
      </c>
      <c r="W32" s="668">
        <f t="shared" si="14"/>
        <v>100</v>
      </c>
      <c r="X32" s="1264"/>
      <c r="Y32" s="3502" t="s">
        <v>1696</v>
      </c>
      <c r="Z32" s="1263" t="str">
        <f t="shared" si="18"/>
        <v>建筑类型</v>
      </c>
      <c r="AA32" s="1263">
        <f t="shared" si="15"/>
        <v>1</v>
      </c>
      <c r="AB32" s="1263">
        <f t="shared" si="16"/>
        <v>0.95238095238095233</v>
      </c>
      <c r="AC32" s="1263">
        <f t="shared" si="17"/>
        <v>1</v>
      </c>
    </row>
    <row r="33" spans="1:29" s="408" customFormat="1" ht="15">
      <c r="A33" s="406"/>
      <c r="B33" s="364" t="s">
        <v>1697</v>
      </c>
      <c r="C33" s="407">
        <f>项目基本情况!C17</f>
        <v>68.7</v>
      </c>
      <c r="D33" s="119">
        <v>100</v>
      </c>
      <c r="E33" s="369">
        <f>链家案例!W19</f>
        <v>85.6</v>
      </c>
      <c r="F33" s="3247">
        <f>LOOKUP(E33,103:103,104:104)-LOOKUP(C33,103:103,104:104)+100</f>
        <v>100</v>
      </c>
      <c r="G33" s="368">
        <f>链家案例!W20</f>
        <v>66.3</v>
      </c>
      <c r="H33" s="119">
        <f>LOOKUP(G33,103:103,104:104)-LOOKUP(C33,103:103,104:104)+100</f>
        <v>100</v>
      </c>
      <c r="I33" s="369">
        <f>链家案例!W21</f>
        <v>51.9</v>
      </c>
      <c r="J33" s="119">
        <f>LOOKUP(I33,103:103,104:104)-LOOKUP(C33,103:103,104:104)+100</f>
        <v>102</v>
      </c>
      <c r="K33" s="1747"/>
      <c r="L33" s="2489"/>
      <c r="M33" s="2491"/>
      <c r="N33" s="2491"/>
      <c r="O33" s="2491"/>
      <c r="P33" s="3500"/>
      <c r="Q33" s="531" t="str">
        <f t="shared" si="11"/>
        <v>项目建筑规模</v>
      </c>
      <c r="R33" s="669" t="s">
        <v>18</v>
      </c>
      <c r="S33" s="670">
        <f t="shared" si="12"/>
        <v>100</v>
      </c>
      <c r="T33" s="669" t="s">
        <v>18</v>
      </c>
      <c r="U33" s="670">
        <f t="shared" si="13"/>
        <v>100</v>
      </c>
      <c r="V33" s="669" t="s">
        <v>18</v>
      </c>
      <c r="W33" s="670">
        <f t="shared" si="14"/>
        <v>102</v>
      </c>
      <c r="X33" s="671"/>
      <c r="Y33" s="3502"/>
      <c r="Z33" s="672" t="str">
        <f t="shared" si="18"/>
        <v>项目建筑规模</v>
      </c>
      <c r="AA33" s="1263">
        <f t="shared" si="15"/>
        <v>1</v>
      </c>
      <c r="AB33" s="1263">
        <f t="shared" si="16"/>
        <v>1</v>
      </c>
      <c r="AC33" s="1263">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46">
        <f>ROUND(1-(1-2%)*(2014-E44)/50,2)</f>
        <v>0.53</v>
      </c>
      <c r="N34" s="2485"/>
      <c r="O34" s="2485"/>
      <c r="P34" s="3500"/>
      <c r="Q34" s="1262" t="str">
        <f t="shared" si="11"/>
        <v>建筑结构</v>
      </c>
      <c r="R34" s="667" t="s">
        <v>18</v>
      </c>
      <c r="S34" s="668">
        <f t="shared" si="12"/>
        <v>100</v>
      </c>
      <c r="T34" s="667" t="s">
        <v>18</v>
      </c>
      <c r="U34" s="668">
        <f t="shared" si="13"/>
        <v>100</v>
      </c>
      <c r="V34" s="667" t="s">
        <v>18</v>
      </c>
      <c r="W34" s="668">
        <f t="shared" si="14"/>
        <v>100</v>
      </c>
      <c r="X34" s="1264"/>
      <c r="Y34" s="3502"/>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500"/>
      <c r="Q35" s="1262" t="str">
        <f t="shared" si="11"/>
        <v>建筑品质</v>
      </c>
      <c r="R35" s="667" t="s">
        <v>18</v>
      </c>
      <c r="S35" s="668">
        <f t="shared" si="12"/>
        <v>100</v>
      </c>
      <c r="T35" s="667" t="s">
        <v>18</v>
      </c>
      <c r="U35" s="668">
        <f t="shared" si="13"/>
        <v>100</v>
      </c>
      <c r="V35" s="667" t="s">
        <v>18</v>
      </c>
      <c r="W35" s="668">
        <f t="shared" si="14"/>
        <v>100</v>
      </c>
      <c r="X35" s="1264"/>
      <c r="Y35" s="3502"/>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500"/>
      <c r="Q36" s="1262" t="str">
        <f t="shared" si="11"/>
        <v>公共部分装修</v>
      </c>
      <c r="R36" s="667" t="s">
        <v>18</v>
      </c>
      <c r="S36" s="668">
        <f t="shared" si="12"/>
        <v>100</v>
      </c>
      <c r="T36" s="667" t="s">
        <v>18</v>
      </c>
      <c r="U36" s="668">
        <f t="shared" si="13"/>
        <v>100</v>
      </c>
      <c r="V36" s="667" t="s">
        <v>18</v>
      </c>
      <c r="W36" s="668">
        <f t="shared" si="14"/>
        <v>100</v>
      </c>
      <c r="X36" s="1264"/>
      <c r="Y36" s="3502"/>
      <c r="Z36" s="1263" t="str">
        <f t="shared" si="18"/>
        <v>公共部分装修</v>
      </c>
      <c r="AA36" s="1263">
        <f t="shared" si="15"/>
        <v>1</v>
      </c>
      <c r="AB36" s="1263">
        <f t="shared" si="16"/>
        <v>1</v>
      </c>
      <c r="AC36" s="1263">
        <f t="shared" si="17"/>
        <v>1</v>
      </c>
    </row>
    <row r="37" spans="1:29" s="102" customFormat="1" ht="15">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6"/>
      <c r="M37" s="2437"/>
      <c r="N37" s="2437"/>
      <c r="O37" s="2437"/>
      <c r="P37" s="3500"/>
      <c r="Q37" s="530" t="str">
        <f t="shared" si="11"/>
        <v>成新度</v>
      </c>
      <c r="R37" s="664" t="s">
        <v>18</v>
      </c>
      <c r="S37" s="665">
        <f t="shared" si="12"/>
        <v>100</v>
      </c>
      <c r="T37" s="664" t="s">
        <v>18</v>
      </c>
      <c r="U37" s="665">
        <f t="shared" si="13"/>
        <v>100</v>
      </c>
      <c r="V37" s="664" t="s">
        <v>18</v>
      </c>
      <c r="W37" s="665">
        <f t="shared" si="14"/>
        <v>100</v>
      </c>
      <c r="X37" s="666"/>
      <c r="Y37" s="3502"/>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500" t="s">
        <v>1696</v>
      </c>
      <c r="Q38" s="1262" t="str">
        <f t="shared" si="11"/>
        <v>物业管理</v>
      </c>
      <c r="R38" s="667" t="s">
        <v>18</v>
      </c>
      <c r="S38" s="668">
        <f t="shared" si="12"/>
        <v>100</v>
      </c>
      <c r="T38" s="667" t="s">
        <v>18</v>
      </c>
      <c r="U38" s="668">
        <f t="shared" si="13"/>
        <v>100</v>
      </c>
      <c r="V38" s="667" t="s">
        <v>18</v>
      </c>
      <c r="W38" s="668">
        <f t="shared" si="14"/>
        <v>100</v>
      </c>
      <c r="X38" s="1264"/>
      <c r="Y38" s="3502"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500"/>
      <c r="Q39" s="1262" t="str">
        <f t="shared" si="11"/>
        <v>市政基础设施</v>
      </c>
      <c r="R39" s="667" t="s">
        <v>18</v>
      </c>
      <c r="S39" s="668">
        <f t="shared" si="12"/>
        <v>100</v>
      </c>
      <c r="T39" s="667" t="s">
        <v>18</v>
      </c>
      <c r="U39" s="668">
        <f t="shared" si="13"/>
        <v>100</v>
      </c>
      <c r="V39" s="667" t="s">
        <v>18</v>
      </c>
      <c r="W39" s="668">
        <f t="shared" si="14"/>
        <v>100</v>
      </c>
      <c r="X39" s="1264"/>
      <c r="Y39" s="3502"/>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500"/>
      <c r="Q40" s="1262" t="str">
        <f t="shared" si="11"/>
        <v>房型</v>
      </c>
      <c r="R40" s="667" t="s">
        <v>18</v>
      </c>
      <c r="S40" s="668">
        <f t="shared" si="12"/>
        <v>100</v>
      </c>
      <c r="T40" s="667" t="s">
        <v>18</v>
      </c>
      <c r="U40" s="668">
        <f t="shared" si="13"/>
        <v>100</v>
      </c>
      <c r="V40" s="667" t="s">
        <v>18</v>
      </c>
      <c r="W40" s="668">
        <f t="shared" si="14"/>
        <v>100</v>
      </c>
      <c r="X40" s="1264"/>
      <c r="Y40" s="3502"/>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500"/>
      <c r="Q41" s="531" t="str">
        <f t="shared" si="11"/>
        <v>单套/主力户型建筑面积</v>
      </c>
      <c r="R41" s="669" t="s">
        <v>18</v>
      </c>
      <c r="S41" s="670">
        <f t="shared" si="12"/>
        <v>100</v>
      </c>
      <c r="T41" s="669" t="s">
        <v>18</v>
      </c>
      <c r="U41" s="670">
        <f t="shared" si="13"/>
        <v>100</v>
      </c>
      <c r="V41" s="669" t="s">
        <v>18</v>
      </c>
      <c r="W41" s="670">
        <f t="shared" si="14"/>
        <v>100</v>
      </c>
      <c r="X41" s="671"/>
      <c r="Y41" s="3502"/>
      <c r="Z41" s="672" t="str">
        <f t="shared" si="18"/>
        <v>单套/主力户型建筑面积</v>
      </c>
      <c r="AA41" s="1263">
        <f t="shared" si="15"/>
        <v>1</v>
      </c>
      <c r="AB41" s="1263">
        <f t="shared" si="16"/>
        <v>1</v>
      </c>
      <c r="AC41" s="1263">
        <f t="shared" si="17"/>
        <v>1</v>
      </c>
    </row>
    <row r="42" spans="1:29" ht="15">
      <c r="A42" s="409"/>
      <c r="B42" s="364" t="s">
        <v>1706</v>
      </c>
      <c r="C42" s="3147" t="s">
        <v>3402</v>
      </c>
      <c r="D42" s="374">
        <v>100</v>
      </c>
      <c r="E42" s="1760" t="s">
        <v>3589</v>
      </c>
      <c r="F42" s="400">
        <f>SUMIF(122:122,E42,123:123)-SUMIF(122:122,C42,123:123)+100</f>
        <v>107.5</v>
      </c>
      <c r="G42" s="1759" t="s">
        <v>3582</v>
      </c>
      <c r="H42" s="374">
        <f>SUMIF(122:122,G42,123:123)-SUMIF(122:122,C42,123:123)+100</f>
        <v>105</v>
      </c>
      <c r="I42" s="1760" t="s">
        <v>3582</v>
      </c>
      <c r="J42" s="374">
        <f>SUMIF(122:122,I42,123:123)-SUMIF(122:122,C42,123:123)+100</f>
        <v>105</v>
      </c>
      <c r="K42" s="3248">
        <v>2.5</v>
      </c>
      <c r="L42" s="2490"/>
      <c r="M42" s="2485"/>
      <c r="N42" s="2485"/>
      <c r="O42" s="2485"/>
      <c r="P42" s="3500"/>
      <c r="Q42" s="1262" t="str">
        <f t="shared" si="11"/>
        <v>内部装修</v>
      </c>
      <c r="R42" s="667" t="s">
        <v>18</v>
      </c>
      <c r="S42" s="668">
        <f t="shared" si="12"/>
        <v>107.5</v>
      </c>
      <c r="T42" s="667" t="s">
        <v>18</v>
      </c>
      <c r="U42" s="668">
        <f t="shared" si="13"/>
        <v>105</v>
      </c>
      <c r="V42" s="667" t="s">
        <v>18</v>
      </c>
      <c r="W42" s="668">
        <f t="shared" si="14"/>
        <v>105</v>
      </c>
      <c r="X42" s="1264"/>
      <c r="Y42" s="3502"/>
      <c r="Z42" s="1263" t="str">
        <f t="shared" si="18"/>
        <v>内部装修</v>
      </c>
      <c r="AA42" s="1263">
        <f t="shared" si="15"/>
        <v>0.93023255813953487</v>
      </c>
      <c r="AB42" s="1263">
        <f t="shared" si="16"/>
        <v>0.95238095238095233</v>
      </c>
      <c r="AC42" s="1263">
        <f t="shared" si="17"/>
        <v>0.95238095238095233</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500"/>
      <c r="Q43" s="1262" t="str">
        <f t="shared" si="11"/>
        <v>内部装修维护情况</v>
      </c>
      <c r="R43" s="667" t="s">
        <v>18</v>
      </c>
      <c r="S43" s="668">
        <f t="shared" si="12"/>
        <v>100</v>
      </c>
      <c r="T43" s="667" t="s">
        <v>18</v>
      </c>
      <c r="U43" s="668">
        <f t="shared" si="13"/>
        <v>100</v>
      </c>
      <c r="V43" s="667" t="s">
        <v>18</v>
      </c>
      <c r="W43" s="668">
        <f t="shared" si="14"/>
        <v>100</v>
      </c>
      <c r="X43" s="1264"/>
      <c r="Y43" s="3502"/>
      <c r="Z43" s="1263" t="str">
        <f t="shared" si="18"/>
        <v>内部装修维护情况</v>
      </c>
      <c r="AA43" s="1263">
        <f t="shared" si="15"/>
        <v>1</v>
      </c>
      <c r="AB43" s="1263">
        <f t="shared" si="16"/>
        <v>1</v>
      </c>
      <c r="AC43" s="1263">
        <f t="shared" si="17"/>
        <v>1</v>
      </c>
    </row>
    <row r="44" spans="1:29" s="102" customFormat="1" ht="15">
      <c r="A44" s="410"/>
      <c r="B44" s="3146" t="s">
        <v>3408</v>
      </c>
      <c r="C44" s="407">
        <v>1990</v>
      </c>
      <c r="D44" s="119">
        <v>100</v>
      </c>
      <c r="E44" s="407">
        <f>链家案例!Y19</f>
        <v>1990</v>
      </c>
      <c r="F44" s="364">
        <f>SUMIF(126:126,E44,127:127)-SUMIF(126:126,C44,127:127)+100</f>
        <v>100</v>
      </c>
      <c r="G44" s="407">
        <f>链家案例!Y20</f>
        <v>1956</v>
      </c>
      <c r="H44" s="119">
        <f>SUMIF(126:126,G44,127:127)-SUMIF(126:126,C44,127:127)+100</f>
        <v>95</v>
      </c>
      <c r="I44" s="407">
        <f>链家案例!Y21</f>
        <v>1995</v>
      </c>
      <c r="J44" s="119">
        <f>SUMIF(126:126,I44,127:127)-SUMIF(126:126,C44,127:127)+100</f>
        <v>103</v>
      </c>
      <c r="K44" s="1747"/>
      <c r="L44" s="2486"/>
      <c r="M44" s="2437"/>
      <c r="N44" s="2437"/>
      <c r="O44" s="2437"/>
      <c r="P44" s="3500"/>
      <c r="Q44" s="530" t="str">
        <f t="shared" si="11"/>
        <v>建成年代</v>
      </c>
      <c r="R44" s="664" t="s">
        <v>18</v>
      </c>
      <c r="S44" s="665">
        <f t="shared" si="12"/>
        <v>100</v>
      </c>
      <c r="T44" s="664" t="s">
        <v>18</v>
      </c>
      <c r="U44" s="665">
        <f t="shared" si="13"/>
        <v>95</v>
      </c>
      <c r="V44" s="664" t="s">
        <v>18</v>
      </c>
      <c r="W44" s="665">
        <f t="shared" si="14"/>
        <v>103</v>
      </c>
      <c r="X44" s="666"/>
      <c r="Y44" s="3502"/>
      <c r="Z44" s="50" t="str">
        <f t="shared" si="18"/>
        <v>建成年代</v>
      </c>
      <c r="AA44" s="50">
        <f t="shared" si="15"/>
        <v>1</v>
      </c>
      <c r="AB44" s="50">
        <f t="shared" si="16"/>
        <v>1.0526315789473684</v>
      </c>
      <c r="AC44" s="50">
        <f t="shared" si="17"/>
        <v>0.970873786407767</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500"/>
      <c r="Q45" s="1262">
        <f t="shared" si="11"/>
        <v>111</v>
      </c>
      <c r="R45" s="667" t="s">
        <v>18</v>
      </c>
      <c r="S45" s="668">
        <f t="shared" si="12"/>
        <v>100</v>
      </c>
      <c r="T45" s="667" t="s">
        <v>18</v>
      </c>
      <c r="U45" s="668">
        <f t="shared" si="13"/>
        <v>100</v>
      </c>
      <c r="V45" s="667" t="s">
        <v>18</v>
      </c>
      <c r="W45" s="668">
        <f t="shared" si="14"/>
        <v>100</v>
      </c>
      <c r="X45" s="1264"/>
      <c r="Y45" s="3502"/>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501"/>
      <c r="Q46" s="1262">
        <f t="shared" si="11"/>
        <v>111</v>
      </c>
      <c r="R46" s="667" t="s">
        <v>17</v>
      </c>
      <c r="S46" s="668">
        <f t="shared" si="12"/>
        <v>100</v>
      </c>
      <c r="T46" s="667" t="s">
        <v>17</v>
      </c>
      <c r="U46" s="668">
        <f t="shared" si="13"/>
        <v>100</v>
      </c>
      <c r="V46" s="667" t="s">
        <v>17</v>
      </c>
      <c r="W46" s="668">
        <f t="shared" si="14"/>
        <v>100</v>
      </c>
      <c r="X46" s="1264"/>
      <c r="Y46" s="3503"/>
      <c r="Z46" s="1263">
        <f t="shared" si="18"/>
        <v>111</v>
      </c>
      <c r="AA46" s="1263">
        <f t="shared" si="15"/>
        <v>1</v>
      </c>
      <c r="AB46" s="1263">
        <f t="shared" si="16"/>
        <v>1</v>
      </c>
      <c r="AC46" s="1263">
        <f t="shared" si="17"/>
        <v>1</v>
      </c>
    </row>
    <row r="47" spans="1:29" ht="15">
      <c r="A47" s="416" t="s">
        <v>1708</v>
      </c>
      <c r="B47" s="417"/>
      <c r="C47" s="1081" t="s">
        <v>16</v>
      </c>
      <c r="D47" s="418"/>
      <c r="E47" s="419">
        <f>链家案例!Z19</f>
        <v>67758</v>
      </c>
      <c r="F47" s="420"/>
      <c r="G47" s="421">
        <f>链家案例!Z20</f>
        <v>59880</v>
      </c>
      <c r="H47" s="422"/>
      <c r="I47" s="419">
        <f>链家案例!Z21</f>
        <v>64740</v>
      </c>
      <c r="J47" s="422"/>
      <c r="K47" s="1766"/>
      <c r="L47" s="2492"/>
      <c r="M47" s="2485"/>
      <c r="N47" s="2485"/>
      <c r="O47" s="2485"/>
      <c r="P47" s="3496" t="str">
        <f>A47</f>
        <v>成交单价（元/平方米）</v>
      </c>
      <c r="Q47" s="3496"/>
      <c r="R47" s="3490">
        <f>E47</f>
        <v>67758</v>
      </c>
      <c r="S47" s="3490"/>
      <c r="T47" s="3490">
        <f>G47</f>
        <v>59880</v>
      </c>
      <c r="U47" s="3490"/>
      <c r="V47" s="3490">
        <f>I47</f>
        <v>64740</v>
      </c>
      <c r="W47" s="3490"/>
      <c r="X47" s="385"/>
      <c r="Y47" s="673"/>
      <c r="Z47" s="385"/>
      <c r="AA47" s="385"/>
      <c r="AB47" s="385"/>
      <c r="AC47" s="385"/>
    </row>
    <row r="48" spans="1:29" ht="15.75" thickBot="1">
      <c r="A48" s="423" t="s">
        <v>1709</v>
      </c>
      <c r="B48" s="424"/>
      <c r="C48" s="1082">
        <f>R49</f>
        <v>57474</v>
      </c>
      <c r="D48" s="2139" t="s">
        <v>2138</v>
      </c>
      <c r="E48" s="1083">
        <f>R48</f>
        <v>60728</v>
      </c>
      <c r="F48" s="2140"/>
      <c r="G48" s="1082">
        <f>T48</f>
        <v>54043</v>
      </c>
      <c r="H48" s="2140"/>
      <c r="I48" s="1083">
        <f>V48</f>
        <v>57652</v>
      </c>
      <c r="J48" s="2140"/>
      <c r="K48" s="2141">
        <f>F48+H48+J48</f>
        <v>0</v>
      </c>
      <c r="L48" s="2492"/>
      <c r="M48" s="2485"/>
      <c r="N48" s="2485"/>
      <c r="O48" s="2485"/>
      <c r="P48" s="3496" t="str">
        <f>A48</f>
        <v>比较价值（元/平方米）</v>
      </c>
      <c r="Q48" s="3496"/>
      <c r="R48" s="3490">
        <f>IF(F1="售价",ROUND(PRODUCT(R47,AA7:AA46),0),ROUND(PRODUCT(R47,AA7:AA46),1))</f>
        <v>60728</v>
      </c>
      <c r="S48" s="3490"/>
      <c r="T48" s="3490">
        <f>IF(F1="售价",ROUND(PRODUCT(T47,AB7:AB46),0),ROUND(PRODUCT(T47,AB7:AB46),1))</f>
        <v>54043</v>
      </c>
      <c r="U48" s="3490"/>
      <c r="V48" s="3490">
        <f>IF(F1="售价",ROUND(PRODUCT(V47,AC7:AC46),0),ROUND(PRODUCT(V47,AC7:AC46),1))</f>
        <v>57652</v>
      </c>
      <c r="W48" s="3490"/>
      <c r="X48" s="385"/>
      <c r="Y48" s="385"/>
      <c r="Z48" s="385"/>
      <c r="AA48" s="385"/>
      <c r="AB48" s="385"/>
      <c r="AC48" s="385"/>
    </row>
    <row r="49" spans="1:29" ht="15.75" thickBot="1">
      <c r="A49" s="427" t="s">
        <v>1710</v>
      </c>
      <c r="B49" s="428"/>
      <c r="C49" s="1084">
        <f>R49</f>
        <v>57474</v>
      </c>
      <c r="D49" s="351"/>
      <c r="E49" s="351"/>
      <c r="F49" s="351"/>
      <c r="G49" s="351"/>
      <c r="H49" s="351"/>
      <c r="I49" s="351"/>
      <c r="J49" s="351"/>
      <c r="K49" s="1767"/>
      <c r="L49" s="2492"/>
      <c r="M49" s="2485"/>
      <c r="N49" s="2485"/>
      <c r="O49" s="2485"/>
      <c r="P49" s="3493" t="str">
        <f>A49</f>
        <v>估价对象XX用房的比较价值（楼面单价，元/平方米）</v>
      </c>
      <c r="Q49" s="3494"/>
      <c r="R49" s="3495">
        <f>IF(F1="售价",ROUND(IF(D48="简单平均",AVERAGE(R48:V48),R48*F48+T48*H48+V48*J48),0),ROUND(IF(D48="简单平均",AVERAGE(R48:V48),R48*F48+T48*H48+V48*J48),1))</f>
        <v>57474</v>
      </c>
      <c r="S49" s="3495"/>
      <c r="T49" s="3495"/>
      <c r="U49" s="3495"/>
      <c r="V49" s="3495"/>
      <c r="W49" s="349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0.11576208668159671</v>
      </c>
      <c r="F52" s="435" t="str">
        <f>IF(OR(E52&gt;=0.3,E52&lt;=-0.3),"超过30%","")</f>
        <v/>
      </c>
      <c r="G52" s="434">
        <f>IF(G47&lt;G48,G48/G47-1,G47/G48-1)</f>
        <v>0.10800658734711255</v>
      </c>
      <c r="H52" s="435" t="str">
        <f>IF(OR(G52&gt;=0.3,G52&lt;=-0.3),"超过30%","")</f>
        <v/>
      </c>
      <c r="I52" s="434">
        <f>IF(I47&lt;I48,I48/I47-1,I47/I48-1)</f>
        <v>0.12294456393533615</v>
      </c>
      <c r="J52" s="435" t="str">
        <f>IF(OR(I52&gt;=0.3,I52&lt;=-0.3),"超过30%","")</f>
        <v/>
      </c>
      <c r="K52" s="2497"/>
      <c r="L52" s="2493"/>
      <c r="M52" s="2485"/>
      <c r="N52" s="2485"/>
      <c r="O52" s="2485"/>
    </row>
    <row r="53" spans="1:29" ht="13.5" customHeight="1">
      <c r="A53" s="2485"/>
      <c r="B53" s="2485"/>
      <c r="C53" s="432" t="s">
        <v>1712</v>
      </c>
      <c r="D53" s="436"/>
      <c r="E53" s="434">
        <f>IF(E48&lt;G48,G48/E48-1,E48/G48-1)</f>
        <v>0.12369779619932286</v>
      </c>
      <c r="F53" s="435" t="str">
        <f>IF(OR(E53&gt;=0.2,E53&lt;=-0.2),"超过20%","")</f>
        <v/>
      </c>
      <c r="G53" s="434">
        <f>IF(G48&lt;I48,I48/G48-1,G48/I48-1)</f>
        <v>6.6780156542012747E-2</v>
      </c>
      <c r="H53" s="435" t="str">
        <f>IF(OR(G53&gt;=0.2,G53&lt;=-0.2),"超过20%","")</f>
        <v/>
      </c>
      <c r="I53" s="434">
        <f>IF(I48&lt;E48,E48/I48-1,I48/E48-1)</f>
        <v>5.335461042114753E-2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0.13156312625250499</v>
      </c>
      <c r="F54" s="435" t="str">
        <f>IF(OR(E54&gt;=0.3,E54&lt;=-0.3),"超过30%","")</f>
        <v/>
      </c>
      <c r="G54" s="434">
        <f>IF(G47&lt;I47,I47/G47-1,G47/I47-1)</f>
        <v>8.1162324649298512E-2</v>
      </c>
      <c r="H54" s="435" t="str">
        <f>IF(OR(G54&gt;=0.3,G54&lt;=-0.3),"超过30%","")</f>
        <v/>
      </c>
      <c r="I54" s="434">
        <f>IF(I47&lt;E47,E47/I47-1,I47/E47-1)</f>
        <v>4.6617238183503273E-2</v>
      </c>
      <c r="J54" s="435" t="str">
        <f>IF(OR(I54&gt;=0.3,I54&lt;=-0.3),"超过30%","")</f>
        <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437"/>
      <c r="Q57" s="437"/>
      <c r="R57" s="437"/>
      <c r="S57" s="437"/>
      <c r="T57" s="437"/>
      <c r="U57" s="437"/>
      <c r="V57" s="437"/>
      <c r="W57" s="437"/>
      <c r="X57" s="437"/>
      <c r="Y57" s="437"/>
      <c r="Z57" s="437"/>
    </row>
    <row r="58" spans="1:29" s="442" customFormat="1" ht="15">
      <c r="A58" s="440" t="s">
        <v>1715</v>
      </c>
      <c r="B58" s="441"/>
      <c r="C58" s="1104" t="str">
        <f>YEAR(C7)&amp;"-"&amp;MONTH(C7)</f>
        <v>2014-4</v>
      </c>
      <c r="D58" s="1103">
        <f>EDATE(C58,-1)</f>
        <v>41699</v>
      </c>
      <c r="E58" s="1103">
        <f>EDATE(D58,-1)</f>
        <v>41671</v>
      </c>
      <c r="F58" s="1103">
        <f t="shared" ref="F58:O58" si="19">EDATE(E58,-1)</f>
        <v>41640</v>
      </c>
      <c r="G58" s="1103">
        <f t="shared" si="19"/>
        <v>41609</v>
      </c>
      <c r="H58" s="1103">
        <f t="shared" si="19"/>
        <v>41579</v>
      </c>
      <c r="I58" s="1103">
        <f t="shared" si="19"/>
        <v>41548</v>
      </c>
      <c r="J58" s="1103">
        <f t="shared" si="19"/>
        <v>41518</v>
      </c>
      <c r="K58" s="1103">
        <f t="shared" si="19"/>
        <v>41487</v>
      </c>
      <c r="L58" s="1103">
        <f t="shared" si="19"/>
        <v>41456</v>
      </c>
      <c r="M58" s="1103">
        <f t="shared" si="19"/>
        <v>41426</v>
      </c>
      <c r="N58" s="1103">
        <f t="shared" si="19"/>
        <v>41395</v>
      </c>
      <c r="O58" s="1103">
        <f t="shared" si="19"/>
        <v>41365</v>
      </c>
      <c r="P58" s="437"/>
      <c r="Q58" s="437"/>
      <c r="R58" s="437"/>
      <c r="S58" s="437"/>
      <c r="T58" s="437"/>
      <c r="U58" s="437"/>
      <c r="V58" s="437"/>
      <c r="W58" s="437"/>
      <c r="X58" s="437"/>
      <c r="Y58" s="437"/>
      <c r="Z58" s="437"/>
    </row>
    <row r="59" spans="1:29" s="102" customFormat="1" ht="15">
      <c r="A59" s="443"/>
      <c r="B59" s="1770"/>
      <c r="C59" s="1101">
        <v>100</v>
      </c>
      <c r="D59" s="445">
        <v>100</v>
      </c>
      <c r="E59" s="446">
        <f>D59</f>
        <v>100</v>
      </c>
      <c r="F59" s="446">
        <f>D59</f>
        <v>100</v>
      </c>
      <c r="G59" s="446">
        <v>99.8</v>
      </c>
      <c r="H59" s="446">
        <v>99.8</v>
      </c>
      <c r="I59" s="446">
        <f>G59</f>
        <v>99.8</v>
      </c>
      <c r="J59" s="446"/>
      <c r="K59" s="446"/>
      <c r="L59" s="446"/>
      <c r="M59" s="447"/>
      <c r="N59" s="446"/>
      <c r="O59" s="447"/>
      <c r="P59" s="437"/>
      <c r="Q59" s="437"/>
      <c r="R59" s="437"/>
      <c r="S59" s="437"/>
      <c r="T59" s="437"/>
      <c r="U59" s="437"/>
      <c r="V59" s="437"/>
      <c r="W59" s="437"/>
      <c r="X59" s="437"/>
      <c r="Y59" s="437"/>
      <c r="Z59" s="437"/>
    </row>
    <row r="60" spans="1:29" s="102" customFormat="1" ht="15.75" thickBot="1">
      <c r="A60" s="449" t="s">
        <v>1716</v>
      </c>
      <c r="B60" s="450"/>
      <c r="C60" s="451"/>
      <c r="D60" s="452"/>
      <c r="E60" s="452"/>
      <c r="F60" s="452"/>
      <c r="G60" s="452"/>
      <c r="H60" s="452"/>
      <c r="I60" s="452"/>
      <c r="J60" s="452"/>
      <c r="K60" s="452"/>
      <c r="L60" s="452"/>
      <c r="M60" s="453"/>
      <c r="N60" s="452"/>
      <c r="O60" s="453"/>
      <c r="P60" s="437"/>
      <c r="Q60" s="437"/>
      <c r="R60" s="437"/>
      <c r="S60" s="437"/>
      <c r="T60" s="437"/>
      <c r="U60" s="437"/>
      <c r="V60" s="437"/>
      <c r="W60" s="437"/>
      <c r="X60" s="437"/>
      <c r="Y60" s="437"/>
      <c r="Z60" s="437"/>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43" t="s">
        <v>3410</v>
      </c>
      <c r="D88" s="3143" t="s">
        <v>3579</v>
      </c>
      <c r="E88" s="3143" t="s">
        <v>3588</v>
      </c>
      <c r="F88" s="3242" t="s">
        <v>3584</v>
      </c>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3"/>
      <c r="Q89" s="439"/>
    </row>
    <row r="90" spans="1:17" s="408" customFormat="1" ht="15.75" thickTop="1">
      <c r="A90" s="484"/>
      <c r="B90" s="469">
        <f>B27</f>
        <v>111</v>
      </c>
      <c r="C90" s="485"/>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3406</v>
      </c>
      <c r="D100" s="3145" t="s">
        <v>3581</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75" thickTop="1">
      <c r="A102" s="367"/>
      <c r="B102" s="469" t="s">
        <v>1737</v>
      </c>
      <c r="C102" s="509" t="str">
        <f>C103&amp;"(含)"&amp;"-"&amp;D103</f>
        <v>0(含)-60</v>
      </c>
      <c r="D102" s="509" t="str">
        <f t="shared" ref="D102:L102" si="26">D103&amp;"(含)"&amp;"-"&amp;E103</f>
        <v>60(含)-90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60</v>
      </c>
      <c r="E103" s="6">
        <v>90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4"/>
      <c r="Q104" s="490"/>
    </row>
    <row r="105" spans="1:17" ht="15" thickTop="1">
      <c r="A105" s="409"/>
      <c r="B105" s="469" t="s">
        <v>1738</v>
      </c>
      <c r="C105" s="3143" t="s">
        <v>3407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3404</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3399</v>
      </c>
      <c r="D122" s="3143" t="s">
        <v>3400</v>
      </c>
      <c r="E122" s="3143" t="s">
        <v>3401</v>
      </c>
      <c r="F122" s="3144" t="s">
        <v>3403</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97.5</v>
      </c>
      <c r="E123" s="475">
        <f t="shared" si="32"/>
        <v>95</v>
      </c>
      <c r="F123" s="475">
        <f t="shared" si="32"/>
        <v>92.5</v>
      </c>
      <c r="G123" s="475">
        <f t="shared" si="32"/>
        <v>90</v>
      </c>
      <c r="H123" s="475">
        <f t="shared" si="32"/>
        <v>87.5</v>
      </c>
      <c r="I123" s="475">
        <f t="shared" si="32"/>
        <v>85</v>
      </c>
      <c r="J123" s="475">
        <f t="shared" si="32"/>
        <v>82.5</v>
      </c>
      <c r="K123" s="475">
        <f t="shared" si="32"/>
        <v>80</v>
      </c>
      <c r="L123" s="475">
        <f t="shared" si="32"/>
        <v>77.5</v>
      </c>
      <c r="M123" s="475">
        <f t="shared" si="32"/>
        <v>75</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v>1990</v>
      </c>
      <c r="D126" s="485">
        <v>1956</v>
      </c>
      <c r="E126" s="485">
        <v>1995</v>
      </c>
      <c r="F126" s="485"/>
      <c r="G126" s="485"/>
      <c r="H126" s="486"/>
      <c r="I126" s="486"/>
      <c r="J126" s="486"/>
      <c r="K126" s="486"/>
      <c r="L126" s="487"/>
      <c r="M126" s="488"/>
      <c r="N126" s="881"/>
      <c r="O126" s="881"/>
      <c r="P126" s="1774"/>
      <c r="Q126" s="490"/>
    </row>
    <row r="127" spans="1:17" s="408" customFormat="1" ht="15.75" thickBot="1">
      <c r="A127" s="484"/>
      <c r="B127" s="474"/>
      <c r="C127" s="491">
        <v>100</v>
      </c>
      <c r="D127" s="467">
        <v>95</v>
      </c>
      <c r="E127" s="467">
        <v>103</v>
      </c>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S19:AA95"/>
  <sheetViews>
    <sheetView workbookViewId="0">
      <selection activeCell="AA28" sqref="AA28"/>
    </sheetView>
  </sheetViews>
  <sheetFormatPr defaultColWidth="8.875" defaultRowHeight="13.5"/>
  <cols>
    <col min="1" max="26" width="8.875" style="3150"/>
    <col min="27" max="27" width="11.625" style="3150" bestFit="1" customWidth="1"/>
    <col min="28" max="16384" width="8.875" style="3150"/>
  </cols>
  <sheetData>
    <row r="19" spans="22:27">
      <c r="V19" s="3150" t="s">
        <v>3585</v>
      </c>
      <c r="W19" s="3245">
        <v>85.6</v>
      </c>
      <c r="X19" s="3245" t="s">
        <v>3578</v>
      </c>
      <c r="Y19" s="3245">
        <v>1990</v>
      </c>
      <c r="Z19" s="3245">
        <v>67758</v>
      </c>
      <c r="AA19" s="3246">
        <v>41568</v>
      </c>
    </row>
    <row r="20" spans="22:27">
      <c r="W20" s="3245">
        <v>66.3</v>
      </c>
      <c r="X20" s="3245" t="s">
        <v>3575</v>
      </c>
      <c r="Y20" s="3245">
        <v>1956</v>
      </c>
      <c r="Z20" s="3245">
        <v>59880</v>
      </c>
      <c r="AA20" s="3246">
        <v>41563</v>
      </c>
    </row>
    <row r="21" spans="22:27">
      <c r="W21" s="3245">
        <v>51.9</v>
      </c>
      <c r="X21" s="3245" t="s">
        <v>3587</v>
      </c>
      <c r="Y21" s="3245">
        <v>1995</v>
      </c>
      <c r="Z21" s="3245">
        <v>64740</v>
      </c>
      <c r="AA21" s="3246">
        <v>41563</v>
      </c>
    </row>
    <row r="95" spans="19:19">
      <c r="S95" s="3149" t="s">
        <v>3413</v>
      </c>
    </row>
  </sheetData>
  <phoneticPr fontId="136" type="noConversion"/>
  <hyperlinks>
    <hyperlink ref="S95" r:id="rId1" xr:uid="{00000000-0004-0000-1A00-000000000000}"/>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3390</v>
      </c>
      <c r="D1" s="1270" t="s">
        <v>43</v>
      </c>
      <c r="E1" s="1271" t="s">
        <v>678</v>
      </c>
      <c r="F1" s="999">
        <f ca="1">J53</f>
        <v>70</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190.1028</v>
      </c>
      <c r="C2" s="1288" t="s">
        <v>879</v>
      </c>
      <c r="D2" s="1374">
        <f ca="1">C40+J29+L46</f>
        <v>1901028</v>
      </c>
      <c r="E2" s="1294" t="s">
        <v>880</v>
      </c>
      <c r="F2" s="1295"/>
      <c r="G2" s="2476"/>
      <c r="H2" s="2466"/>
      <c r="I2" s="2466"/>
      <c r="J2" s="2466"/>
      <c r="K2" s="2467"/>
      <c r="L2" s="2466"/>
      <c r="M2" s="2466"/>
    </row>
    <row r="3" spans="1:37" ht="18" customHeight="1" thickBot="1">
      <c r="A3" s="1296" t="s">
        <v>881</v>
      </c>
      <c r="B3" s="1297">
        <f ca="1">IF(ISERROR(D2/F43),0,ROUND(D2/F43,0))</f>
        <v>27671</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54135</v>
      </c>
      <c r="D5" s="1272" t="s">
        <v>889</v>
      </c>
      <c r="E5" s="1008"/>
      <c r="F5" s="1009"/>
      <c r="G5" s="1291"/>
      <c r="H5" s="291">
        <v>1</v>
      </c>
      <c r="I5" s="292" t="s">
        <v>888</v>
      </c>
      <c r="J5" s="1007">
        <f ca="1">J6+J10+J12</f>
        <v>0</v>
      </c>
      <c r="K5" s="1272" t="s">
        <v>889</v>
      </c>
      <c r="L5" s="1008"/>
      <c r="M5" s="1009"/>
    </row>
    <row r="6" spans="1:37" ht="18" customHeight="1">
      <c r="A6" s="1006" t="s">
        <v>398</v>
      </c>
      <c r="B6" s="3436" t="s">
        <v>694</v>
      </c>
      <c r="C6" s="1011">
        <f ca="1">ROUND(F6*F8*F7*(1-F9),0)</f>
        <v>54000</v>
      </c>
      <c r="D6" s="147" t="s">
        <v>2106</v>
      </c>
      <c r="E6" s="294" t="s">
        <v>696</v>
      </c>
      <c r="F6" s="295">
        <f ca="1">INDIRECT("'数据-取费表'!u"&amp;$G$1)</f>
        <v>5000</v>
      </c>
      <c r="G6" s="1291"/>
      <c r="H6" s="1006" t="s">
        <v>398</v>
      </c>
      <c r="I6" s="3436" t="s">
        <v>694</v>
      </c>
      <c r="J6" s="293">
        <f ca="1">ROUND(M6*M8*M7*(1-M9),0)</f>
        <v>0</v>
      </c>
      <c r="K6" s="1283" t="s">
        <v>2107</v>
      </c>
      <c r="L6" s="294" t="s">
        <v>696</v>
      </c>
      <c r="M6" s="295">
        <f ca="1">INDIRECT("'数据-取费表'!z"&amp;$G$1)</f>
        <v>0</v>
      </c>
    </row>
    <row r="7" spans="1:37" ht="18" customHeight="1">
      <c r="A7" s="1010"/>
      <c r="B7" s="3437"/>
      <c r="C7" s="1012"/>
      <c r="D7" s="299"/>
      <c r="E7" s="1013" t="s">
        <v>697</v>
      </c>
      <c r="F7" s="295">
        <f ca="1">IF(INDIRECT("'数据-取费表'!ah"&amp;$G$1)="",INDIRECT("'数据-取费表'!k"&amp;$G$1),INDIRECT("'数据-取费表'!ah"&amp;$G$1))</f>
        <v>1</v>
      </c>
      <c r="G7" s="1291"/>
      <c r="H7" s="296"/>
      <c r="I7" s="3437"/>
      <c r="J7" s="298"/>
      <c r="K7" s="299"/>
      <c r="L7" s="294" t="s">
        <v>697</v>
      </c>
      <c r="M7" s="295">
        <f ca="1">F7</f>
        <v>1</v>
      </c>
    </row>
    <row r="8" spans="1:37" ht="18" customHeight="1">
      <c r="A8" s="296"/>
      <c r="B8" s="3437"/>
      <c r="C8" s="298"/>
      <c r="D8" s="299"/>
      <c r="E8" s="294" t="s">
        <v>698</v>
      </c>
      <c r="F8" s="295">
        <f ca="1">INDIRECT("'数据-取费表'!ai"&amp;$G$1)</f>
        <v>12</v>
      </c>
      <c r="G8" s="1291"/>
      <c r="H8" s="296"/>
      <c r="I8" s="3437"/>
      <c r="J8" s="298"/>
      <c r="K8" s="299"/>
      <c r="L8" s="294" t="s">
        <v>698</v>
      </c>
      <c r="M8" s="295">
        <f ca="1">INDIRECT("'数据-取费表'!ai"&amp;$G$1)</f>
        <v>12</v>
      </c>
    </row>
    <row r="9" spans="1:37" ht="18" customHeight="1">
      <c r="A9" s="296"/>
      <c r="B9" s="3438"/>
      <c r="C9" s="298"/>
      <c r="D9" s="299"/>
      <c r="E9" s="294" t="s">
        <v>699</v>
      </c>
      <c r="F9" s="304">
        <f ca="1">INDIRECT("'数据-取费表'!w"&amp;$G$1)</f>
        <v>0.1</v>
      </c>
      <c r="G9" s="1291"/>
      <c r="H9" s="296"/>
      <c r="I9" s="3438"/>
      <c r="J9" s="298"/>
      <c r="K9" s="299"/>
      <c r="L9" s="305" t="s">
        <v>699</v>
      </c>
      <c r="M9" s="306">
        <f ca="1">INDIRECT("'数据-取费表'!ab"&amp;$G$1)</f>
        <v>0</v>
      </c>
    </row>
    <row r="10" spans="1:37" ht="18" customHeight="1">
      <c r="A10" s="1006" t="s">
        <v>402</v>
      </c>
      <c r="B10" s="1273" t="s">
        <v>700</v>
      </c>
      <c r="C10" s="308">
        <f ca="1">ROUND(IF(F10="押一",C6/12*F11,IF(F10="押二",C6/12*2*F11,IF(F10="押三",C6/12*3*F11,C11*F11))),0)</f>
        <v>135</v>
      </c>
      <c r="D10" s="150" t="s">
        <v>2116</v>
      </c>
      <c r="E10" s="305" t="s">
        <v>701</v>
      </c>
      <c r="F10" s="1053" t="s">
        <v>3416</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220056</v>
      </c>
      <c r="D13" s="1018" t="s">
        <v>705</v>
      </c>
      <c r="E13" s="1018" t="s">
        <v>706</v>
      </c>
      <c r="F13" s="1019">
        <f ca="1">INDIRECT("'数据-取费表'!y"&amp;$G$1)</f>
        <v>0.7</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206100</v>
      </c>
      <c r="D14" s="1256" t="s">
        <v>708</v>
      </c>
      <c r="E14" s="1254"/>
      <c r="F14" s="311"/>
      <c r="G14" s="1291"/>
      <c r="H14" s="928" t="s">
        <v>398</v>
      </c>
      <c r="I14" s="294" t="s">
        <v>709</v>
      </c>
      <c r="J14" s="21">
        <f ca="1">C29</f>
        <v>314365</v>
      </c>
      <c r="K14" s="12"/>
      <c r="L14" s="759"/>
      <c r="M14" s="760"/>
    </row>
    <row r="15" spans="1:37" s="1303" customFormat="1" ht="18" customHeight="1" thickBot="1">
      <c r="A15" s="928" t="s">
        <v>399</v>
      </c>
      <c r="B15" s="294" t="s">
        <v>710</v>
      </c>
      <c r="C15" s="21">
        <f ca="1">ROUND(C14*F15,0)</f>
        <v>6183</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10305</v>
      </c>
      <c r="D16" s="294" t="s">
        <v>711</v>
      </c>
      <c r="E16" s="294" t="s">
        <v>712</v>
      </c>
      <c r="F16" s="314">
        <f ca="1">IF(INDIRECT("'数据-取费表'!c"&amp;$G$1)="住宅",'数据-取费表'!B34,0)</f>
        <v>0.05</v>
      </c>
      <c r="G16" s="1291"/>
      <c r="H16" s="1016" t="s">
        <v>393</v>
      </c>
      <c r="I16" s="1017" t="s">
        <v>714</v>
      </c>
      <c r="J16" s="302">
        <f ca="1">ROUND(J17+J22+J23+J24,0)</f>
        <v>629</v>
      </c>
      <c r="K16" s="1024" t="s">
        <v>715</v>
      </c>
      <c r="L16" s="1025"/>
      <c r="M16" s="1009"/>
    </row>
    <row r="17" spans="1:37" s="1303" customFormat="1" ht="18" customHeight="1">
      <c r="A17" s="928" t="s">
        <v>681</v>
      </c>
      <c r="B17" s="294" t="s">
        <v>716</v>
      </c>
      <c r="C17" s="21">
        <f ca="1">ROUND(F17*(F43+INDIRECT("'数据-取费表'!S"&amp;$G$1)),0)</f>
        <v>13740</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3092</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239420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2394</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629</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14871</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-629</v>
      </c>
      <c r="K25" s="1032" t="s">
        <v>753</v>
      </c>
      <c r="L25" s="1033"/>
      <c r="M25" s="1034"/>
    </row>
    <row r="26" spans="1:37" ht="18" customHeight="1">
      <c r="A26" s="928" t="s">
        <v>397</v>
      </c>
      <c r="B26" s="294" t="s">
        <v>754</v>
      </c>
      <c r="C26" s="21">
        <f ca="1">ROUND((C19+C20)*F26,0)</f>
        <v>36272</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314365</v>
      </c>
      <c r="D29" s="1029"/>
      <c r="E29" s="1027"/>
      <c r="F29" s="1030"/>
      <c r="G29" s="1302"/>
      <c r="H29" s="325" t="s">
        <v>396</v>
      </c>
      <c r="I29" s="326" t="s">
        <v>768</v>
      </c>
      <c r="J29" s="327">
        <f ca="1">ROUND(J26/(1+F40)^F41,0)</f>
        <v>0</v>
      </c>
      <c r="K29" s="328" t="s">
        <v>769</v>
      </c>
      <c r="L29" s="329"/>
      <c r="M29" s="330">
        <f ca="1">INDIRECT("'数据-取费表'!k"&amp;$G$1)</f>
        <v>68.7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2740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1350</v>
      </c>
      <c r="D31" s="1256" t="s">
        <v>720</v>
      </c>
      <c r="E31" s="1255" t="s">
        <v>770</v>
      </c>
      <c r="F31" s="2137">
        <f ca="1">IF(项目基本情况!B11="企业","——",IF(M47="住宅",IF(F6*F7*F8/12/(1+'数据-取费表'!F30)&gt;100000,4%,2.5%),IF(F6*F7*F8/12/(1+'数据-取费表'!F30)&gt;100000,12%,7%)))</f>
        <v>2.5000000000000001E-2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629</v>
      </c>
      <c r="D36" s="1255" t="s">
        <v>771</v>
      </c>
      <c r="E36" s="294" t="s">
        <v>712</v>
      </c>
      <c r="F36" s="320">
        <f ca="1">INDIRECT("'数据-取费表'!Ak"&amp;$G$1)</f>
        <v>2E-3</v>
      </c>
      <c r="G36" s="1291"/>
      <c r="H36" s="2471"/>
      <c r="I36" s="1304"/>
      <c r="J36" s="1305"/>
      <c r="K36" s="2328"/>
      <c r="L36" s="2471"/>
      <c r="M36" s="2471"/>
    </row>
    <row r="37" spans="1:18" ht="18" customHeight="1">
      <c r="A37" s="928" t="s">
        <v>437</v>
      </c>
      <c r="B37" s="294" t="s">
        <v>742</v>
      </c>
      <c r="C37" s="21">
        <f ca="1">ROUND(C13*F37,0)</f>
        <v>220</v>
      </c>
      <c r="D37" s="1255" t="s">
        <v>743</v>
      </c>
      <c r="E37" s="294" t="s">
        <v>744</v>
      </c>
      <c r="F37" s="321">
        <f ca="1">INDIRECT("'数据-取费表'!Al"&amp;$G$1)</f>
        <v>1E-3</v>
      </c>
      <c r="G37" s="1291"/>
      <c r="H37" s="2471"/>
      <c r="I37" s="1304"/>
      <c r="J37" s="1305"/>
      <c r="K37" s="2328"/>
      <c r="L37" s="2471"/>
      <c r="M37" s="2471"/>
    </row>
    <row r="38" spans="1:18" ht="18" customHeight="1" thickBot="1">
      <c r="A38" s="1026" t="s">
        <v>684</v>
      </c>
      <c r="B38" s="1027" t="s">
        <v>728</v>
      </c>
      <c r="C38" s="1028">
        <f ca="1">ROUND(C5*F38,0)</f>
        <v>541</v>
      </c>
      <c r="D38" s="1029" t="s">
        <v>748</v>
      </c>
      <c r="E38" s="1027" t="s">
        <v>744</v>
      </c>
      <c r="F38" s="1023">
        <f ca="1">INDIRECT("'数据-取费表'!Am"&amp;$G$1)</f>
        <v>0.01</v>
      </c>
      <c r="G38" s="1291"/>
      <c r="H38" s="2471"/>
      <c r="I38" s="1304"/>
      <c r="J38" s="1305"/>
      <c r="K38" s="2469"/>
      <c r="L38" s="2471"/>
      <c r="M38" s="2471"/>
    </row>
    <row r="39" spans="1:18" ht="24.6" customHeight="1" thickTop="1">
      <c r="A39" s="1016" t="s">
        <v>394</v>
      </c>
      <c r="B39" s="1031" t="s">
        <v>772</v>
      </c>
      <c r="C39" s="302">
        <f ca="1">C5-C30</f>
        <v>51395</v>
      </c>
      <c r="D39" s="1032" t="s">
        <v>773</v>
      </c>
      <c r="E39" s="1033"/>
      <c r="F39" s="1034"/>
      <c r="G39" s="1291"/>
      <c r="H39" s="2471"/>
      <c r="I39" s="1304"/>
      <c r="J39" s="1305"/>
      <c r="K39" s="2469"/>
      <c r="L39" s="2471"/>
      <c r="M39" s="2471"/>
    </row>
    <row r="40" spans="1:18" ht="18" customHeight="1">
      <c r="A40" s="291" t="s">
        <v>395</v>
      </c>
      <c r="B40" s="292" t="s">
        <v>774</v>
      </c>
      <c r="C40" s="293">
        <f ca="1">ROUND(C39*(1-((1+F42)/(1+F40))^F41)/(F40-F42),0)</f>
        <v>1901028</v>
      </c>
      <c r="D40" s="316" t="s">
        <v>758</v>
      </c>
      <c r="E40" s="294" t="s">
        <v>759</v>
      </c>
      <c r="F40" s="304">
        <f ca="1">INDIRECT("'数据-取费表'!I"&amp;$G$1)</f>
        <v>0.05</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70</v>
      </c>
      <c r="G41" s="1291"/>
      <c r="H41" s="121"/>
      <c r="I41" s="1304"/>
      <c r="J41" s="1305"/>
      <c r="K41" s="2328"/>
      <c r="L41" s="121"/>
      <c r="M41" s="121"/>
    </row>
    <row r="42" spans="1:18" ht="18" customHeight="1">
      <c r="A42" s="300"/>
      <c r="B42" s="301"/>
      <c r="C42" s="302"/>
      <c r="D42" s="319"/>
      <c r="E42" s="294" t="s">
        <v>766</v>
      </c>
      <c r="F42" s="304">
        <f ca="1">INDIRECT("'数据-取费表'!v"&amp;$G$1)</f>
        <v>0.03</v>
      </c>
      <c r="G42" s="1291"/>
      <c r="H42" s="121"/>
      <c r="I42" s="1304"/>
      <c r="J42" s="1305"/>
      <c r="K42" s="2328"/>
      <c r="L42" s="121"/>
      <c r="M42" s="121"/>
    </row>
    <row r="43" spans="1:18" ht="18" customHeight="1" thickBot="1">
      <c r="A43" s="325" t="s">
        <v>396</v>
      </c>
      <c r="B43" s="326" t="s">
        <v>776</v>
      </c>
      <c r="C43" s="327">
        <f ca="1">ROUND(C40/F43,0)</f>
        <v>27671</v>
      </c>
      <c r="D43" s="328" t="s">
        <v>777</v>
      </c>
      <c r="E43" s="329" t="s">
        <v>778</v>
      </c>
      <c r="F43" s="330">
        <f ca="1">INDIRECT("'数据-取费表'!k"&amp;$G$1)</f>
        <v>68.7</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f ca="1">ROUND((C68-C40)/10000,4)</f>
        <v>-191.745</v>
      </c>
      <c r="D45" s="3128" t="s">
        <v>3355</v>
      </c>
      <c r="E45" s="1306"/>
      <c r="F45" s="1306"/>
      <c r="O45" s="1309" t="s">
        <v>808</v>
      </c>
      <c r="P45" s="1365"/>
      <c r="Q45" s="1365"/>
      <c r="R45" s="1365"/>
    </row>
    <row r="46" spans="1:18" s="1291" customFormat="1" ht="13.5" thickBot="1">
      <c r="A46" s="1310" t="s">
        <v>809</v>
      </c>
      <c r="C46" s="1311">
        <f ca="1">ROUND(C45,0)</f>
        <v>-192</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70</v>
      </c>
      <c r="M47" s="1287" t="str">
        <f>IF(ISNUMBER(FIND("住宅",C1)),"住宅","非住宅")</f>
        <v>住宅</v>
      </c>
      <c r="O47" s="1324" t="s">
        <v>403</v>
      </c>
      <c r="P47" s="1325" t="s">
        <v>817</v>
      </c>
      <c r="Q47" s="1326">
        <f ca="1">C40+J29</f>
        <v>1901028</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314365</v>
      </c>
      <c r="R49" s="1326" t="s">
        <v>818</v>
      </c>
    </row>
    <row r="50" spans="1:18" s="1291" customFormat="1" ht="13.5" thickBot="1">
      <c r="A50" s="922"/>
      <c r="B50" s="925"/>
      <c r="C50" s="926"/>
      <c r="D50" s="899"/>
      <c r="E50" s="993" t="s">
        <v>697</v>
      </c>
      <c r="F50" s="994">
        <f ca="1">F7</f>
        <v>1</v>
      </c>
      <c r="H50" s="682"/>
      <c r="I50" s="1327" t="s">
        <v>826</v>
      </c>
      <c r="J50" s="1334">
        <f>SUMPRODUCT((I63:I65=J47)*(J62:L62=J48)*(J63:L65))</f>
        <v>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70</v>
      </c>
      <c r="K53" s="3434" t="s">
        <v>837</v>
      </c>
      <c r="L53" s="3435"/>
      <c r="O53" s="1324" t="s">
        <v>409</v>
      </c>
      <c r="P53" s="1325" t="s">
        <v>838</v>
      </c>
      <c r="Q53" s="1326">
        <f ca="1">Q47+Q48</f>
        <v>1901028</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220056</v>
      </c>
      <c r="D56" s="1351"/>
      <c r="E56" s="1352"/>
      <c r="F56" s="1344"/>
      <c r="I56" s="1353" t="s">
        <v>842</v>
      </c>
      <c r="J56" s="1354"/>
      <c r="K56" s="1327" t="s">
        <v>843</v>
      </c>
      <c r="L56" s="1330">
        <f ca="1">IF(L48&lt;J51,"——",L48-J51)</f>
        <v>70</v>
      </c>
      <c r="O56" s="1324" t="s">
        <v>403</v>
      </c>
      <c r="P56" s="1325" t="s">
        <v>817</v>
      </c>
      <c r="Q56" s="1326">
        <f ca="1">C40+J29</f>
        <v>1901028</v>
      </c>
      <c r="R56" s="1326" t="s">
        <v>818</v>
      </c>
    </row>
    <row r="57" spans="1:18" s="1291" customFormat="1" ht="24.75" thickBot="1">
      <c r="A57" s="1355"/>
      <c r="B57" s="896" t="s">
        <v>767</v>
      </c>
      <c r="C57" s="230">
        <f ca="1">C29</f>
        <v>314365</v>
      </c>
      <c r="D57" s="1356"/>
      <c r="E57" s="1357"/>
      <c r="F57" s="1358"/>
      <c r="I57" s="1359" t="s">
        <v>844</v>
      </c>
      <c r="J57" s="1360" t="str">
        <f ca="1">IF(OR(M47="住宅",J51&lt;L48,J56="是"),"——",J51-L48)</f>
        <v>——</v>
      </c>
      <c r="K57" s="1327" t="s">
        <v>892</v>
      </c>
      <c r="L57" s="1330">
        <f ca="1">IF(L48&lt;J51,"——",IF(L55="比较法",L49,IF(L55="基准地价",L50,L51)))</f>
        <v>0</v>
      </c>
      <c r="O57" s="1324" t="s">
        <v>404</v>
      </c>
      <c r="P57" s="1325" t="s">
        <v>893</v>
      </c>
      <c r="Q57" s="1326">
        <f ca="1">L60</f>
        <v>0</v>
      </c>
      <c r="R57" s="1326" t="s">
        <v>894</v>
      </c>
    </row>
    <row r="58" spans="1:18" s="1291" customFormat="1" ht="24.75" thickBot="1">
      <c r="A58" s="307" t="s">
        <v>393</v>
      </c>
      <c r="B58" s="904" t="s">
        <v>714</v>
      </c>
      <c r="C58" s="308">
        <f ca="1">ROUND(C59+C64+C65+C66,0)</f>
        <v>849</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1901028</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629</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220</v>
      </c>
      <c r="D65" s="910" t="s">
        <v>743</v>
      </c>
      <c r="E65" s="896" t="s">
        <v>744</v>
      </c>
      <c r="F65" s="321">
        <f t="shared" ca="1" si="0"/>
        <v>1E-3</v>
      </c>
      <c r="I65" s="1366" t="s">
        <v>867</v>
      </c>
      <c r="J65" s="610">
        <v>40</v>
      </c>
      <c r="K65" s="610">
        <v>30</v>
      </c>
      <c r="L65" s="610">
        <v>50</v>
      </c>
      <c r="M65" s="1368">
        <v>0.02</v>
      </c>
      <c r="O65" s="1324" t="s">
        <v>403</v>
      </c>
      <c r="P65" s="1325" t="s">
        <v>868</v>
      </c>
      <c r="Q65" s="1326">
        <f ca="1">C40+J29</f>
        <v>1901028</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-849</v>
      </c>
      <c r="D67" s="909" t="s">
        <v>753</v>
      </c>
      <c r="E67" s="914"/>
      <c r="F67" s="915"/>
      <c r="O67" s="1333" t="s">
        <v>405</v>
      </c>
      <c r="P67" s="1325" t="s">
        <v>850</v>
      </c>
      <c r="Q67" s="1369">
        <f ca="1">L51</f>
        <v>0</v>
      </c>
      <c r="R67" s="1326" t="s">
        <v>870</v>
      </c>
    </row>
    <row r="68" spans="1:18" s="1291" customFormat="1" ht="16.5" thickBot="1">
      <c r="A68" s="893" t="s">
        <v>395</v>
      </c>
      <c r="B68" s="894" t="s">
        <v>774</v>
      </c>
      <c r="C68" s="293">
        <f ca="1">ROUND(C67*(1-((1+F70)/(1+F68))^F69)/(F68-F70),0)</f>
        <v>-16422</v>
      </c>
      <c r="D68" s="911" t="s">
        <v>758</v>
      </c>
      <c r="E68" s="896" t="s">
        <v>759</v>
      </c>
      <c r="F68" s="304">
        <f ca="1">F40</f>
        <v>0.05</v>
      </c>
      <c r="O68" s="1333" t="s">
        <v>406</v>
      </c>
      <c r="P68" s="1370" t="s">
        <v>871</v>
      </c>
      <c r="Q68" s="1326">
        <f ca="1">ROUND(Q69-Q70*Q71,0)</f>
        <v>51395</v>
      </c>
      <c r="R68" s="1326" t="s">
        <v>414</v>
      </c>
    </row>
    <row r="69" spans="1:18" s="1291" customFormat="1" ht="13.5" thickBot="1">
      <c r="A69" s="897"/>
      <c r="B69" s="898"/>
      <c r="C69" s="298"/>
      <c r="D69" s="916" t="s">
        <v>762</v>
      </c>
      <c r="E69" s="896" t="s">
        <v>763</v>
      </c>
      <c r="F69" s="324">
        <f ca="1">F41</f>
        <v>70</v>
      </c>
      <c r="O69" s="1333" t="s">
        <v>411</v>
      </c>
      <c r="P69" s="1370" t="s">
        <v>872</v>
      </c>
      <c r="Q69" s="1326">
        <f ca="1">C39</f>
        <v>51395</v>
      </c>
      <c r="R69" s="1326" t="s">
        <v>818</v>
      </c>
    </row>
    <row r="70" spans="1:18" s="1291" customFormat="1" ht="13.5" thickBot="1">
      <c r="A70" s="900"/>
      <c r="B70" s="901"/>
      <c r="C70" s="302"/>
      <c r="D70" s="912"/>
      <c r="E70" s="896" t="s">
        <v>766</v>
      </c>
      <c r="F70" s="991"/>
      <c r="O70" s="1333" t="s">
        <v>412</v>
      </c>
      <c r="P70" s="1370" t="s">
        <v>873</v>
      </c>
      <c r="Q70" s="1326">
        <f ca="1">C13</f>
        <v>220056</v>
      </c>
      <c r="R70" s="1326" t="s">
        <v>818</v>
      </c>
    </row>
    <row r="71" spans="1:18" s="1291" customFormat="1" ht="13.5" thickBot="1">
      <c r="A71" s="917" t="s">
        <v>396</v>
      </c>
      <c r="B71" s="918" t="s">
        <v>776</v>
      </c>
      <c r="C71" s="327">
        <f ca="1">ROUND(C68/F71,0)</f>
        <v>-239</v>
      </c>
      <c r="D71" s="919" t="s">
        <v>777</v>
      </c>
      <c r="E71" s="920" t="s">
        <v>778</v>
      </c>
      <c r="F71" s="330">
        <f ca="1">F43</f>
        <v>68.7</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f ca="1">Q65+Q66</f>
        <v>1901028</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0.88400000000000001</v>
      </c>
    </row>
    <row r="83" spans="2:3">
      <c r="B83" s="265" t="s">
        <v>803</v>
      </c>
      <c r="C83" s="266">
        <f ca="1">ROUND(C13/C40,3)</f>
        <v>0.11600000000000001</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D8934-202A-4A51-8EAA-1F757E6F2CFB}">
  <dimension ref="A1:CA8"/>
  <sheetViews>
    <sheetView topLeftCell="F1" workbookViewId="0">
      <selection activeCell="V51" sqref="V51"/>
    </sheetView>
  </sheetViews>
  <sheetFormatPr defaultRowHeight="13.5"/>
  <cols>
    <col min="1" max="5" width="0" style="3151" hidden="1" customWidth="1"/>
    <col min="6" max="10" width="9" style="3151"/>
    <col min="11" max="11" width="0" style="3151" hidden="1" customWidth="1"/>
    <col min="12" max="20" width="9" style="3151"/>
    <col min="21" max="21" width="18.625" style="3151" hidden="1" customWidth="1"/>
    <col min="22" max="22" width="9" style="3151"/>
    <col min="23" max="24" width="0" style="3151" hidden="1" customWidth="1"/>
    <col min="25" max="25" width="18.625" style="3151" hidden="1" customWidth="1"/>
    <col min="26" max="34" width="0" style="3151" hidden="1" customWidth="1"/>
    <col min="35" max="35" width="9" style="3152"/>
    <col min="36" max="39" width="0" style="3151" hidden="1" customWidth="1"/>
    <col min="40" max="40" width="12.75" style="3151" hidden="1" customWidth="1"/>
    <col min="41" max="49" width="0" style="3151" hidden="1" customWidth="1"/>
    <col min="50" max="51" width="9" style="3151"/>
    <col min="52" max="59" width="0" style="3151" hidden="1" customWidth="1"/>
    <col min="60" max="60" width="13.75" style="3151" bestFit="1" customWidth="1"/>
    <col min="61" max="76" width="0" style="3151" hidden="1" customWidth="1"/>
    <col min="77" max="16384" width="9" style="3151"/>
  </cols>
  <sheetData>
    <row r="1" spans="1:79" s="3229" customFormat="1" ht="14.25" customHeight="1">
      <c r="A1" s="3241"/>
      <c r="B1" s="3234"/>
      <c r="C1" s="3240"/>
      <c r="D1" s="3240"/>
      <c r="E1" s="3240"/>
      <c r="F1" s="3240"/>
      <c r="G1" s="3240"/>
      <c r="H1" s="3240"/>
      <c r="I1" s="3240"/>
      <c r="J1" s="3240"/>
      <c r="L1" s="3238"/>
      <c r="M1" s="3238"/>
      <c r="O1" s="3236"/>
      <c r="P1" s="3238"/>
      <c r="Q1" s="3236"/>
      <c r="R1" s="3238"/>
      <c r="S1" s="3238"/>
      <c r="T1" s="3238"/>
      <c r="U1" s="3239"/>
      <c r="V1" s="3238"/>
      <c r="W1" s="3238" t="s">
        <v>3574</v>
      </c>
      <c r="X1" s="3238"/>
      <c r="Y1" s="3239"/>
      <c r="Z1" s="3238"/>
      <c r="AA1" s="3238" t="s">
        <v>3573</v>
      </c>
      <c r="AB1" s="3238"/>
      <c r="AC1" s="3238"/>
      <c r="AD1" s="3236"/>
      <c r="AE1" s="3237"/>
      <c r="AF1" s="3236"/>
      <c r="AG1" s="3234"/>
      <c r="AH1" s="3234"/>
      <c r="AI1" s="3235"/>
      <c r="AJ1" s="3234"/>
      <c r="AK1" s="3230"/>
      <c r="AL1" s="3234"/>
      <c r="AM1" s="3223"/>
      <c r="AN1" s="3224"/>
      <c r="AO1" s="3214" t="s">
        <v>3572</v>
      </c>
      <c r="AP1" s="3214" t="s">
        <v>3571</v>
      </c>
      <c r="AQ1" s="3214"/>
      <c r="AR1" s="3214"/>
      <c r="AS1" s="3215"/>
      <c r="AT1" s="3215" t="s">
        <v>3570</v>
      </c>
      <c r="AU1" s="3215"/>
      <c r="AV1" s="3215"/>
      <c r="AW1" s="3214"/>
      <c r="AZ1" s="3233"/>
      <c r="BC1" s="3233"/>
      <c r="BE1" s="3232"/>
      <c r="BG1" s="3231"/>
      <c r="BH1" s="3230"/>
      <c r="BK1" s="3217" t="s">
        <v>3569</v>
      </c>
      <c r="BL1" s="3216" t="s">
        <v>3568</v>
      </c>
      <c r="BN1" s="3214"/>
      <c r="BO1" s="3214"/>
      <c r="BP1" s="3214"/>
      <c r="BQ1" s="3214"/>
      <c r="BR1" s="3215"/>
      <c r="BS1" s="3215"/>
    </row>
    <row r="2" spans="1:79" s="3214" customFormat="1" ht="15.75">
      <c r="A2" s="3221" t="s">
        <v>2646</v>
      </c>
      <c r="B2" s="3214" t="s">
        <v>3567</v>
      </c>
      <c r="C2" s="3221" t="s">
        <v>3566</v>
      </c>
      <c r="D2" s="3221" t="s">
        <v>3565</v>
      </c>
      <c r="E2" s="3221" t="s">
        <v>3564</v>
      </c>
      <c r="F2" s="3221" t="s">
        <v>3563</v>
      </c>
      <c r="G2" s="3221" t="s">
        <v>3562</v>
      </c>
      <c r="H2" s="3221" t="s">
        <v>3561</v>
      </c>
      <c r="I2" s="3221" t="s">
        <v>3560</v>
      </c>
      <c r="J2" s="3221" t="s">
        <v>3559</v>
      </c>
      <c r="K2" s="3214" t="s">
        <v>3558</v>
      </c>
      <c r="L2" s="3226" t="s">
        <v>3557</v>
      </c>
      <c r="M2" s="3226" t="s">
        <v>3556</v>
      </c>
      <c r="N2" s="3228" t="s">
        <v>3555</v>
      </c>
      <c r="O2" s="3214" t="s">
        <v>3554</v>
      </c>
      <c r="P2" s="3214" t="s">
        <v>3553</v>
      </c>
      <c r="Q2" s="3214" t="s">
        <v>3552</v>
      </c>
      <c r="R2" s="3226" t="s">
        <v>3551</v>
      </c>
      <c r="S2" s="3226" t="s">
        <v>3550</v>
      </c>
      <c r="T2" s="3226" t="s">
        <v>3549</v>
      </c>
      <c r="U2" s="3227" t="s">
        <v>3548</v>
      </c>
      <c r="V2" s="3226" t="s">
        <v>3547</v>
      </c>
      <c r="W2" s="3226" t="s">
        <v>3546</v>
      </c>
      <c r="X2" s="3226" t="s">
        <v>3545</v>
      </c>
      <c r="Y2" s="3227" t="s">
        <v>3544</v>
      </c>
      <c r="Z2" s="3226" t="s">
        <v>3543</v>
      </c>
      <c r="AA2" s="3226" t="s">
        <v>3525</v>
      </c>
      <c r="AB2" s="3226" t="s">
        <v>3524</v>
      </c>
      <c r="AC2" s="3226" t="s">
        <v>3542</v>
      </c>
      <c r="AD2" s="3214" t="s">
        <v>3541</v>
      </c>
      <c r="AE2" s="3223" t="s">
        <v>3540</v>
      </c>
      <c r="AF2" s="3214" t="s">
        <v>3539</v>
      </c>
      <c r="AG2" s="3214" t="s">
        <v>3538</v>
      </c>
      <c r="AH2" s="3214" t="s">
        <v>3537</v>
      </c>
      <c r="AI2" s="3225" t="s">
        <v>3536</v>
      </c>
      <c r="AJ2" s="3214" t="s">
        <v>3535</v>
      </c>
      <c r="AK2" s="3218" t="s">
        <v>3534</v>
      </c>
      <c r="AL2" s="3214" t="s">
        <v>3533</v>
      </c>
      <c r="AM2" s="3223" t="s">
        <v>3532</v>
      </c>
      <c r="AN2" s="3224" t="s">
        <v>3531</v>
      </c>
      <c r="AO2" s="3214" t="s">
        <v>3530</v>
      </c>
      <c r="AP2" s="3214" t="s">
        <v>3529</v>
      </c>
      <c r="AQ2" s="3214" t="s">
        <v>3528</v>
      </c>
      <c r="AR2" s="3214" t="s">
        <v>3527</v>
      </c>
      <c r="AS2" s="3215" t="s">
        <v>3526</v>
      </c>
      <c r="AT2" s="3215" t="s">
        <v>3525</v>
      </c>
      <c r="AU2" s="3215" t="s">
        <v>3524</v>
      </c>
      <c r="AV2" s="3215" t="s">
        <v>3523</v>
      </c>
      <c r="AW2" s="3223" t="s">
        <v>3522</v>
      </c>
      <c r="AX2" s="3214" t="s">
        <v>3521</v>
      </c>
      <c r="AY2" s="3222" t="s">
        <v>3520</v>
      </c>
      <c r="AZ2" s="3221" t="s">
        <v>3519</v>
      </c>
      <c r="BA2" s="3214" t="s">
        <v>3518</v>
      </c>
      <c r="BB2" s="3214" t="s">
        <v>3517</v>
      </c>
      <c r="BC2" s="3221" t="s">
        <v>3516</v>
      </c>
      <c r="BD2" s="3214" t="s">
        <v>3515</v>
      </c>
      <c r="BE2" s="3220" t="s">
        <v>3514</v>
      </c>
      <c r="BF2" s="3214" t="s">
        <v>3513</v>
      </c>
      <c r="BG2" s="3219" t="s">
        <v>3512</v>
      </c>
      <c r="BH2" s="3218" t="s">
        <v>3511</v>
      </c>
      <c r="BI2" s="3218" t="s">
        <v>3510</v>
      </c>
      <c r="BJ2" s="3218" t="s">
        <v>3509</v>
      </c>
      <c r="BK2" s="3217" t="s">
        <v>3508</v>
      </c>
      <c r="BL2" s="3216" t="s">
        <v>3507</v>
      </c>
      <c r="BM2" s="3215" t="s">
        <v>3506</v>
      </c>
      <c r="BN2" s="3214" t="s">
        <v>3505</v>
      </c>
      <c r="BO2" s="3214" t="s">
        <v>3504</v>
      </c>
      <c r="BP2" s="3214" t="s">
        <v>3503</v>
      </c>
      <c r="BR2" s="3215" t="s">
        <v>3502</v>
      </c>
      <c r="BS2" s="3215" t="s">
        <v>3501</v>
      </c>
    </row>
    <row r="3" spans="1:79" s="3174" customFormat="1" ht="12" customHeight="1">
      <c r="A3" s="3161" t="s">
        <v>3500</v>
      </c>
      <c r="B3" s="3161" t="s">
        <v>3495</v>
      </c>
      <c r="C3" s="3191" t="s">
        <v>3499</v>
      </c>
      <c r="D3" s="3161">
        <v>13581801175</v>
      </c>
      <c r="E3" s="3161" t="s">
        <v>2688</v>
      </c>
      <c r="F3" s="3165" t="s">
        <v>3498</v>
      </c>
      <c r="G3" s="3165"/>
      <c r="H3" s="3165" t="s">
        <v>3497</v>
      </c>
      <c r="I3" s="3165" t="s">
        <v>3496</v>
      </c>
      <c r="J3" s="3165">
        <v>203</v>
      </c>
      <c r="K3" s="3165" t="s">
        <v>3495</v>
      </c>
      <c r="L3" s="3213">
        <v>85.6</v>
      </c>
      <c r="M3" s="3172">
        <v>18</v>
      </c>
      <c r="N3" s="3172">
        <v>2</v>
      </c>
      <c r="O3" s="3165" t="s">
        <v>3494</v>
      </c>
      <c r="P3" s="3165"/>
      <c r="Q3" s="3165" t="s">
        <v>3451</v>
      </c>
      <c r="R3" s="3213">
        <v>2300000</v>
      </c>
      <c r="S3" s="3165">
        <f>ROUND(R3/L3,0)</f>
        <v>26869</v>
      </c>
      <c r="T3" s="3212">
        <f>ROUNDDOWN(V3*L3/10000,2)</f>
        <v>501.29</v>
      </c>
      <c r="U3" s="3187">
        <f>T3*10000</f>
        <v>5012900</v>
      </c>
      <c r="V3" s="3165">
        <v>58562</v>
      </c>
      <c r="W3" s="3189">
        <v>0.2</v>
      </c>
      <c r="X3" s="3212">
        <f>ROUNDDOWN(T3*(1-W3),2)</f>
        <v>401.03</v>
      </c>
      <c r="Y3" s="3211">
        <f>X3*10000</f>
        <v>4010299.9999999995</v>
      </c>
      <c r="Z3" s="3165">
        <v>2013</v>
      </c>
      <c r="AA3" s="3165">
        <v>12</v>
      </c>
      <c r="AB3" s="3165">
        <v>10</v>
      </c>
      <c r="AC3" s="3165">
        <f>IF(T3&gt;=10,IF(T3&lt;50,AVERAGE(ROUNDDOWN($T3*30,-1),ROUND($T3*30,-1)),1500),IF(T3&gt;0,300,0))</f>
        <v>1500</v>
      </c>
      <c r="AD3" s="3165" t="s">
        <v>3418</v>
      </c>
      <c r="AE3" s="3165"/>
      <c r="AF3" s="3165" t="s">
        <v>3467</v>
      </c>
      <c r="AG3" s="3165" t="s">
        <v>3493</v>
      </c>
      <c r="AH3" s="3165" t="s">
        <v>3430</v>
      </c>
      <c r="AI3" s="3167">
        <v>67758</v>
      </c>
      <c r="AJ3" s="3165" t="s">
        <v>3481</v>
      </c>
      <c r="AK3" s="3165"/>
      <c r="AL3" s="3184" t="s">
        <v>3492</v>
      </c>
      <c r="AM3" s="3165">
        <v>38</v>
      </c>
      <c r="AN3" s="3166">
        <v>41583</v>
      </c>
      <c r="AO3" s="3165"/>
      <c r="AP3" s="3165"/>
      <c r="AQ3" s="3165" t="s">
        <v>3477</v>
      </c>
      <c r="AR3" s="3165" t="s">
        <v>3427</v>
      </c>
      <c r="AS3" s="3165"/>
      <c r="AT3" s="3165"/>
      <c r="AU3" s="3165"/>
      <c r="AV3" s="3165"/>
      <c r="AW3" s="3165"/>
      <c r="AX3" s="3165" t="s">
        <v>3426</v>
      </c>
      <c r="AY3" s="3165" t="s">
        <v>3425</v>
      </c>
      <c r="AZ3" s="3165">
        <v>823295</v>
      </c>
      <c r="BA3" s="3165" t="s">
        <v>3491</v>
      </c>
      <c r="BB3" s="3165"/>
      <c r="BC3" s="3165"/>
      <c r="BD3" s="3165"/>
      <c r="BE3" s="3165"/>
      <c r="BF3" s="3165"/>
      <c r="BG3" s="3165"/>
      <c r="BH3" s="3166">
        <v>41577</v>
      </c>
      <c r="BI3" s="3165"/>
      <c r="BJ3" s="3165" t="s">
        <v>3477</v>
      </c>
      <c r="BK3" s="3166">
        <v>41585</v>
      </c>
      <c r="BL3" s="3166"/>
      <c r="BM3" s="3165" t="s">
        <v>3422</v>
      </c>
      <c r="BN3" s="3165" t="s">
        <v>3421</v>
      </c>
      <c r="BO3" s="3165" t="s">
        <v>3420</v>
      </c>
      <c r="BP3" s="3165" t="s">
        <v>3490</v>
      </c>
      <c r="BQ3" s="3165"/>
      <c r="BR3" s="3179" t="e">
        <f>ROUND(T3*10000/P3,0)</f>
        <v>#DIV/0!</v>
      </c>
      <c r="BS3" s="3179" t="e">
        <f>ROUND(R3/P3,0)</f>
        <v>#DIV/0!</v>
      </c>
      <c r="BT3" s="3156" t="str">
        <f>TRIM(BJ3)</f>
        <v>戴钧</v>
      </c>
      <c r="BU3" s="3156" t="str">
        <f>TRIM(AD3)</f>
        <v>北京住房公积金管理中心住房公积金贷款中心</v>
      </c>
      <c r="BV3" s="3155"/>
      <c r="BZ3" s="3174" t="s">
        <v>3578</v>
      </c>
      <c r="CA3" s="3243">
        <v>1990</v>
      </c>
    </row>
    <row r="4" spans="1:79" s="3155" customFormat="1" ht="12" customHeight="1">
      <c r="A4" s="3161" t="s">
        <v>3489</v>
      </c>
      <c r="B4" s="3161" t="s">
        <v>3482</v>
      </c>
      <c r="C4" s="3191" t="s">
        <v>3488</v>
      </c>
      <c r="D4" s="3191" t="s">
        <v>3487</v>
      </c>
      <c r="E4" s="3161" t="s">
        <v>2688</v>
      </c>
      <c r="F4" s="3161" t="s">
        <v>3486</v>
      </c>
      <c r="G4" s="3161"/>
      <c r="H4" s="3161" t="s">
        <v>3485</v>
      </c>
      <c r="I4" s="3161" t="s">
        <v>3484</v>
      </c>
      <c r="J4" s="3191" t="s">
        <v>3483</v>
      </c>
      <c r="K4" s="3161" t="s">
        <v>3482</v>
      </c>
      <c r="L4" s="3198">
        <v>54.5</v>
      </c>
      <c r="M4" s="3201"/>
      <c r="N4" s="3208" t="s">
        <v>396</v>
      </c>
      <c r="O4" s="3161" t="s">
        <v>3434</v>
      </c>
      <c r="P4" s="3161"/>
      <c r="Q4" s="3161" t="s">
        <v>3433</v>
      </c>
      <c r="R4" s="3207">
        <v>2080000</v>
      </c>
      <c r="S4" s="3198">
        <v>38165</v>
      </c>
      <c r="T4" s="3205">
        <v>209.77</v>
      </c>
      <c r="U4" s="3204">
        <v>2097700</v>
      </c>
      <c r="V4" s="3198">
        <v>38491</v>
      </c>
      <c r="W4" s="3206">
        <v>0.2</v>
      </c>
      <c r="X4" s="3205">
        <v>167.81</v>
      </c>
      <c r="Y4" s="3204">
        <v>1678100</v>
      </c>
      <c r="Z4" s="3203">
        <v>2013</v>
      </c>
      <c r="AA4" s="3203">
        <v>3</v>
      </c>
      <c r="AB4" s="3203">
        <v>16</v>
      </c>
      <c r="AC4" s="3198">
        <v>1500</v>
      </c>
      <c r="AD4" s="3161" t="s">
        <v>3432</v>
      </c>
      <c r="AE4" s="3161"/>
      <c r="AF4" s="3175" t="s">
        <v>3467</v>
      </c>
      <c r="AG4" s="3161" t="s">
        <v>3422</v>
      </c>
      <c r="AH4" s="3161" t="s">
        <v>3430</v>
      </c>
      <c r="AI4" s="3202">
        <v>48624</v>
      </c>
      <c r="AJ4" s="3161" t="s">
        <v>3481</v>
      </c>
      <c r="AK4" s="3200"/>
      <c r="AL4" s="3161" t="s">
        <v>3480</v>
      </c>
      <c r="AM4" s="3175">
        <v>17</v>
      </c>
      <c r="AN4" s="3210">
        <v>41325</v>
      </c>
      <c r="AO4" s="3175"/>
      <c r="AP4" s="3175"/>
      <c r="AQ4" s="3161" t="s">
        <v>3477</v>
      </c>
      <c r="AR4" s="3161" t="s">
        <v>3427</v>
      </c>
      <c r="AS4" s="3175"/>
      <c r="AT4" s="3175"/>
      <c r="AU4" s="3175"/>
      <c r="AV4" s="3175"/>
      <c r="AW4" s="3175"/>
      <c r="AX4" s="3175" t="s">
        <v>3426</v>
      </c>
      <c r="AY4" s="3175" t="s">
        <v>3425</v>
      </c>
      <c r="AZ4" s="3196" t="s">
        <v>3479</v>
      </c>
      <c r="BA4" s="3161" t="s">
        <v>3478</v>
      </c>
      <c r="BB4" s="3175"/>
      <c r="BC4" s="3196"/>
      <c r="BD4" s="3175"/>
      <c r="BE4" s="3195"/>
      <c r="BF4" s="3175"/>
      <c r="BG4" s="3194"/>
      <c r="BH4" s="3176">
        <v>41331</v>
      </c>
      <c r="BI4" s="3209"/>
      <c r="BJ4" s="3175" t="s">
        <v>3477</v>
      </c>
      <c r="BK4" s="3176">
        <v>41332</v>
      </c>
      <c r="BL4" s="3176"/>
      <c r="BM4" s="3161" t="s">
        <v>3422</v>
      </c>
      <c r="BN4" s="3175" t="s">
        <v>3421</v>
      </c>
      <c r="BO4" s="3175" t="s">
        <v>3420</v>
      </c>
      <c r="BP4" s="3175"/>
      <c r="BQ4" s="3175"/>
      <c r="BR4" s="3175" t="e">
        <v>#DIV/0!</v>
      </c>
      <c r="BS4" s="3175" t="e">
        <v>#DIV/0!</v>
      </c>
      <c r="BT4" s="3156" t="s">
        <v>3476</v>
      </c>
      <c r="BU4" s="3156" t="s">
        <v>3418</v>
      </c>
      <c r="CA4" s="3244"/>
    </row>
    <row r="5" spans="1:79" s="3174" customFormat="1" ht="12" customHeight="1">
      <c r="A5" s="3161" t="s">
        <v>3475</v>
      </c>
      <c r="B5" s="3161" t="s">
        <v>3468</v>
      </c>
      <c r="C5" s="3191" t="s">
        <v>3474</v>
      </c>
      <c r="D5" s="3191" t="s">
        <v>3473</v>
      </c>
      <c r="E5" s="3158" t="s">
        <v>2688</v>
      </c>
      <c r="F5" s="3158" t="s">
        <v>3472</v>
      </c>
      <c r="G5" s="3161"/>
      <c r="H5" s="3161" t="s">
        <v>3471</v>
      </c>
      <c r="I5" s="3191" t="s">
        <v>3470</v>
      </c>
      <c r="J5" s="3191" t="s">
        <v>3469</v>
      </c>
      <c r="K5" s="3161" t="s">
        <v>3468</v>
      </c>
      <c r="L5" s="3198">
        <v>54.3</v>
      </c>
      <c r="M5" s="3201"/>
      <c r="N5" s="3208" t="s">
        <v>395</v>
      </c>
      <c r="O5" s="3161" t="s">
        <v>3434</v>
      </c>
      <c r="P5" s="3161"/>
      <c r="Q5" s="3161" t="s">
        <v>3433</v>
      </c>
      <c r="R5" s="3207">
        <v>1400000</v>
      </c>
      <c r="S5" s="3198">
        <v>25783</v>
      </c>
      <c r="T5" s="3205">
        <v>207.01</v>
      </c>
      <c r="U5" s="3204">
        <v>2070100</v>
      </c>
      <c r="V5" s="3198">
        <v>38124</v>
      </c>
      <c r="W5" s="3206">
        <v>0.2</v>
      </c>
      <c r="X5" s="3205">
        <v>165.6</v>
      </c>
      <c r="Y5" s="3204">
        <v>1656000</v>
      </c>
      <c r="Z5" s="3198">
        <v>2013</v>
      </c>
      <c r="AA5" s="3203">
        <v>4</v>
      </c>
      <c r="AB5" s="3203">
        <v>23</v>
      </c>
      <c r="AC5" s="3198">
        <v>1500</v>
      </c>
      <c r="AD5" s="3161" t="s">
        <v>3418</v>
      </c>
      <c r="AE5" s="3191"/>
      <c r="AF5" s="3161" t="s">
        <v>3467</v>
      </c>
      <c r="AG5" s="3161" t="s">
        <v>3422</v>
      </c>
      <c r="AH5" s="3201" t="s">
        <v>3430</v>
      </c>
      <c r="AI5" s="3202">
        <v>49724</v>
      </c>
      <c r="AJ5" s="3201" t="s">
        <v>3429</v>
      </c>
      <c r="AK5" s="3200"/>
      <c r="AL5" s="3199" t="s">
        <v>3466</v>
      </c>
      <c r="AM5" s="3198">
        <v>27</v>
      </c>
      <c r="AN5" s="3161"/>
      <c r="AO5" s="3175"/>
      <c r="AP5" s="3161"/>
      <c r="AQ5" s="3161" t="s">
        <v>3465</v>
      </c>
      <c r="AR5" s="3161" t="s">
        <v>3427</v>
      </c>
      <c r="AS5" s="3161"/>
      <c r="AT5" s="3161"/>
      <c r="AU5" s="3161"/>
      <c r="AV5" s="3175"/>
      <c r="AW5" s="3175" t="s">
        <v>3464</v>
      </c>
      <c r="AX5" s="3175" t="s">
        <v>3426</v>
      </c>
      <c r="AY5" s="3175" t="s">
        <v>3425</v>
      </c>
      <c r="AZ5" s="3196" t="s">
        <v>3463</v>
      </c>
      <c r="BA5" s="3197" t="s">
        <v>3462</v>
      </c>
      <c r="BB5" s="3157"/>
      <c r="BC5" s="3196"/>
      <c r="BD5" s="3175"/>
      <c r="BE5" s="3195"/>
      <c r="BF5" s="3175"/>
      <c r="BG5" s="3194"/>
      <c r="BH5" s="3193">
        <v>41358</v>
      </c>
      <c r="BI5" s="3161"/>
      <c r="BJ5" s="3158" t="s">
        <v>3461</v>
      </c>
      <c r="BK5" s="3192">
        <v>41366</v>
      </c>
      <c r="BL5" s="3176"/>
      <c r="BM5" s="3175" t="s">
        <v>3422</v>
      </c>
      <c r="BN5" s="3161"/>
      <c r="BO5" s="3161"/>
      <c r="BP5" s="3161"/>
      <c r="BQ5" s="3175"/>
      <c r="BR5" s="3175" t="e">
        <v>#DIV/0!</v>
      </c>
      <c r="BS5" s="3175" t="e">
        <v>#DIV/0!</v>
      </c>
      <c r="BT5" s="3156" t="s">
        <v>3461</v>
      </c>
      <c r="BU5" s="3156" t="s">
        <v>3418</v>
      </c>
      <c r="BV5" s="3155"/>
      <c r="CA5" s="3243"/>
    </row>
    <row r="6" spans="1:79" s="3174" customFormat="1" ht="12" customHeight="1">
      <c r="A6" s="3161" t="s">
        <v>3460</v>
      </c>
      <c r="B6" s="3161" t="s">
        <v>3459</v>
      </c>
      <c r="C6" s="3191" t="s">
        <v>3458</v>
      </c>
      <c r="D6" s="3191" t="s">
        <v>3457</v>
      </c>
      <c r="E6" s="3161" t="s">
        <v>2688</v>
      </c>
      <c r="F6" s="3165" t="s">
        <v>3456</v>
      </c>
      <c r="G6" s="3165" t="s">
        <v>3455</v>
      </c>
      <c r="H6" s="3163" t="s">
        <v>3454</v>
      </c>
      <c r="I6" s="3186" t="s">
        <v>3453</v>
      </c>
      <c r="J6" s="3164" t="s">
        <v>3452</v>
      </c>
      <c r="K6" s="3165" t="s">
        <v>3447</v>
      </c>
      <c r="L6" s="3165">
        <v>60.9</v>
      </c>
      <c r="M6" s="3172">
        <v>6</v>
      </c>
      <c r="N6" s="3171" t="s">
        <v>394</v>
      </c>
      <c r="O6" s="3165" t="s">
        <v>3434</v>
      </c>
      <c r="P6" s="3165"/>
      <c r="Q6" s="3165" t="s">
        <v>3451</v>
      </c>
      <c r="R6" s="3190">
        <v>1800000</v>
      </c>
      <c r="S6" s="3165">
        <v>29557</v>
      </c>
      <c r="T6" s="3188">
        <v>310.24</v>
      </c>
      <c r="U6" s="3187">
        <v>3102400</v>
      </c>
      <c r="V6" s="3165">
        <v>50944</v>
      </c>
      <c r="W6" s="3189">
        <v>0.2</v>
      </c>
      <c r="X6" s="3188">
        <v>248.19</v>
      </c>
      <c r="Y6" s="3187">
        <v>2481900</v>
      </c>
      <c r="Z6" s="3179">
        <v>2013</v>
      </c>
      <c r="AA6" s="3179">
        <v>8</v>
      </c>
      <c r="AB6" s="3165">
        <v>2</v>
      </c>
      <c r="AC6" s="3165">
        <v>1500</v>
      </c>
      <c r="AD6" s="3165" t="s">
        <v>3432</v>
      </c>
      <c r="AE6" s="3186"/>
      <c r="AF6" s="3179" t="s">
        <v>3450</v>
      </c>
      <c r="AG6" s="3163" t="s">
        <v>3422</v>
      </c>
      <c r="AH6" s="3172" t="s">
        <v>3430</v>
      </c>
      <c r="AI6" s="3167">
        <v>59605</v>
      </c>
      <c r="AJ6" s="3172" t="s">
        <v>3429</v>
      </c>
      <c r="AK6" s="3185"/>
      <c r="AL6" s="3184" t="s">
        <v>3449</v>
      </c>
      <c r="AM6" s="3179">
        <v>24</v>
      </c>
      <c r="AN6" s="3179"/>
      <c r="AO6" s="3183"/>
      <c r="AP6" s="3179"/>
      <c r="AQ6" s="3165" t="s">
        <v>3444</v>
      </c>
      <c r="AR6" s="3165" t="s">
        <v>3427</v>
      </c>
      <c r="AS6" s="3182"/>
      <c r="AT6" s="3182"/>
      <c r="AU6" s="3182"/>
      <c r="AV6" s="3179"/>
      <c r="AW6" s="3179"/>
      <c r="AX6" s="3179" t="s">
        <v>3426</v>
      </c>
      <c r="AY6" s="3179" t="s">
        <v>3425</v>
      </c>
      <c r="AZ6" s="3181" t="s">
        <v>3448</v>
      </c>
      <c r="BA6" s="3165" t="s">
        <v>3447</v>
      </c>
      <c r="BB6" s="3179"/>
      <c r="BC6" s="3181"/>
      <c r="BD6" s="3179"/>
      <c r="BE6" s="3180"/>
      <c r="BF6" s="3179"/>
      <c r="BG6" s="3178"/>
      <c r="BH6" s="3177">
        <v>41484</v>
      </c>
      <c r="BI6" s="3175"/>
      <c r="BJ6" s="3161" t="s">
        <v>3444</v>
      </c>
      <c r="BK6" s="3176">
        <v>41501</v>
      </c>
      <c r="BL6" s="3176"/>
      <c r="BM6" s="3161" t="s">
        <v>3422</v>
      </c>
      <c r="BN6" s="3175" t="s">
        <v>3396</v>
      </c>
      <c r="BO6" s="3175" t="s">
        <v>3446</v>
      </c>
      <c r="BP6" s="3175" t="s">
        <v>3445</v>
      </c>
      <c r="BQ6" s="3175"/>
      <c r="BR6" s="3175" t="e">
        <v>#DIV/0!</v>
      </c>
      <c r="BS6" s="3175" t="e">
        <v>#DIV/0!</v>
      </c>
      <c r="BT6" s="3156" t="s">
        <v>3444</v>
      </c>
      <c r="BU6" s="3156" t="s">
        <v>3418</v>
      </c>
      <c r="BY6" s="3174" t="s">
        <v>3443</v>
      </c>
      <c r="BZ6" s="3174" t="s">
        <v>3575</v>
      </c>
      <c r="CA6" s="3243">
        <v>1987</v>
      </c>
    </row>
    <row r="7" spans="1:79" s="3154" customFormat="1" ht="12" customHeight="1">
      <c r="A7" s="3158" t="s">
        <v>3442</v>
      </c>
      <c r="B7" s="3158" t="s">
        <v>3435</v>
      </c>
      <c r="C7" s="3173" t="s">
        <v>3441</v>
      </c>
      <c r="D7" s="3173" t="s">
        <v>3440</v>
      </c>
      <c r="E7" s="3158" t="s">
        <v>2688</v>
      </c>
      <c r="F7" s="3163" t="s">
        <v>3439</v>
      </c>
      <c r="G7" s="3163"/>
      <c r="H7" s="3163" t="s">
        <v>3438</v>
      </c>
      <c r="I7" s="3164" t="s">
        <v>3437</v>
      </c>
      <c r="J7" s="3164" t="s">
        <v>3436</v>
      </c>
      <c r="K7" s="3163" t="s">
        <v>3435</v>
      </c>
      <c r="L7" s="3163">
        <v>50.8</v>
      </c>
      <c r="M7" s="3172">
        <v>6</v>
      </c>
      <c r="N7" s="3171" t="s">
        <v>438</v>
      </c>
      <c r="O7" s="3163" t="s">
        <v>3434</v>
      </c>
      <c r="P7" s="3163"/>
      <c r="Q7" s="3163" t="s">
        <v>3433</v>
      </c>
      <c r="R7" s="3165">
        <v>1660000</v>
      </c>
      <c r="S7" s="3163">
        <v>32677</v>
      </c>
      <c r="T7" s="3169">
        <v>267.49</v>
      </c>
      <c r="U7" s="3168">
        <v>2674900</v>
      </c>
      <c r="V7" s="3163">
        <v>52657</v>
      </c>
      <c r="W7" s="3170">
        <v>0.2</v>
      </c>
      <c r="X7" s="3169">
        <v>213.99</v>
      </c>
      <c r="Y7" s="3168">
        <v>2139900</v>
      </c>
      <c r="Z7" s="3163">
        <v>2013</v>
      </c>
      <c r="AA7" s="3163">
        <v>11</v>
      </c>
      <c r="AB7" s="3163">
        <v>8</v>
      </c>
      <c r="AC7" s="3163">
        <v>1500</v>
      </c>
      <c r="AD7" s="3163" t="s">
        <v>3432</v>
      </c>
      <c r="AE7" s="3163"/>
      <c r="AF7" s="3163" t="s">
        <v>3431</v>
      </c>
      <c r="AG7" s="3163" t="s">
        <v>3422</v>
      </c>
      <c r="AH7" s="3163" t="s">
        <v>3430</v>
      </c>
      <c r="AI7" s="3167">
        <v>58071</v>
      </c>
      <c r="AJ7" s="3163" t="s">
        <v>3429</v>
      </c>
      <c r="AK7" s="3163"/>
      <c r="AL7" s="3165" t="s">
        <v>3428</v>
      </c>
      <c r="AM7" s="3163">
        <v>24</v>
      </c>
      <c r="AN7" s="3163"/>
      <c r="AO7" s="3166"/>
      <c r="AP7" s="3163"/>
      <c r="AQ7" s="3165" t="s">
        <v>3423</v>
      </c>
      <c r="AR7" s="3165" t="s">
        <v>3427</v>
      </c>
      <c r="AS7" s="3163"/>
      <c r="AT7" s="3163"/>
      <c r="AU7" s="3163"/>
      <c r="AV7" s="3163"/>
      <c r="AW7" s="3163"/>
      <c r="AX7" s="3163" t="s">
        <v>3426</v>
      </c>
      <c r="AY7" s="3163" t="s">
        <v>3425</v>
      </c>
      <c r="AZ7" s="3163">
        <v>816680</v>
      </c>
      <c r="BA7" s="3163" t="s">
        <v>3424</v>
      </c>
      <c r="BB7" s="3163"/>
      <c r="BC7" s="3163"/>
      <c r="BD7" s="3163"/>
      <c r="BE7" s="3163"/>
      <c r="BF7" s="3164"/>
      <c r="BG7" s="3163"/>
      <c r="BH7" s="3162">
        <v>41562</v>
      </c>
      <c r="BI7" s="3158"/>
      <c r="BJ7" s="3161" t="s">
        <v>3423</v>
      </c>
      <c r="BK7" s="3160">
        <v>41563</v>
      </c>
      <c r="BL7" s="3159"/>
      <c r="BM7" s="3158" t="s">
        <v>3422</v>
      </c>
      <c r="BN7" s="3158" t="s">
        <v>3421</v>
      </c>
      <c r="BO7" s="3158" t="s">
        <v>3420</v>
      </c>
      <c r="BP7" s="3158"/>
      <c r="BQ7" s="3158"/>
      <c r="BR7" s="3157" t="e">
        <v>#DIV/0!</v>
      </c>
      <c r="BS7" s="3157" t="e">
        <v>#DIV/0!</v>
      </c>
      <c r="BT7" s="3156" t="s">
        <v>3419</v>
      </c>
      <c r="BU7" s="3156" t="s">
        <v>3418</v>
      </c>
      <c r="BV7" s="3155"/>
      <c r="BZ7" s="3154" t="s">
        <v>3576</v>
      </c>
      <c r="CA7" s="3243">
        <v>1987</v>
      </c>
    </row>
    <row r="8" spans="1:79">
      <c r="M8" s="3153"/>
    </row>
  </sheetData>
  <phoneticPr fontId="136"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68.7</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482" t="s">
        <v>1775</v>
      </c>
      <c r="Q4" s="3483"/>
      <c r="R4" s="3465" t="s">
        <v>1771</v>
      </c>
      <c r="S4" s="3466"/>
      <c r="T4" s="3465" t="s">
        <v>1772</v>
      </c>
      <c r="U4" s="3466"/>
      <c r="V4" s="3490" t="s">
        <v>1773</v>
      </c>
      <c r="W4" s="3490"/>
      <c r="X4" s="1264"/>
      <c r="Y4" s="3465" t="s">
        <v>1775</v>
      </c>
      <c r="Z4" s="3466"/>
      <c r="AA4" s="3460" t="s">
        <v>1771</v>
      </c>
      <c r="AB4" s="3490" t="s">
        <v>1772</v>
      </c>
      <c r="AC4" s="3460" t="s">
        <v>1773</v>
      </c>
    </row>
    <row r="5" spans="1:29" ht="15">
      <c r="A5" s="348"/>
      <c r="B5" s="349"/>
      <c r="C5" s="3471" t="s">
        <v>1673</v>
      </c>
      <c r="D5" s="3472"/>
      <c r="E5" s="3506" t="s">
        <v>1674</v>
      </c>
      <c r="F5" s="3470"/>
      <c r="G5" s="3471" t="s">
        <v>1675</v>
      </c>
      <c r="H5" s="3472"/>
      <c r="I5" s="3471" t="s">
        <v>1676</v>
      </c>
      <c r="J5" s="3472"/>
      <c r="K5" s="537"/>
      <c r="L5" s="2484"/>
      <c r="M5" s="2485"/>
      <c r="N5" s="2485"/>
      <c r="O5" s="2485"/>
      <c r="P5" s="3484"/>
      <c r="Q5" s="3485"/>
      <c r="R5" s="3467"/>
      <c r="S5" s="3468"/>
      <c r="T5" s="3467"/>
      <c r="U5" s="3468"/>
      <c r="V5" s="3490"/>
      <c r="W5" s="3490"/>
      <c r="X5" s="1264"/>
      <c r="Y5" s="3467"/>
      <c r="Z5" s="3468"/>
      <c r="AA5" s="3461"/>
      <c r="AB5" s="3490"/>
      <c r="AC5" s="3461"/>
    </row>
    <row r="6" spans="1:29" ht="15.75" thickBot="1">
      <c r="A6" s="350"/>
      <c r="B6" s="351"/>
      <c r="C6" s="3473" t="s">
        <v>1677</v>
      </c>
      <c r="D6" s="3474"/>
      <c r="E6" s="3475" t="s">
        <v>1677</v>
      </c>
      <c r="F6" s="3476"/>
      <c r="G6" s="3473" t="s">
        <v>1677</v>
      </c>
      <c r="H6" s="3474"/>
      <c r="I6" s="3473" t="s">
        <v>1677</v>
      </c>
      <c r="J6" s="3474"/>
      <c r="K6" s="537" t="s">
        <v>1678</v>
      </c>
      <c r="L6" s="2484"/>
      <c r="M6" s="2485"/>
      <c r="N6" s="2485"/>
      <c r="O6" s="2485"/>
      <c r="P6" s="3486"/>
      <c r="Q6" s="3487"/>
      <c r="R6" s="3467"/>
      <c r="S6" s="3468"/>
      <c r="T6" s="3488"/>
      <c r="U6" s="3489"/>
      <c r="V6" s="3490"/>
      <c r="W6" s="3490"/>
      <c r="X6" s="1264"/>
      <c r="Y6" s="3488"/>
      <c r="Z6" s="3489"/>
      <c r="AA6" s="3462"/>
      <c r="AB6" s="3490"/>
      <c r="AC6" s="3462"/>
    </row>
    <row r="7" spans="1:29" s="102" customFormat="1" ht="15.75" thickBot="1">
      <c r="A7" s="352" t="s">
        <v>1679</v>
      </c>
      <c r="B7" s="353"/>
      <c r="C7" s="354">
        <f>'数据-取费表'!B2</f>
        <v>41743</v>
      </c>
      <c r="D7" s="355">
        <v>100</v>
      </c>
      <c r="E7" s="356"/>
      <c r="F7" s="357">
        <f>SUMIF(58:58,YEAR(E7)&amp;"-"&amp;MONTH(E7),59:59)</f>
        <v>0</v>
      </c>
      <c r="G7" s="356"/>
      <c r="H7" s="355">
        <f>SUMIF(58:58,YEAR(G7)&amp;"-"&amp;MONTH(G7),59:59)</f>
        <v>0</v>
      </c>
      <c r="I7" s="356"/>
      <c r="J7" s="355">
        <f>SUMIF(58:58,YEAR(I7)&amp;"-"&amp;MONTH(I7),59:59)</f>
        <v>0</v>
      </c>
      <c r="K7" s="38"/>
      <c r="L7" s="2486"/>
      <c r="M7" s="2437"/>
      <c r="N7" s="2437"/>
      <c r="O7" s="2437"/>
      <c r="P7" s="3463" t="s">
        <v>1680</v>
      </c>
      <c r="Q7" s="3492"/>
      <c r="R7" s="664" t="s">
        <v>14</v>
      </c>
      <c r="S7" s="665">
        <f t="shared" ref="S7:S15" si="0">F7</f>
        <v>0</v>
      </c>
      <c r="T7" s="664" t="s">
        <v>14</v>
      </c>
      <c r="U7" s="665">
        <f t="shared" ref="U7:U15" si="1">H7</f>
        <v>0</v>
      </c>
      <c r="V7" s="664" t="s">
        <v>14</v>
      </c>
      <c r="W7" s="665">
        <f t="shared" ref="W7:W15" si="2">J7</f>
        <v>0</v>
      </c>
      <c r="X7" s="666"/>
      <c r="Y7" s="3463" t="s">
        <v>1680</v>
      </c>
      <c r="Z7" s="346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63" t="s">
        <v>1683</v>
      </c>
      <c r="Q8" s="3464"/>
      <c r="R8" s="664" t="s">
        <v>14</v>
      </c>
      <c r="S8" s="665">
        <f t="shared" si="0"/>
        <v>100</v>
      </c>
      <c r="T8" s="664" t="s">
        <v>14</v>
      </c>
      <c r="U8" s="665">
        <f t="shared" si="1"/>
        <v>100</v>
      </c>
      <c r="V8" s="664" t="s">
        <v>14</v>
      </c>
      <c r="W8" s="665">
        <f t="shared" si="2"/>
        <v>100</v>
      </c>
      <c r="X8" s="666"/>
      <c r="Y8" s="3463" t="s">
        <v>1683</v>
      </c>
      <c r="Z8" s="346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77" t="s">
        <v>1686</v>
      </c>
      <c r="Q9" s="530" t="str">
        <f t="shared" ref="Q9:Q15" si="6">B9</f>
        <v>用途</v>
      </c>
      <c r="R9" s="664" t="s">
        <v>14</v>
      </c>
      <c r="S9" s="665">
        <f t="shared" si="0"/>
        <v>100</v>
      </c>
      <c r="T9" s="664" t="s">
        <v>14</v>
      </c>
      <c r="U9" s="665">
        <f t="shared" si="1"/>
        <v>100</v>
      </c>
      <c r="V9" s="664" t="s">
        <v>14</v>
      </c>
      <c r="W9" s="665">
        <f t="shared" si="2"/>
        <v>100</v>
      </c>
      <c r="X9" s="666"/>
      <c r="Y9" s="340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77"/>
      <c r="Q10" s="530" t="str">
        <f t="shared" si="6"/>
        <v>土地使用年限（年）</v>
      </c>
      <c r="R10" s="664" t="s">
        <v>14</v>
      </c>
      <c r="S10" s="665">
        <f t="shared" si="0"/>
        <v>100</v>
      </c>
      <c r="T10" s="664" t="s">
        <v>14</v>
      </c>
      <c r="U10" s="665">
        <f t="shared" si="1"/>
        <v>100</v>
      </c>
      <c r="V10" s="664" t="s">
        <v>14</v>
      </c>
      <c r="W10" s="665">
        <f t="shared" si="2"/>
        <v>100</v>
      </c>
      <c r="X10" s="666"/>
      <c r="Y10" s="340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77"/>
      <c r="Q11" s="530" t="str">
        <f t="shared" si="6"/>
        <v>容积率</v>
      </c>
      <c r="R11" s="664" t="s">
        <v>14</v>
      </c>
      <c r="S11" s="665" t="e">
        <f t="shared" si="0"/>
        <v>#N/A</v>
      </c>
      <c r="T11" s="664" t="s">
        <v>14</v>
      </c>
      <c r="U11" s="665" t="e">
        <f t="shared" si="1"/>
        <v>#N/A</v>
      </c>
      <c r="V11" s="664" t="s">
        <v>14</v>
      </c>
      <c r="W11" s="665" t="e">
        <f t="shared" si="2"/>
        <v>#N/A</v>
      </c>
      <c r="X11" s="666"/>
      <c r="Y11" s="340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77"/>
      <c r="Q12" s="530">
        <f t="shared" si="6"/>
        <v>111</v>
      </c>
      <c r="R12" s="664" t="s">
        <v>14</v>
      </c>
      <c r="S12" s="665">
        <f t="shared" si="0"/>
        <v>100</v>
      </c>
      <c r="T12" s="664" t="s">
        <v>14</v>
      </c>
      <c r="U12" s="665">
        <f t="shared" si="1"/>
        <v>100</v>
      </c>
      <c r="V12" s="664" t="s">
        <v>14</v>
      </c>
      <c r="W12" s="665">
        <f t="shared" si="2"/>
        <v>100</v>
      </c>
      <c r="X12" s="666"/>
      <c r="Y12" s="340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77"/>
      <c r="Q13" s="530">
        <f t="shared" si="6"/>
        <v>111</v>
      </c>
      <c r="R13" s="664" t="s">
        <v>14</v>
      </c>
      <c r="S13" s="665">
        <f t="shared" si="0"/>
        <v>100</v>
      </c>
      <c r="T13" s="664" t="s">
        <v>14</v>
      </c>
      <c r="U13" s="665">
        <f t="shared" si="1"/>
        <v>100</v>
      </c>
      <c r="V13" s="664" t="s">
        <v>14</v>
      </c>
      <c r="W13" s="665">
        <f t="shared" si="2"/>
        <v>100</v>
      </c>
      <c r="X13" s="666"/>
      <c r="Y13" s="3407"/>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77"/>
      <c r="Q14" s="530">
        <f t="shared" si="6"/>
        <v>111</v>
      </c>
      <c r="R14" s="664" t="s">
        <v>14</v>
      </c>
      <c r="S14" s="665">
        <f t="shared" si="0"/>
        <v>100</v>
      </c>
      <c r="T14" s="664" t="s">
        <v>14</v>
      </c>
      <c r="U14" s="665">
        <f t="shared" si="1"/>
        <v>100</v>
      </c>
      <c r="V14" s="664" t="s">
        <v>14</v>
      </c>
      <c r="W14" s="665">
        <f t="shared" si="2"/>
        <v>100</v>
      </c>
      <c r="X14" s="666"/>
      <c r="Y14" s="3407"/>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504" t="s">
        <v>1691</v>
      </c>
      <c r="Q15" s="1262" t="str">
        <f t="shared" si="6"/>
        <v>商业繁华度</v>
      </c>
      <c r="R15" s="667" t="s">
        <v>14</v>
      </c>
      <c r="S15" s="668">
        <f t="shared" si="0"/>
        <v>100</v>
      </c>
      <c r="T15" s="667" t="s">
        <v>14</v>
      </c>
      <c r="U15" s="668">
        <f t="shared" si="1"/>
        <v>100</v>
      </c>
      <c r="V15" s="667" t="s">
        <v>14</v>
      </c>
      <c r="W15" s="668">
        <f t="shared" si="2"/>
        <v>100</v>
      </c>
      <c r="X15" s="1264"/>
      <c r="Y15" s="3497"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505"/>
      <c r="Q16" s="1262"/>
      <c r="R16" s="667"/>
      <c r="S16" s="668"/>
      <c r="T16" s="667"/>
      <c r="U16" s="668"/>
      <c r="V16" s="667"/>
      <c r="W16" s="668"/>
      <c r="X16" s="1264"/>
      <c r="Y16" s="3498"/>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505"/>
      <c r="Q17" s="1262" t="str">
        <f>B17</f>
        <v>交通便捷度</v>
      </c>
      <c r="R17" s="667" t="s">
        <v>14</v>
      </c>
      <c r="S17" s="668">
        <f>F17</f>
        <v>100</v>
      </c>
      <c r="T17" s="667" t="s">
        <v>14</v>
      </c>
      <c r="U17" s="668">
        <f>H17</f>
        <v>100</v>
      </c>
      <c r="V17" s="667" t="s">
        <v>14</v>
      </c>
      <c r="W17" s="668">
        <f>J17</f>
        <v>100</v>
      </c>
      <c r="X17" s="1264"/>
      <c r="Y17" s="349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505"/>
      <c r="Q18" s="1262"/>
      <c r="R18" s="667"/>
      <c r="S18" s="668"/>
      <c r="T18" s="667"/>
      <c r="U18" s="668"/>
      <c r="V18" s="667"/>
      <c r="W18" s="668"/>
      <c r="X18" s="1264"/>
      <c r="Y18" s="3498"/>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505"/>
      <c r="Q19" s="1262" t="str">
        <f>B19</f>
        <v>公共配套设施</v>
      </c>
      <c r="R19" s="667" t="s">
        <v>14</v>
      </c>
      <c r="S19" s="668">
        <f>F19</f>
        <v>100</v>
      </c>
      <c r="T19" s="667" t="s">
        <v>14</v>
      </c>
      <c r="U19" s="668">
        <f>H19</f>
        <v>100</v>
      </c>
      <c r="V19" s="667" t="s">
        <v>14</v>
      </c>
      <c r="W19" s="668">
        <f>J19</f>
        <v>100</v>
      </c>
      <c r="X19" s="1264"/>
      <c r="Y19" s="349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505"/>
      <c r="Q20" s="1262"/>
      <c r="R20" s="667"/>
      <c r="S20" s="668"/>
      <c r="T20" s="667"/>
      <c r="U20" s="668"/>
      <c r="V20" s="667"/>
      <c r="W20" s="668"/>
      <c r="X20" s="1264"/>
      <c r="Y20" s="3498"/>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505"/>
      <c r="Q21" s="1262" t="str">
        <f>B21</f>
        <v>基础设施水平</v>
      </c>
      <c r="R21" s="667" t="s">
        <v>14</v>
      </c>
      <c r="S21" s="668">
        <f>F21</f>
        <v>100</v>
      </c>
      <c r="T21" s="667" t="s">
        <v>14</v>
      </c>
      <c r="U21" s="668">
        <f>H21</f>
        <v>100</v>
      </c>
      <c r="V21" s="667" t="s">
        <v>14</v>
      </c>
      <c r="W21" s="668">
        <f>J21</f>
        <v>100</v>
      </c>
      <c r="X21" s="1264"/>
      <c r="Y21" s="349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505"/>
      <c r="Q22" s="1262"/>
      <c r="R22" s="667"/>
      <c r="S22" s="668"/>
      <c r="T22" s="667"/>
      <c r="U22" s="668"/>
      <c r="V22" s="667"/>
      <c r="W22" s="668"/>
      <c r="X22" s="1264"/>
      <c r="Y22" s="3498"/>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505"/>
      <c r="Q23" s="1262" t="str">
        <f>B23</f>
        <v>自然及人文环境</v>
      </c>
      <c r="R23" s="667" t="s">
        <v>14</v>
      </c>
      <c r="S23" s="668">
        <f>F23</f>
        <v>100</v>
      </c>
      <c r="T23" s="667" t="s">
        <v>14</v>
      </c>
      <c r="U23" s="668">
        <f>H23</f>
        <v>100</v>
      </c>
      <c r="V23" s="667" t="s">
        <v>14</v>
      </c>
      <c r="W23" s="668">
        <f>J23</f>
        <v>100</v>
      </c>
      <c r="X23" s="1264"/>
      <c r="Y23" s="3498"/>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505"/>
      <c r="Q24" s="1262"/>
      <c r="R24" s="667"/>
      <c r="S24" s="668"/>
      <c r="T24" s="667"/>
      <c r="U24" s="668"/>
      <c r="V24" s="667"/>
      <c r="W24" s="668"/>
      <c r="X24" s="1264"/>
      <c r="Y24" s="3498"/>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505"/>
      <c r="Q25" s="1262" t="str">
        <f t="shared" ref="Q25:Q46" si="11">B25</f>
        <v>临街状况</v>
      </c>
      <c r="R25" s="667" t="s">
        <v>14</v>
      </c>
      <c r="S25" s="668">
        <f>F25</f>
        <v>100</v>
      </c>
      <c r="T25" s="667" t="s">
        <v>14</v>
      </c>
      <c r="U25" s="668">
        <f>H25</f>
        <v>100</v>
      </c>
      <c r="V25" s="667" t="s">
        <v>14</v>
      </c>
      <c r="W25" s="668">
        <f>J25</f>
        <v>100</v>
      </c>
      <c r="X25" s="1264"/>
      <c r="Y25" s="3498"/>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505"/>
      <c r="Q26" s="1262" t="str">
        <f t="shared" si="11"/>
        <v>平面位置/可视性</v>
      </c>
      <c r="R26" s="667" t="s">
        <v>14</v>
      </c>
      <c r="S26" s="668">
        <f>F26</f>
        <v>100</v>
      </c>
      <c r="T26" s="667" t="s">
        <v>14</v>
      </c>
      <c r="U26" s="668">
        <f>H26</f>
        <v>100</v>
      </c>
      <c r="V26" s="667" t="s">
        <v>14</v>
      </c>
      <c r="W26" s="668">
        <f>J26</f>
        <v>100</v>
      </c>
      <c r="X26" s="1264"/>
      <c r="Y26" s="3498"/>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505"/>
      <c r="Q27" s="530" t="str">
        <f t="shared" si="11"/>
        <v>人流量</v>
      </c>
      <c r="R27" s="664" t="s">
        <v>14</v>
      </c>
      <c r="S27" s="665">
        <f>F27</f>
        <v>100</v>
      </c>
      <c r="T27" s="664" t="s">
        <v>14</v>
      </c>
      <c r="U27" s="665">
        <f>H27</f>
        <v>100</v>
      </c>
      <c r="V27" s="664" t="s">
        <v>14</v>
      </c>
      <c r="W27" s="665">
        <f>J27</f>
        <v>100</v>
      </c>
      <c r="X27" s="666"/>
      <c r="Y27" s="3498"/>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505"/>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98"/>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505"/>
      <c r="Q29" s="1262">
        <f t="shared" si="11"/>
        <v>111</v>
      </c>
      <c r="R29" s="667" t="s">
        <v>14</v>
      </c>
      <c r="S29" s="668">
        <f t="shared" si="12"/>
        <v>100</v>
      </c>
      <c r="T29" s="667" t="s">
        <v>14</v>
      </c>
      <c r="U29" s="668">
        <f t="shared" si="13"/>
        <v>100</v>
      </c>
      <c r="V29" s="667" t="s">
        <v>14</v>
      </c>
      <c r="W29" s="668">
        <f t="shared" si="14"/>
        <v>100</v>
      </c>
      <c r="X29" s="1264"/>
      <c r="Y29" s="3498"/>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505"/>
      <c r="Q30" s="1262">
        <f t="shared" si="11"/>
        <v>111</v>
      </c>
      <c r="R30" s="667" t="s">
        <v>14</v>
      </c>
      <c r="S30" s="668">
        <f t="shared" si="12"/>
        <v>100</v>
      </c>
      <c r="T30" s="667" t="s">
        <v>14</v>
      </c>
      <c r="U30" s="668">
        <f t="shared" si="13"/>
        <v>100</v>
      </c>
      <c r="V30" s="667" t="s">
        <v>14</v>
      </c>
      <c r="W30" s="668">
        <f t="shared" si="14"/>
        <v>100</v>
      </c>
      <c r="X30" s="1264"/>
      <c r="Y30" s="3498"/>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505"/>
      <c r="Q31" s="1262">
        <f t="shared" si="11"/>
        <v>111</v>
      </c>
      <c r="R31" s="667" t="s">
        <v>14</v>
      </c>
      <c r="S31" s="668">
        <f t="shared" si="12"/>
        <v>100</v>
      </c>
      <c r="T31" s="667" t="s">
        <v>14</v>
      </c>
      <c r="U31" s="668">
        <f t="shared" si="13"/>
        <v>100</v>
      </c>
      <c r="V31" s="667" t="s">
        <v>14</v>
      </c>
      <c r="W31" s="668">
        <f t="shared" si="14"/>
        <v>100</v>
      </c>
      <c r="X31" s="1264"/>
      <c r="Y31" s="3498"/>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99" t="s">
        <v>1696</v>
      </c>
      <c r="Q32" s="1262" t="str">
        <f t="shared" si="11"/>
        <v>商业类型</v>
      </c>
      <c r="R32" s="667" t="s">
        <v>14</v>
      </c>
      <c r="S32" s="668">
        <f t="shared" si="12"/>
        <v>100</v>
      </c>
      <c r="T32" s="667" t="s">
        <v>14</v>
      </c>
      <c r="U32" s="668">
        <f t="shared" si="13"/>
        <v>100</v>
      </c>
      <c r="V32" s="667" t="s">
        <v>14</v>
      </c>
      <c r="W32" s="668">
        <f t="shared" si="14"/>
        <v>100</v>
      </c>
      <c r="X32" s="1264"/>
      <c r="Y32" s="3502"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500"/>
      <c r="Q33" s="531" t="str">
        <f t="shared" si="11"/>
        <v>项目建筑规模</v>
      </c>
      <c r="R33" s="669" t="s">
        <v>14</v>
      </c>
      <c r="S33" s="670" t="e">
        <f t="shared" si="12"/>
        <v>#N/A</v>
      </c>
      <c r="T33" s="669" t="s">
        <v>14</v>
      </c>
      <c r="U33" s="670" t="e">
        <f t="shared" si="13"/>
        <v>#N/A</v>
      </c>
      <c r="V33" s="669" t="s">
        <v>14</v>
      </c>
      <c r="W33" s="670" t="e">
        <f t="shared" si="14"/>
        <v>#N/A</v>
      </c>
      <c r="X33" s="671"/>
      <c r="Y33" s="3502"/>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500"/>
      <c r="Q34" s="1262" t="str">
        <f t="shared" si="11"/>
        <v>建筑结构</v>
      </c>
      <c r="R34" s="667" t="s">
        <v>14</v>
      </c>
      <c r="S34" s="668">
        <f t="shared" si="12"/>
        <v>100</v>
      </c>
      <c r="T34" s="667" t="s">
        <v>14</v>
      </c>
      <c r="U34" s="668">
        <f t="shared" si="13"/>
        <v>100</v>
      </c>
      <c r="V34" s="667" t="s">
        <v>14</v>
      </c>
      <c r="W34" s="668">
        <f t="shared" si="14"/>
        <v>100</v>
      </c>
      <c r="X34" s="1264"/>
      <c r="Y34" s="3502"/>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500"/>
      <c r="Q35" s="1262" t="str">
        <f t="shared" si="11"/>
        <v>公共部分装修</v>
      </c>
      <c r="R35" s="667" t="s">
        <v>14</v>
      </c>
      <c r="S35" s="668">
        <f t="shared" si="12"/>
        <v>100</v>
      </c>
      <c r="T35" s="667" t="s">
        <v>14</v>
      </c>
      <c r="U35" s="668">
        <f t="shared" si="13"/>
        <v>100</v>
      </c>
      <c r="V35" s="667" t="s">
        <v>14</v>
      </c>
      <c r="W35" s="668">
        <f t="shared" si="14"/>
        <v>100</v>
      </c>
      <c r="X35" s="1264"/>
      <c r="Y35" s="3502"/>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500"/>
      <c r="Q36" s="1262" t="str">
        <f t="shared" si="11"/>
        <v>成新度</v>
      </c>
      <c r="R36" s="667" t="s">
        <v>14</v>
      </c>
      <c r="S36" s="668" t="e">
        <f t="shared" si="12"/>
        <v>#N/A</v>
      </c>
      <c r="T36" s="667" t="s">
        <v>14</v>
      </c>
      <c r="U36" s="668" t="e">
        <f t="shared" si="13"/>
        <v>#N/A</v>
      </c>
      <c r="V36" s="667" t="s">
        <v>14</v>
      </c>
      <c r="W36" s="668" t="e">
        <f t="shared" si="14"/>
        <v>#N/A</v>
      </c>
      <c r="X36" s="1264"/>
      <c r="Y36" s="3502"/>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500"/>
      <c r="Q37" s="530" t="str">
        <f t="shared" si="11"/>
        <v>市政基础设施</v>
      </c>
      <c r="R37" s="664" t="s">
        <v>14</v>
      </c>
      <c r="S37" s="665">
        <f t="shared" si="12"/>
        <v>100</v>
      </c>
      <c r="T37" s="664" t="s">
        <v>14</v>
      </c>
      <c r="U37" s="665">
        <f t="shared" si="13"/>
        <v>100</v>
      </c>
      <c r="V37" s="664" t="s">
        <v>14</v>
      </c>
      <c r="W37" s="665">
        <f t="shared" si="14"/>
        <v>100</v>
      </c>
      <c r="X37" s="666"/>
      <c r="Y37" s="350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500" t="s">
        <v>1696</v>
      </c>
      <c r="Q38" s="1262" t="str">
        <f t="shared" si="11"/>
        <v>业态</v>
      </c>
      <c r="R38" s="667" t="s">
        <v>14</v>
      </c>
      <c r="S38" s="668">
        <f t="shared" si="12"/>
        <v>100</v>
      </c>
      <c r="T38" s="667" t="s">
        <v>14</v>
      </c>
      <c r="U38" s="668">
        <f t="shared" si="13"/>
        <v>100</v>
      </c>
      <c r="V38" s="667" t="s">
        <v>14</v>
      </c>
      <c r="W38" s="668">
        <f t="shared" si="14"/>
        <v>100</v>
      </c>
      <c r="X38" s="1264"/>
      <c r="Y38" s="3502"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500"/>
      <c r="Q39" s="1262" t="str">
        <f t="shared" si="11"/>
        <v>层高</v>
      </c>
      <c r="R39" s="667" t="s">
        <v>14</v>
      </c>
      <c r="S39" s="668">
        <f t="shared" si="12"/>
        <v>100</v>
      </c>
      <c r="T39" s="667" t="s">
        <v>14</v>
      </c>
      <c r="U39" s="668">
        <f t="shared" si="13"/>
        <v>100</v>
      </c>
      <c r="V39" s="667" t="s">
        <v>14</v>
      </c>
      <c r="W39" s="668">
        <f t="shared" si="14"/>
        <v>100</v>
      </c>
      <c r="X39" s="1264"/>
      <c r="Y39" s="3502"/>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500"/>
      <c r="Q40" s="1262" t="str">
        <f t="shared" si="11"/>
        <v>单套建筑面积</v>
      </c>
      <c r="R40" s="667" t="s">
        <v>14</v>
      </c>
      <c r="S40" s="668">
        <f t="shared" si="12"/>
        <v>100</v>
      </c>
      <c r="T40" s="667" t="s">
        <v>14</v>
      </c>
      <c r="U40" s="668">
        <f t="shared" si="13"/>
        <v>100</v>
      </c>
      <c r="V40" s="667" t="s">
        <v>14</v>
      </c>
      <c r="W40" s="668">
        <f t="shared" si="14"/>
        <v>100</v>
      </c>
      <c r="X40" s="1264"/>
      <c r="Y40" s="3502"/>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500"/>
      <c r="Q41" s="531" t="str">
        <f t="shared" si="11"/>
        <v>进深比</v>
      </c>
      <c r="R41" s="669" t="s">
        <v>14</v>
      </c>
      <c r="S41" s="670">
        <f t="shared" si="12"/>
        <v>100</v>
      </c>
      <c r="T41" s="669" t="s">
        <v>14</v>
      </c>
      <c r="U41" s="670">
        <f t="shared" si="13"/>
        <v>100</v>
      </c>
      <c r="V41" s="669" t="s">
        <v>14</v>
      </c>
      <c r="W41" s="670">
        <f t="shared" si="14"/>
        <v>100</v>
      </c>
      <c r="X41" s="671"/>
      <c r="Y41" s="3502"/>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500"/>
      <c r="Q42" s="1262" t="str">
        <f t="shared" si="11"/>
        <v>内部装修</v>
      </c>
      <c r="R42" s="667" t="s">
        <v>14</v>
      </c>
      <c r="S42" s="668">
        <f t="shared" si="12"/>
        <v>100</v>
      </c>
      <c r="T42" s="667" t="s">
        <v>14</v>
      </c>
      <c r="U42" s="668">
        <f t="shared" si="13"/>
        <v>100</v>
      </c>
      <c r="V42" s="667" t="s">
        <v>14</v>
      </c>
      <c r="W42" s="668">
        <f t="shared" si="14"/>
        <v>100</v>
      </c>
      <c r="X42" s="1264"/>
      <c r="Y42" s="3502"/>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500"/>
      <c r="Q43" s="1262" t="str">
        <f t="shared" si="11"/>
        <v>内部装修维护情况</v>
      </c>
      <c r="R43" s="667" t="s">
        <v>14</v>
      </c>
      <c r="S43" s="668">
        <f t="shared" si="12"/>
        <v>100</v>
      </c>
      <c r="T43" s="667" t="s">
        <v>14</v>
      </c>
      <c r="U43" s="668">
        <f t="shared" si="13"/>
        <v>100</v>
      </c>
      <c r="V43" s="667" t="s">
        <v>14</v>
      </c>
      <c r="W43" s="668">
        <f t="shared" si="14"/>
        <v>100</v>
      </c>
      <c r="X43" s="1264"/>
      <c r="Y43" s="3502"/>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500"/>
      <c r="Q44" s="530">
        <f t="shared" si="11"/>
        <v>111</v>
      </c>
      <c r="R44" s="664" t="s">
        <v>14</v>
      </c>
      <c r="S44" s="665">
        <f t="shared" si="12"/>
        <v>100</v>
      </c>
      <c r="T44" s="664" t="s">
        <v>14</v>
      </c>
      <c r="U44" s="665">
        <f t="shared" si="13"/>
        <v>100</v>
      </c>
      <c r="V44" s="664" t="s">
        <v>14</v>
      </c>
      <c r="W44" s="665">
        <f t="shared" si="14"/>
        <v>100</v>
      </c>
      <c r="X44" s="666"/>
      <c r="Y44" s="350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500"/>
      <c r="Q45" s="1262">
        <f t="shared" si="11"/>
        <v>111</v>
      </c>
      <c r="R45" s="667" t="s">
        <v>14</v>
      </c>
      <c r="S45" s="668">
        <f t="shared" si="12"/>
        <v>100</v>
      </c>
      <c r="T45" s="667" t="s">
        <v>14</v>
      </c>
      <c r="U45" s="668">
        <f t="shared" si="13"/>
        <v>100</v>
      </c>
      <c r="V45" s="667" t="s">
        <v>14</v>
      </c>
      <c r="W45" s="668">
        <f t="shared" si="14"/>
        <v>100</v>
      </c>
      <c r="X45" s="1264"/>
      <c r="Y45" s="3502"/>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501"/>
      <c r="Q46" s="1262">
        <f t="shared" si="11"/>
        <v>111</v>
      </c>
      <c r="R46" s="667" t="s">
        <v>14</v>
      </c>
      <c r="S46" s="668">
        <f t="shared" si="12"/>
        <v>100</v>
      </c>
      <c r="T46" s="667" t="s">
        <v>14</v>
      </c>
      <c r="U46" s="668">
        <f t="shared" si="13"/>
        <v>100</v>
      </c>
      <c r="V46" s="667" t="s">
        <v>14</v>
      </c>
      <c r="W46" s="668">
        <f t="shared" si="14"/>
        <v>100</v>
      </c>
      <c r="X46" s="1264"/>
      <c r="Y46" s="3503"/>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496" t="str">
        <f>A47</f>
        <v>成交单价（元/平方米）</v>
      </c>
      <c r="Q47" s="3496"/>
      <c r="R47" s="3490">
        <f>E47</f>
        <v>0</v>
      </c>
      <c r="S47" s="3490"/>
      <c r="T47" s="3490">
        <f>G47</f>
        <v>0</v>
      </c>
      <c r="U47" s="3490"/>
      <c r="V47" s="3490">
        <f>I47</f>
        <v>0</v>
      </c>
      <c r="W47" s="3490"/>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96" t="str">
        <f>A48</f>
        <v>比较价值（元/平方米）</v>
      </c>
      <c r="Q48" s="349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93" t="str">
        <f>A49</f>
        <v>估价对象XX用房的比较价值（楼面单价，元/平方米）</v>
      </c>
      <c r="Q49" s="3494"/>
      <c r="R49" s="3495" t="e">
        <f>IF(F1="售价",ROUND(IF(D48="简单平均",AVERAGE(R48:V48),R48*F48+T48*H48+V48*J48),0),ROUND(IF(D48="简单平均",AVERAGE(R48:V48),R48*F48+T48*H48+V48*J48),1))</f>
        <v>#DIV/0!</v>
      </c>
      <c r="S49" s="3495"/>
      <c r="T49" s="3495"/>
      <c r="U49" s="3495"/>
      <c r="V49" s="3495"/>
      <c r="W49" s="349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2014-4</v>
      </c>
      <c r="D58" s="1103">
        <f>EDATE(C58,-1)</f>
        <v>41699</v>
      </c>
      <c r="E58" s="1103">
        <f t="shared" ref="E58:N58" si="16">EDATE(D58,-1)</f>
        <v>41671</v>
      </c>
      <c r="F58" s="1103">
        <f t="shared" si="16"/>
        <v>41640</v>
      </c>
      <c r="G58" s="1103">
        <f t="shared" si="16"/>
        <v>41609</v>
      </c>
      <c r="H58" s="1103">
        <f t="shared" si="16"/>
        <v>41579</v>
      </c>
      <c r="I58" s="1103">
        <f t="shared" si="16"/>
        <v>41548</v>
      </c>
      <c r="J58" s="1103">
        <f t="shared" si="16"/>
        <v>41518</v>
      </c>
      <c r="K58" s="1103">
        <f t="shared" si="16"/>
        <v>41487</v>
      </c>
      <c r="L58" s="1103">
        <f t="shared" si="16"/>
        <v>41456</v>
      </c>
      <c r="M58" s="1103">
        <f t="shared" si="16"/>
        <v>41426</v>
      </c>
      <c r="N58" s="1103">
        <f t="shared" si="16"/>
        <v>41395</v>
      </c>
      <c r="O58" s="1103">
        <f>EDATE(N58,-1)</f>
        <v>41365</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估价对象为北京市房地产,属开发建设的，该项目尚在开发建设中。根据《国有土地使用证》[]，估价对象（分摊）出让国有建设用地使用权面积为0平方米，规划建筑面积为68.7平方米。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2014年4月14日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2014年4月14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68.7</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513" t="s">
        <v>1775</v>
      </c>
      <c r="Q4" s="3514"/>
      <c r="R4" s="3508" t="s">
        <v>1771</v>
      </c>
      <c r="S4" s="3509"/>
      <c r="T4" s="3508" t="s">
        <v>1772</v>
      </c>
      <c r="U4" s="3509"/>
      <c r="V4" s="3517" t="s">
        <v>1773</v>
      </c>
      <c r="W4" s="3517"/>
      <c r="X4" s="1807"/>
      <c r="Y4" s="3508" t="s">
        <v>1775</v>
      </c>
      <c r="Z4" s="3509"/>
      <c r="AA4" s="3507" t="s">
        <v>1771</v>
      </c>
      <c r="AB4" s="3507" t="s">
        <v>1772</v>
      </c>
      <c r="AC4" s="3510" t="s">
        <v>1773</v>
      </c>
    </row>
    <row r="5" spans="1:29" ht="15">
      <c r="A5" s="348"/>
      <c r="B5" s="349"/>
      <c r="C5" s="3471" t="s">
        <v>1673</v>
      </c>
      <c r="D5" s="3472"/>
      <c r="E5" s="3506" t="s">
        <v>1674</v>
      </c>
      <c r="F5" s="3470"/>
      <c r="G5" s="3471" t="s">
        <v>1675</v>
      </c>
      <c r="H5" s="3472"/>
      <c r="I5" s="3471" t="s">
        <v>1676</v>
      </c>
      <c r="J5" s="3472"/>
      <c r="K5" s="537"/>
      <c r="L5" s="2484"/>
      <c r="M5" s="2485"/>
      <c r="N5" s="2485"/>
      <c r="O5" s="2485"/>
      <c r="P5" s="3515"/>
      <c r="Q5" s="3485"/>
      <c r="R5" s="3467"/>
      <c r="S5" s="3468"/>
      <c r="T5" s="3467"/>
      <c r="U5" s="3468"/>
      <c r="V5" s="3490"/>
      <c r="W5" s="3490"/>
      <c r="X5" s="1264"/>
      <c r="Y5" s="3467"/>
      <c r="Z5" s="3468"/>
      <c r="AA5" s="3461"/>
      <c r="AB5" s="3461"/>
      <c r="AC5" s="3511"/>
    </row>
    <row r="6" spans="1:29" ht="15.75" thickBot="1">
      <c r="A6" s="350"/>
      <c r="B6" s="351"/>
      <c r="C6" s="3473" t="s">
        <v>1677</v>
      </c>
      <c r="D6" s="3474"/>
      <c r="E6" s="3475" t="s">
        <v>1677</v>
      </c>
      <c r="F6" s="3476"/>
      <c r="G6" s="3473" t="s">
        <v>1677</v>
      </c>
      <c r="H6" s="3474"/>
      <c r="I6" s="3473" t="s">
        <v>1677</v>
      </c>
      <c r="J6" s="3474"/>
      <c r="K6" s="537" t="s">
        <v>1678</v>
      </c>
      <c r="L6" s="2484"/>
      <c r="M6" s="2485"/>
      <c r="N6" s="2485"/>
      <c r="O6" s="2485"/>
      <c r="P6" s="3516"/>
      <c r="Q6" s="3487"/>
      <c r="R6" s="3467"/>
      <c r="S6" s="3468"/>
      <c r="T6" s="3488"/>
      <c r="U6" s="3489"/>
      <c r="V6" s="3490"/>
      <c r="W6" s="3490"/>
      <c r="X6" s="1264"/>
      <c r="Y6" s="3488"/>
      <c r="Z6" s="3489"/>
      <c r="AA6" s="3462"/>
      <c r="AB6" s="3462"/>
      <c r="AC6" s="3512"/>
    </row>
    <row r="7" spans="1:29" s="102" customFormat="1" ht="15.75" thickBot="1">
      <c r="A7" s="352" t="s">
        <v>1679</v>
      </c>
      <c r="B7" s="353"/>
      <c r="C7" s="354">
        <f>'数据-取费表'!B2</f>
        <v>41743</v>
      </c>
      <c r="D7" s="355">
        <v>100</v>
      </c>
      <c r="E7" s="356"/>
      <c r="F7" s="357">
        <f>SUMIF(59:59,YEAR(E7)&amp;"-"&amp;MONTH(E7),60:60)</f>
        <v>0</v>
      </c>
      <c r="G7" s="356"/>
      <c r="H7" s="355">
        <f>SUMIF(59:59,YEAR(G7)&amp;"-"&amp;MONTH(G7),60:60)</f>
        <v>0</v>
      </c>
      <c r="I7" s="356"/>
      <c r="J7" s="355">
        <f>SUMIF(59:59,YEAR(I7)&amp;"-"&amp;MONTH(I7),60:60)</f>
        <v>0</v>
      </c>
      <c r="K7" s="38"/>
      <c r="L7" s="2486"/>
      <c r="M7" s="2437"/>
      <c r="N7" s="2437"/>
      <c r="O7" s="2437"/>
      <c r="P7" s="3518" t="s">
        <v>1680</v>
      </c>
      <c r="Q7" s="3492"/>
      <c r="R7" s="664" t="s">
        <v>14</v>
      </c>
      <c r="S7" s="665">
        <f t="shared" ref="S7:S15" si="0">F7</f>
        <v>0</v>
      </c>
      <c r="T7" s="664" t="s">
        <v>14</v>
      </c>
      <c r="U7" s="665">
        <f t="shared" ref="U7:U15" si="1">H7</f>
        <v>0</v>
      </c>
      <c r="V7" s="664" t="s">
        <v>14</v>
      </c>
      <c r="W7" s="665">
        <f t="shared" ref="W7:W15" si="2">J7</f>
        <v>0</v>
      </c>
      <c r="X7" s="666"/>
      <c r="Y7" s="3463" t="s">
        <v>1680</v>
      </c>
      <c r="Z7" s="346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518" t="s">
        <v>1683</v>
      </c>
      <c r="Q8" s="3464"/>
      <c r="R8" s="664" t="s">
        <v>14</v>
      </c>
      <c r="S8" s="665">
        <f t="shared" si="0"/>
        <v>100</v>
      </c>
      <c r="T8" s="664" t="s">
        <v>14</v>
      </c>
      <c r="U8" s="665">
        <f t="shared" si="1"/>
        <v>100</v>
      </c>
      <c r="V8" s="664" t="s">
        <v>14</v>
      </c>
      <c r="W8" s="665">
        <f t="shared" si="2"/>
        <v>100</v>
      </c>
      <c r="X8" s="666"/>
      <c r="Y8" s="3463" t="s">
        <v>1683</v>
      </c>
      <c r="Z8" s="346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77" t="s">
        <v>1686</v>
      </c>
      <c r="Q9" s="530" t="str">
        <f t="shared" ref="Q9:Q15" si="6">B9</f>
        <v>用途</v>
      </c>
      <c r="R9" s="664" t="s">
        <v>14</v>
      </c>
      <c r="S9" s="665">
        <f t="shared" si="0"/>
        <v>100</v>
      </c>
      <c r="T9" s="664" t="s">
        <v>14</v>
      </c>
      <c r="U9" s="665">
        <f t="shared" si="1"/>
        <v>100</v>
      </c>
      <c r="V9" s="664" t="s">
        <v>14</v>
      </c>
      <c r="W9" s="665">
        <f t="shared" si="2"/>
        <v>100</v>
      </c>
      <c r="X9" s="666"/>
      <c r="Y9" s="3407"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77"/>
      <c r="Q10" s="530" t="str">
        <f t="shared" si="6"/>
        <v>土地使用年限（年）</v>
      </c>
      <c r="R10" s="664" t="s">
        <v>14</v>
      </c>
      <c r="S10" s="665">
        <f t="shared" si="0"/>
        <v>100</v>
      </c>
      <c r="T10" s="664" t="s">
        <v>14</v>
      </c>
      <c r="U10" s="665">
        <f t="shared" si="1"/>
        <v>100</v>
      </c>
      <c r="V10" s="664" t="s">
        <v>14</v>
      </c>
      <c r="W10" s="665">
        <f t="shared" si="2"/>
        <v>100</v>
      </c>
      <c r="X10" s="666"/>
      <c r="Y10" s="340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77"/>
      <c r="Q11" s="530" t="str">
        <f t="shared" si="6"/>
        <v>容积率</v>
      </c>
      <c r="R11" s="664" t="s">
        <v>14</v>
      </c>
      <c r="S11" s="665">
        <f t="shared" si="0"/>
        <v>100</v>
      </c>
      <c r="T11" s="664" t="s">
        <v>14</v>
      </c>
      <c r="U11" s="665">
        <f t="shared" si="1"/>
        <v>100</v>
      </c>
      <c r="V11" s="664" t="s">
        <v>14</v>
      </c>
      <c r="W11" s="665">
        <f t="shared" si="2"/>
        <v>100</v>
      </c>
      <c r="X11" s="666"/>
      <c r="Y11" s="340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77"/>
      <c r="Q12" s="530">
        <f t="shared" si="6"/>
        <v>111</v>
      </c>
      <c r="R12" s="664" t="s">
        <v>14</v>
      </c>
      <c r="S12" s="665">
        <f t="shared" si="0"/>
        <v>100</v>
      </c>
      <c r="T12" s="664" t="s">
        <v>14</v>
      </c>
      <c r="U12" s="665">
        <f t="shared" si="1"/>
        <v>100</v>
      </c>
      <c r="V12" s="664" t="s">
        <v>14</v>
      </c>
      <c r="W12" s="665">
        <f t="shared" si="2"/>
        <v>100</v>
      </c>
      <c r="X12" s="666"/>
      <c r="Y12" s="340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77"/>
      <c r="Q13" s="530">
        <f t="shared" si="6"/>
        <v>111</v>
      </c>
      <c r="R13" s="664" t="s">
        <v>14</v>
      </c>
      <c r="S13" s="665">
        <f t="shared" si="0"/>
        <v>100</v>
      </c>
      <c r="T13" s="664" t="s">
        <v>14</v>
      </c>
      <c r="U13" s="665">
        <f t="shared" si="1"/>
        <v>100</v>
      </c>
      <c r="V13" s="664" t="s">
        <v>14</v>
      </c>
      <c r="W13" s="665">
        <f t="shared" si="2"/>
        <v>100</v>
      </c>
      <c r="X13" s="666"/>
      <c r="Y13" s="3407"/>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77"/>
      <c r="Q14" s="530">
        <f t="shared" si="6"/>
        <v>111</v>
      </c>
      <c r="R14" s="664" t="s">
        <v>14</v>
      </c>
      <c r="S14" s="665">
        <f t="shared" si="0"/>
        <v>100</v>
      </c>
      <c r="T14" s="664" t="s">
        <v>14</v>
      </c>
      <c r="U14" s="665">
        <f t="shared" si="1"/>
        <v>100</v>
      </c>
      <c r="V14" s="664" t="s">
        <v>14</v>
      </c>
      <c r="W14" s="665">
        <f t="shared" si="2"/>
        <v>100</v>
      </c>
      <c r="X14" s="666"/>
      <c r="Y14" s="3407"/>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504" t="s">
        <v>1691</v>
      </c>
      <c r="Q15" s="1262" t="str">
        <f t="shared" si="6"/>
        <v>办公集聚程度</v>
      </c>
      <c r="R15" s="667" t="s">
        <v>14</v>
      </c>
      <c r="S15" s="668">
        <f t="shared" si="0"/>
        <v>100</v>
      </c>
      <c r="T15" s="667" t="s">
        <v>14</v>
      </c>
      <c r="U15" s="668">
        <f t="shared" si="1"/>
        <v>100</v>
      </c>
      <c r="V15" s="667" t="s">
        <v>14</v>
      </c>
      <c r="W15" s="668">
        <f t="shared" si="2"/>
        <v>100</v>
      </c>
      <c r="X15" s="1264"/>
      <c r="Y15" s="3497"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505"/>
      <c r="Q16" s="1262"/>
      <c r="R16" s="667"/>
      <c r="S16" s="668"/>
      <c r="T16" s="667"/>
      <c r="U16" s="668"/>
      <c r="V16" s="667"/>
      <c r="W16" s="668"/>
      <c r="X16" s="1264"/>
      <c r="Y16" s="3498"/>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505"/>
      <c r="Q17" s="1262" t="str">
        <f>B17</f>
        <v>交通便捷度</v>
      </c>
      <c r="R17" s="667" t="s">
        <v>14</v>
      </c>
      <c r="S17" s="668">
        <f>F17</f>
        <v>100</v>
      </c>
      <c r="T17" s="667" t="s">
        <v>14</v>
      </c>
      <c r="U17" s="668">
        <f>H17</f>
        <v>100</v>
      </c>
      <c r="V17" s="667" t="s">
        <v>14</v>
      </c>
      <c r="W17" s="668">
        <f>J17</f>
        <v>100</v>
      </c>
      <c r="X17" s="1264"/>
      <c r="Y17" s="3498"/>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505"/>
      <c r="Q18" s="1262"/>
      <c r="R18" s="667"/>
      <c r="S18" s="668"/>
      <c r="T18" s="667"/>
      <c r="U18" s="668"/>
      <c r="V18" s="667"/>
      <c r="W18" s="668"/>
      <c r="X18" s="1264"/>
      <c r="Y18" s="3498"/>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505"/>
      <c r="Q19" s="1262" t="str">
        <f>B19</f>
        <v>公共配套设施</v>
      </c>
      <c r="R19" s="667" t="s">
        <v>14</v>
      </c>
      <c r="S19" s="668">
        <f>F19</f>
        <v>100</v>
      </c>
      <c r="T19" s="667" t="s">
        <v>14</v>
      </c>
      <c r="U19" s="668">
        <f>H19</f>
        <v>100</v>
      </c>
      <c r="V19" s="667" t="s">
        <v>14</v>
      </c>
      <c r="W19" s="668">
        <f>J19</f>
        <v>100</v>
      </c>
      <c r="X19" s="1264"/>
      <c r="Y19" s="3498"/>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505"/>
      <c r="Q20" s="1262"/>
      <c r="R20" s="667"/>
      <c r="S20" s="668"/>
      <c r="T20" s="667"/>
      <c r="U20" s="668"/>
      <c r="V20" s="667"/>
      <c r="W20" s="668"/>
      <c r="X20" s="1264"/>
      <c r="Y20" s="3498"/>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505"/>
      <c r="Q21" s="1262" t="str">
        <f>B21</f>
        <v>基础设施水平</v>
      </c>
      <c r="R21" s="667" t="s">
        <v>14</v>
      </c>
      <c r="S21" s="668">
        <f>F21</f>
        <v>100</v>
      </c>
      <c r="T21" s="667" t="s">
        <v>14</v>
      </c>
      <c r="U21" s="668">
        <f>H21</f>
        <v>100</v>
      </c>
      <c r="V21" s="667" t="s">
        <v>14</v>
      </c>
      <c r="W21" s="668">
        <f>J21</f>
        <v>100</v>
      </c>
      <c r="X21" s="1264"/>
      <c r="Y21" s="3498"/>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505"/>
      <c r="Q22" s="1262"/>
      <c r="R22" s="667"/>
      <c r="S22" s="668"/>
      <c r="T22" s="667"/>
      <c r="U22" s="668"/>
      <c r="V22" s="667"/>
      <c r="W22" s="668"/>
      <c r="X22" s="1264"/>
      <c r="Y22" s="3498"/>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505"/>
      <c r="Q23" s="1262" t="str">
        <f>B23</f>
        <v>环境质量</v>
      </c>
      <c r="R23" s="667" t="s">
        <v>14</v>
      </c>
      <c r="S23" s="668">
        <f>F23</f>
        <v>100</v>
      </c>
      <c r="T23" s="667" t="s">
        <v>14</v>
      </c>
      <c r="U23" s="668">
        <f>H23</f>
        <v>100</v>
      </c>
      <c r="V23" s="667" t="s">
        <v>14</v>
      </c>
      <c r="W23" s="668">
        <f>J23</f>
        <v>100</v>
      </c>
      <c r="X23" s="1264"/>
      <c r="Y23" s="3498"/>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505"/>
      <c r="Q24" s="1262"/>
      <c r="R24" s="667"/>
      <c r="S24" s="668"/>
      <c r="T24" s="667"/>
      <c r="U24" s="668"/>
      <c r="V24" s="667"/>
      <c r="W24" s="668"/>
      <c r="X24" s="1264"/>
      <c r="Y24" s="3498"/>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505"/>
      <c r="Q25" s="1262" t="str">
        <f>B25</f>
        <v>毗邻道路的类型与等级</v>
      </c>
      <c r="R25" s="667" t="s">
        <v>14</v>
      </c>
      <c r="S25" s="668">
        <f>F25</f>
        <v>100</v>
      </c>
      <c r="T25" s="667" t="s">
        <v>14</v>
      </c>
      <c r="U25" s="668">
        <f>H25</f>
        <v>100</v>
      </c>
      <c r="V25" s="667" t="s">
        <v>14</v>
      </c>
      <c r="W25" s="668">
        <f>J25</f>
        <v>100</v>
      </c>
      <c r="X25" s="1264"/>
      <c r="Y25" s="3498"/>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505"/>
      <c r="Q26" s="1262"/>
      <c r="R26" s="667"/>
      <c r="S26" s="668"/>
      <c r="T26" s="667"/>
      <c r="U26" s="668"/>
      <c r="V26" s="667"/>
      <c r="W26" s="668"/>
      <c r="X26" s="1264"/>
      <c r="Y26" s="3498"/>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505"/>
      <c r="Q27" s="1262" t="str">
        <f t="shared" ref="Q27:Q47" si="11">B27</f>
        <v>楼层</v>
      </c>
      <c r="R27" s="667" t="s">
        <v>14</v>
      </c>
      <c r="S27" s="668">
        <f>F27</f>
        <v>100</v>
      </c>
      <c r="T27" s="667" t="s">
        <v>14</v>
      </c>
      <c r="U27" s="668">
        <f>H27</f>
        <v>100</v>
      </c>
      <c r="V27" s="667" t="s">
        <v>14</v>
      </c>
      <c r="W27" s="668">
        <f>J27</f>
        <v>100</v>
      </c>
      <c r="X27" s="1264"/>
      <c r="Y27" s="3498"/>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505"/>
      <c r="Q28" s="530" t="str">
        <f t="shared" si="11"/>
        <v>朝向</v>
      </c>
      <c r="R28" s="664" t="s">
        <v>14</v>
      </c>
      <c r="S28" s="665">
        <f>F28</f>
        <v>100</v>
      </c>
      <c r="T28" s="664" t="s">
        <v>14</v>
      </c>
      <c r="U28" s="665">
        <f>H28</f>
        <v>100</v>
      </c>
      <c r="V28" s="664" t="s">
        <v>14</v>
      </c>
      <c r="W28" s="665">
        <f>J28</f>
        <v>100</v>
      </c>
      <c r="X28" s="666"/>
      <c r="Y28" s="3498"/>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505"/>
      <c r="Q29" s="1262">
        <f t="shared" si="11"/>
        <v>111</v>
      </c>
      <c r="R29" s="667" t="s">
        <v>14</v>
      </c>
      <c r="S29" s="668">
        <f t="shared" ref="S29:S47" si="12">F29</f>
        <v>100</v>
      </c>
      <c r="T29" s="667" t="s">
        <v>14</v>
      </c>
      <c r="U29" s="668">
        <f t="shared" ref="U29:U47" si="13">H29</f>
        <v>100</v>
      </c>
      <c r="V29" s="667" t="s">
        <v>14</v>
      </c>
      <c r="W29" s="668">
        <f t="shared" ref="W29:W47" si="14">J29</f>
        <v>100</v>
      </c>
      <c r="X29" s="1264"/>
      <c r="Y29" s="3498"/>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505"/>
      <c r="Q30" s="1262">
        <f t="shared" si="11"/>
        <v>111</v>
      </c>
      <c r="R30" s="667" t="s">
        <v>14</v>
      </c>
      <c r="S30" s="668">
        <f t="shared" si="12"/>
        <v>100</v>
      </c>
      <c r="T30" s="667" t="s">
        <v>14</v>
      </c>
      <c r="U30" s="668">
        <f t="shared" si="13"/>
        <v>100</v>
      </c>
      <c r="V30" s="667" t="s">
        <v>14</v>
      </c>
      <c r="W30" s="668">
        <f t="shared" si="14"/>
        <v>100</v>
      </c>
      <c r="X30" s="1264"/>
      <c r="Y30" s="3498"/>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505"/>
      <c r="Q31" s="1262">
        <f t="shared" si="11"/>
        <v>111</v>
      </c>
      <c r="R31" s="667" t="s">
        <v>14</v>
      </c>
      <c r="S31" s="668">
        <f t="shared" si="12"/>
        <v>100</v>
      </c>
      <c r="T31" s="667" t="s">
        <v>14</v>
      </c>
      <c r="U31" s="668">
        <f t="shared" si="13"/>
        <v>100</v>
      </c>
      <c r="V31" s="667" t="s">
        <v>14</v>
      </c>
      <c r="W31" s="668">
        <f t="shared" si="14"/>
        <v>100</v>
      </c>
      <c r="X31" s="1264"/>
      <c r="Y31" s="3498"/>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505"/>
      <c r="Q32" s="1262">
        <f t="shared" si="11"/>
        <v>111</v>
      </c>
      <c r="R32" s="667" t="s">
        <v>14</v>
      </c>
      <c r="S32" s="668">
        <f t="shared" si="12"/>
        <v>100</v>
      </c>
      <c r="T32" s="667" t="s">
        <v>14</v>
      </c>
      <c r="U32" s="668">
        <f t="shared" si="13"/>
        <v>100</v>
      </c>
      <c r="V32" s="667" t="s">
        <v>14</v>
      </c>
      <c r="W32" s="668">
        <f t="shared" si="14"/>
        <v>100</v>
      </c>
      <c r="X32" s="1264"/>
      <c r="Y32" s="3498"/>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99" t="s">
        <v>1696</v>
      </c>
      <c r="Q33" s="1262" t="str">
        <f t="shared" si="11"/>
        <v>建筑类型</v>
      </c>
      <c r="R33" s="667" t="s">
        <v>14</v>
      </c>
      <c r="S33" s="668">
        <f t="shared" si="12"/>
        <v>100</v>
      </c>
      <c r="T33" s="667" t="s">
        <v>14</v>
      </c>
      <c r="U33" s="668">
        <f t="shared" si="13"/>
        <v>100</v>
      </c>
      <c r="V33" s="667" t="s">
        <v>14</v>
      </c>
      <c r="W33" s="668">
        <f t="shared" si="14"/>
        <v>100</v>
      </c>
      <c r="X33" s="1264"/>
      <c r="Y33" s="3502"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500"/>
      <c r="Q34" s="531" t="str">
        <f t="shared" si="11"/>
        <v>项目建筑规模</v>
      </c>
      <c r="R34" s="669" t="s">
        <v>14</v>
      </c>
      <c r="S34" s="670" t="e">
        <f t="shared" si="12"/>
        <v>#N/A</v>
      </c>
      <c r="T34" s="669" t="s">
        <v>14</v>
      </c>
      <c r="U34" s="670" t="e">
        <f t="shared" si="13"/>
        <v>#N/A</v>
      </c>
      <c r="V34" s="669" t="s">
        <v>14</v>
      </c>
      <c r="W34" s="670" t="e">
        <f t="shared" si="14"/>
        <v>#N/A</v>
      </c>
      <c r="X34" s="671"/>
      <c r="Y34" s="3502"/>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500"/>
      <c r="Q35" s="1262" t="str">
        <f t="shared" si="11"/>
        <v>建筑结构</v>
      </c>
      <c r="R35" s="667" t="s">
        <v>14</v>
      </c>
      <c r="S35" s="668">
        <f t="shared" si="12"/>
        <v>100</v>
      </c>
      <c r="T35" s="667" t="s">
        <v>14</v>
      </c>
      <c r="U35" s="668">
        <f t="shared" si="13"/>
        <v>100</v>
      </c>
      <c r="V35" s="667" t="s">
        <v>14</v>
      </c>
      <c r="W35" s="668">
        <f t="shared" si="14"/>
        <v>100</v>
      </c>
      <c r="X35" s="1264"/>
      <c r="Y35" s="3502"/>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500"/>
      <c r="Q36" s="1262" t="str">
        <f t="shared" si="11"/>
        <v>公共部分装修</v>
      </c>
      <c r="R36" s="667" t="s">
        <v>14</v>
      </c>
      <c r="S36" s="668">
        <f t="shared" si="12"/>
        <v>100</v>
      </c>
      <c r="T36" s="667" t="s">
        <v>14</v>
      </c>
      <c r="U36" s="668">
        <f t="shared" si="13"/>
        <v>100</v>
      </c>
      <c r="V36" s="667" t="s">
        <v>14</v>
      </c>
      <c r="W36" s="668">
        <f t="shared" si="14"/>
        <v>100</v>
      </c>
      <c r="X36" s="1264"/>
      <c r="Y36" s="3502"/>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500"/>
      <c r="Q37" s="1262" t="str">
        <f t="shared" si="11"/>
        <v>成新度</v>
      </c>
      <c r="R37" s="667" t="s">
        <v>14</v>
      </c>
      <c r="S37" s="668" t="e">
        <f t="shared" si="12"/>
        <v>#N/A</v>
      </c>
      <c r="T37" s="667" t="s">
        <v>14</v>
      </c>
      <c r="U37" s="668" t="e">
        <f t="shared" si="13"/>
        <v>#N/A</v>
      </c>
      <c r="V37" s="667" t="s">
        <v>14</v>
      </c>
      <c r="W37" s="668" t="e">
        <f t="shared" si="14"/>
        <v>#N/A</v>
      </c>
      <c r="X37" s="1264"/>
      <c r="Y37" s="3502"/>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500"/>
      <c r="Q38" s="530" t="str">
        <f t="shared" si="11"/>
        <v>写字楼等级</v>
      </c>
      <c r="R38" s="664" t="s">
        <v>14</v>
      </c>
      <c r="S38" s="665">
        <f t="shared" si="12"/>
        <v>100</v>
      </c>
      <c r="T38" s="664" t="s">
        <v>14</v>
      </c>
      <c r="U38" s="665">
        <f t="shared" si="13"/>
        <v>100</v>
      </c>
      <c r="V38" s="664" t="s">
        <v>14</v>
      </c>
      <c r="W38" s="665">
        <f t="shared" si="14"/>
        <v>100</v>
      </c>
      <c r="X38" s="666"/>
      <c r="Y38" s="350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500" t="s">
        <v>1696</v>
      </c>
      <c r="Q39" s="1262" t="str">
        <f t="shared" si="11"/>
        <v>物业管理</v>
      </c>
      <c r="R39" s="667" t="s">
        <v>14</v>
      </c>
      <c r="S39" s="668">
        <f t="shared" si="12"/>
        <v>100</v>
      </c>
      <c r="T39" s="667" t="s">
        <v>14</v>
      </c>
      <c r="U39" s="668">
        <f t="shared" si="13"/>
        <v>100</v>
      </c>
      <c r="V39" s="667" t="s">
        <v>14</v>
      </c>
      <c r="W39" s="668">
        <f t="shared" si="14"/>
        <v>100</v>
      </c>
      <c r="X39" s="1264"/>
      <c r="Y39" s="3502"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500"/>
      <c r="Q40" s="1262" t="str">
        <f t="shared" si="11"/>
        <v>市政基础设施</v>
      </c>
      <c r="R40" s="667" t="s">
        <v>14</v>
      </c>
      <c r="S40" s="668">
        <f t="shared" si="12"/>
        <v>100</v>
      </c>
      <c r="T40" s="667" t="s">
        <v>14</v>
      </c>
      <c r="U40" s="668">
        <f t="shared" si="13"/>
        <v>100</v>
      </c>
      <c r="V40" s="667" t="s">
        <v>14</v>
      </c>
      <c r="W40" s="668">
        <f t="shared" si="14"/>
        <v>100</v>
      </c>
      <c r="X40" s="1264"/>
      <c r="Y40" s="3502"/>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500"/>
      <c r="Q41" s="1262" t="str">
        <f t="shared" si="11"/>
        <v>层高</v>
      </c>
      <c r="R41" s="667" t="s">
        <v>14</v>
      </c>
      <c r="S41" s="668">
        <f t="shared" si="12"/>
        <v>100</v>
      </c>
      <c r="T41" s="667" t="s">
        <v>14</v>
      </c>
      <c r="U41" s="668">
        <f t="shared" si="13"/>
        <v>100</v>
      </c>
      <c r="V41" s="667" t="s">
        <v>14</v>
      </c>
      <c r="W41" s="668">
        <f t="shared" si="14"/>
        <v>100</v>
      </c>
      <c r="X41" s="1264"/>
      <c r="Y41" s="3502"/>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500"/>
      <c r="Q42" s="531" t="str">
        <f t="shared" si="11"/>
        <v>单套建筑面积</v>
      </c>
      <c r="R42" s="669" t="s">
        <v>14</v>
      </c>
      <c r="S42" s="670">
        <f t="shared" si="12"/>
        <v>100</v>
      </c>
      <c r="T42" s="669" t="s">
        <v>14</v>
      </c>
      <c r="U42" s="670">
        <f t="shared" si="13"/>
        <v>100</v>
      </c>
      <c r="V42" s="669" t="s">
        <v>14</v>
      </c>
      <c r="W42" s="670">
        <f t="shared" si="14"/>
        <v>100</v>
      </c>
      <c r="X42" s="671"/>
      <c r="Y42" s="3502"/>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500"/>
      <c r="Q43" s="1262" t="str">
        <f t="shared" si="11"/>
        <v>内部装修</v>
      </c>
      <c r="R43" s="667" t="s">
        <v>14</v>
      </c>
      <c r="S43" s="668">
        <f t="shared" si="12"/>
        <v>100</v>
      </c>
      <c r="T43" s="667" t="s">
        <v>14</v>
      </c>
      <c r="U43" s="668">
        <f t="shared" si="13"/>
        <v>100</v>
      </c>
      <c r="V43" s="667" t="s">
        <v>14</v>
      </c>
      <c r="W43" s="668">
        <f t="shared" si="14"/>
        <v>100</v>
      </c>
      <c r="X43" s="1264"/>
      <c r="Y43" s="3502"/>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500"/>
      <c r="Q44" s="1262" t="str">
        <f t="shared" si="11"/>
        <v>内部装修维护情况</v>
      </c>
      <c r="R44" s="667" t="s">
        <v>14</v>
      </c>
      <c r="S44" s="668">
        <f t="shared" si="12"/>
        <v>100</v>
      </c>
      <c r="T44" s="667" t="s">
        <v>14</v>
      </c>
      <c r="U44" s="668">
        <f t="shared" si="13"/>
        <v>100</v>
      </c>
      <c r="V44" s="667" t="s">
        <v>14</v>
      </c>
      <c r="W44" s="668">
        <f t="shared" si="14"/>
        <v>100</v>
      </c>
      <c r="X44" s="1264"/>
      <c r="Y44" s="3502"/>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500"/>
      <c r="Q45" s="530">
        <f t="shared" si="11"/>
        <v>111</v>
      </c>
      <c r="R45" s="664" t="s">
        <v>14</v>
      </c>
      <c r="S45" s="665">
        <f t="shared" si="12"/>
        <v>100</v>
      </c>
      <c r="T45" s="664" t="s">
        <v>14</v>
      </c>
      <c r="U45" s="665">
        <f t="shared" si="13"/>
        <v>100</v>
      </c>
      <c r="V45" s="664" t="s">
        <v>14</v>
      </c>
      <c r="W45" s="665">
        <f t="shared" si="14"/>
        <v>100</v>
      </c>
      <c r="X45" s="666"/>
      <c r="Y45" s="350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500"/>
      <c r="Q46" s="1262">
        <f t="shared" si="11"/>
        <v>111</v>
      </c>
      <c r="R46" s="667" t="s">
        <v>14</v>
      </c>
      <c r="S46" s="668">
        <f t="shared" si="12"/>
        <v>100</v>
      </c>
      <c r="T46" s="667" t="s">
        <v>14</v>
      </c>
      <c r="U46" s="668">
        <f t="shared" si="13"/>
        <v>100</v>
      </c>
      <c r="V46" s="667" t="s">
        <v>14</v>
      </c>
      <c r="W46" s="668">
        <f t="shared" si="14"/>
        <v>100</v>
      </c>
      <c r="X46" s="1264"/>
      <c r="Y46" s="3502"/>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501"/>
      <c r="Q47" s="1262">
        <f t="shared" si="11"/>
        <v>111</v>
      </c>
      <c r="R47" s="667" t="s">
        <v>14</v>
      </c>
      <c r="S47" s="668">
        <f t="shared" si="12"/>
        <v>100</v>
      </c>
      <c r="T47" s="667" t="s">
        <v>14</v>
      </c>
      <c r="U47" s="668">
        <f t="shared" si="13"/>
        <v>100</v>
      </c>
      <c r="V47" s="667" t="s">
        <v>14</v>
      </c>
      <c r="W47" s="668">
        <f t="shared" si="14"/>
        <v>100</v>
      </c>
      <c r="X47" s="1264"/>
      <c r="Y47" s="3503"/>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77" t="str">
        <f>A48</f>
        <v>成交单价（元/平方米）</v>
      </c>
      <c r="Q48" s="3496"/>
      <c r="R48" s="3490">
        <f>E48</f>
        <v>0</v>
      </c>
      <c r="S48" s="3490"/>
      <c r="T48" s="3490">
        <f>G48</f>
        <v>0</v>
      </c>
      <c r="U48" s="3490"/>
      <c r="V48" s="3490">
        <f>I48</f>
        <v>0</v>
      </c>
      <c r="W48" s="3490"/>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77" t="str">
        <f>A49</f>
        <v>比较价值（元/平方米）</v>
      </c>
      <c r="Q49" s="3496"/>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519" t="str">
        <f>A50</f>
        <v>估价对象XX用房的比较价值（楼面单价，元/平方米）</v>
      </c>
      <c r="Q50" s="3520"/>
      <c r="R50" s="3521" t="e">
        <f>IF(F1="售价",ROUND(IF(D49="简单平均",AVERAGE(R49:V49),R49*F49+T49*H49+V49*J49),0),ROUND(IF(D49="简单平均",AVERAGE(R49:V49),R49*F49+T49*H49+V49*J49),1))</f>
        <v>#DIV/0!</v>
      </c>
      <c r="S50" s="3521"/>
      <c r="T50" s="3521"/>
      <c r="U50" s="3521"/>
      <c r="V50" s="3521"/>
      <c r="W50" s="3521"/>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2014-4</v>
      </c>
      <c r="D59" s="1103">
        <f>EDATE(C59,-1)</f>
        <v>41699</v>
      </c>
      <c r="E59" s="1103">
        <f>EDATE(D59,-1)</f>
        <v>41671</v>
      </c>
      <c r="F59" s="1103">
        <f t="shared" ref="F59:O59" si="16">EDATE(E59,-1)</f>
        <v>41640</v>
      </c>
      <c r="G59" s="1103">
        <f t="shared" si="16"/>
        <v>41609</v>
      </c>
      <c r="H59" s="1103">
        <f t="shared" si="16"/>
        <v>41579</v>
      </c>
      <c r="I59" s="1103">
        <f t="shared" si="16"/>
        <v>41548</v>
      </c>
      <c r="J59" s="1103">
        <f t="shared" si="16"/>
        <v>41518</v>
      </c>
      <c r="K59" s="1103">
        <f t="shared" si="16"/>
        <v>41487</v>
      </c>
      <c r="L59" s="1103">
        <f t="shared" si="16"/>
        <v>41456</v>
      </c>
      <c r="M59" s="1103">
        <f t="shared" si="16"/>
        <v>41426</v>
      </c>
      <c r="N59" s="1103">
        <f t="shared" si="16"/>
        <v>41395</v>
      </c>
      <c r="O59" s="1103">
        <f t="shared" si="16"/>
        <v>41365</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78" t="s">
        <v>1770</v>
      </c>
      <c r="D4" s="3479"/>
      <c r="E4" s="3480" t="s">
        <v>1771</v>
      </c>
      <c r="F4" s="3481"/>
      <c r="G4" s="3478" t="s">
        <v>1772</v>
      </c>
      <c r="H4" s="3479"/>
      <c r="I4" s="3478" t="s">
        <v>1773</v>
      </c>
      <c r="J4" s="3479"/>
      <c r="K4" s="537" t="s">
        <v>1774</v>
      </c>
      <c r="L4" s="860"/>
      <c r="M4" s="861"/>
      <c r="N4" s="861"/>
      <c r="O4" s="861"/>
      <c r="P4" s="3482" t="s">
        <v>1775</v>
      </c>
      <c r="Q4" s="3483"/>
      <c r="R4" s="3465" t="s">
        <v>1771</v>
      </c>
      <c r="S4" s="3466"/>
      <c r="T4" s="3465" t="s">
        <v>1772</v>
      </c>
      <c r="U4" s="3466"/>
      <c r="V4" s="3490" t="s">
        <v>1773</v>
      </c>
      <c r="W4" s="3490"/>
      <c r="X4" s="1264"/>
      <c r="Y4" s="3465" t="s">
        <v>1775</v>
      </c>
      <c r="Z4" s="3466"/>
      <c r="AA4" s="3460" t="s">
        <v>1771</v>
      </c>
      <c r="AB4" s="3461" t="s">
        <v>1772</v>
      </c>
      <c r="AC4" s="3460" t="s">
        <v>1773</v>
      </c>
    </row>
    <row r="5" spans="1:29" ht="15">
      <c r="A5" s="348"/>
      <c r="B5" s="349"/>
      <c r="C5" s="3471" t="s">
        <v>1673</v>
      </c>
      <c r="D5" s="3472"/>
      <c r="E5" s="3506" t="s">
        <v>1674</v>
      </c>
      <c r="F5" s="3470"/>
      <c r="G5" s="3471" t="s">
        <v>1675</v>
      </c>
      <c r="H5" s="3472"/>
      <c r="I5" s="3471" t="s">
        <v>1676</v>
      </c>
      <c r="J5" s="3472"/>
      <c r="K5" s="537"/>
      <c r="L5" s="860"/>
      <c r="M5" s="861"/>
      <c r="N5" s="861"/>
      <c r="O5" s="861"/>
      <c r="P5" s="3484"/>
      <c r="Q5" s="3485"/>
      <c r="R5" s="3467"/>
      <c r="S5" s="3468"/>
      <c r="T5" s="3467"/>
      <c r="U5" s="3468"/>
      <c r="V5" s="3490"/>
      <c r="W5" s="3490"/>
      <c r="X5" s="1264"/>
      <c r="Y5" s="3467"/>
      <c r="Z5" s="3468"/>
      <c r="AA5" s="3461"/>
      <c r="AB5" s="3461"/>
      <c r="AC5" s="3461"/>
    </row>
    <row r="6" spans="1:29" ht="15.75" thickBot="1">
      <c r="A6" s="350"/>
      <c r="B6" s="351"/>
      <c r="C6" s="3473" t="s">
        <v>1677</v>
      </c>
      <c r="D6" s="3474"/>
      <c r="E6" s="3475" t="s">
        <v>1677</v>
      </c>
      <c r="F6" s="3476"/>
      <c r="G6" s="3473" t="s">
        <v>1677</v>
      </c>
      <c r="H6" s="3474"/>
      <c r="I6" s="3473" t="s">
        <v>1677</v>
      </c>
      <c r="J6" s="3474"/>
      <c r="K6" s="537" t="s">
        <v>1678</v>
      </c>
      <c r="L6" s="860"/>
      <c r="M6" s="861"/>
      <c r="N6" s="861"/>
      <c r="O6" s="861"/>
      <c r="P6" s="3486"/>
      <c r="Q6" s="3487"/>
      <c r="R6" s="3467"/>
      <c r="S6" s="3468"/>
      <c r="T6" s="3488"/>
      <c r="U6" s="3489"/>
      <c r="V6" s="3490"/>
      <c r="W6" s="3490"/>
      <c r="X6" s="1264"/>
      <c r="Y6" s="3488"/>
      <c r="Z6" s="3489"/>
      <c r="AA6" s="3462"/>
      <c r="AB6" s="3462"/>
      <c r="AC6" s="3462"/>
    </row>
    <row r="7" spans="1:29" s="102" customFormat="1" ht="15.75" thickBot="1">
      <c r="A7" s="352" t="s">
        <v>1679</v>
      </c>
      <c r="B7" s="353"/>
      <c r="C7" s="354">
        <f>'数据-取费表'!B2</f>
        <v>41743</v>
      </c>
      <c r="D7" s="355">
        <v>100</v>
      </c>
      <c r="E7" s="356"/>
      <c r="F7" s="357">
        <f>SUMIF(52:52,YEAR(E7)&amp;"-"&amp;MONTH(E7),53:53)</f>
        <v>0</v>
      </c>
      <c r="G7" s="356"/>
      <c r="H7" s="355">
        <f>SUMIF(52:52,YEAR(G7)&amp;"-"&amp;MONTH(G7),53:53)</f>
        <v>0</v>
      </c>
      <c r="I7" s="356"/>
      <c r="J7" s="355">
        <f>SUMIF(52:52,YEAR(I7)&amp;"-"&amp;MONTH(I7),53:53)</f>
        <v>0</v>
      </c>
      <c r="K7" s="38"/>
      <c r="L7" s="862"/>
      <c r="M7" s="863"/>
      <c r="N7" s="863"/>
      <c r="O7" s="863"/>
      <c r="P7" s="3463" t="s">
        <v>1680</v>
      </c>
      <c r="Q7" s="3492"/>
      <c r="R7" s="664" t="s">
        <v>14</v>
      </c>
      <c r="S7" s="665">
        <f t="shared" ref="S7:S15" si="0">F7</f>
        <v>0</v>
      </c>
      <c r="T7" s="664" t="s">
        <v>14</v>
      </c>
      <c r="U7" s="665">
        <f t="shared" ref="U7:U15" si="1">H7</f>
        <v>0</v>
      </c>
      <c r="V7" s="664" t="s">
        <v>14</v>
      </c>
      <c r="W7" s="665">
        <f t="shared" ref="W7:W15" si="2">J7</f>
        <v>0</v>
      </c>
      <c r="X7" s="666"/>
      <c r="Y7" s="3463" t="s">
        <v>1680</v>
      </c>
      <c r="Z7" s="346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3" t="s">
        <v>1683</v>
      </c>
      <c r="Q8" s="3464"/>
      <c r="R8" s="664" t="s">
        <v>14</v>
      </c>
      <c r="S8" s="665">
        <f t="shared" si="0"/>
        <v>100</v>
      </c>
      <c r="T8" s="664" t="s">
        <v>14</v>
      </c>
      <c r="U8" s="665">
        <f t="shared" si="1"/>
        <v>100</v>
      </c>
      <c r="V8" s="664" t="s">
        <v>14</v>
      </c>
      <c r="W8" s="665">
        <f t="shared" si="2"/>
        <v>100</v>
      </c>
      <c r="X8" s="666"/>
      <c r="Y8" s="3463" t="s">
        <v>1683</v>
      </c>
      <c r="Z8" s="346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96" t="s">
        <v>1686</v>
      </c>
      <c r="Q9" s="530" t="str">
        <f t="shared" ref="Q9:Q15" si="6">B9</f>
        <v>用途</v>
      </c>
      <c r="R9" s="664" t="s">
        <v>14</v>
      </c>
      <c r="S9" s="665">
        <f t="shared" si="0"/>
        <v>100</v>
      </c>
      <c r="T9" s="664" t="s">
        <v>14</v>
      </c>
      <c r="U9" s="665">
        <f t="shared" si="1"/>
        <v>100</v>
      </c>
      <c r="V9" s="664" t="s">
        <v>14</v>
      </c>
      <c r="W9" s="665">
        <f t="shared" si="2"/>
        <v>100</v>
      </c>
      <c r="X9" s="666"/>
      <c r="Y9" s="340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96"/>
      <c r="Q10" s="530" t="str">
        <f t="shared" si="6"/>
        <v>土地使用年限（年）</v>
      </c>
      <c r="R10" s="664" t="s">
        <v>14</v>
      </c>
      <c r="S10" s="665">
        <f t="shared" si="0"/>
        <v>100</v>
      </c>
      <c r="T10" s="664" t="s">
        <v>14</v>
      </c>
      <c r="U10" s="665">
        <f t="shared" si="1"/>
        <v>100</v>
      </c>
      <c r="V10" s="664" t="s">
        <v>14</v>
      </c>
      <c r="W10" s="665">
        <f t="shared" si="2"/>
        <v>100</v>
      </c>
      <c r="X10" s="666"/>
      <c r="Y10" s="340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96"/>
      <c r="Q11" s="530" t="str">
        <f t="shared" si="6"/>
        <v>容积率</v>
      </c>
      <c r="R11" s="664" t="s">
        <v>14</v>
      </c>
      <c r="S11" s="665">
        <f t="shared" si="0"/>
        <v>100</v>
      </c>
      <c r="T11" s="664" t="s">
        <v>14</v>
      </c>
      <c r="U11" s="665">
        <f t="shared" si="1"/>
        <v>100</v>
      </c>
      <c r="V11" s="664" t="s">
        <v>14</v>
      </c>
      <c r="W11" s="665">
        <f t="shared" si="2"/>
        <v>100</v>
      </c>
      <c r="X11" s="666"/>
      <c r="Y11" s="340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96"/>
      <c r="Q12" s="530">
        <f t="shared" si="6"/>
        <v>111</v>
      </c>
      <c r="R12" s="664" t="s">
        <v>14</v>
      </c>
      <c r="S12" s="665">
        <f t="shared" si="0"/>
        <v>100</v>
      </c>
      <c r="T12" s="664" t="s">
        <v>14</v>
      </c>
      <c r="U12" s="665">
        <f t="shared" si="1"/>
        <v>100</v>
      </c>
      <c r="V12" s="664" t="s">
        <v>14</v>
      </c>
      <c r="W12" s="665">
        <f t="shared" si="2"/>
        <v>100</v>
      </c>
      <c r="X12" s="666"/>
      <c r="Y12" s="340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96"/>
      <c r="Q13" s="530">
        <f t="shared" si="6"/>
        <v>111</v>
      </c>
      <c r="R13" s="664" t="s">
        <v>14</v>
      </c>
      <c r="S13" s="665">
        <f t="shared" si="0"/>
        <v>100</v>
      </c>
      <c r="T13" s="664" t="s">
        <v>14</v>
      </c>
      <c r="U13" s="665">
        <f t="shared" si="1"/>
        <v>100</v>
      </c>
      <c r="V13" s="664" t="s">
        <v>14</v>
      </c>
      <c r="W13" s="665">
        <f t="shared" si="2"/>
        <v>100</v>
      </c>
      <c r="X13" s="666"/>
      <c r="Y13" s="340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96"/>
      <c r="Q14" s="530">
        <f t="shared" si="6"/>
        <v>111</v>
      </c>
      <c r="R14" s="664" t="s">
        <v>14</v>
      </c>
      <c r="S14" s="665">
        <f t="shared" si="0"/>
        <v>100</v>
      </c>
      <c r="T14" s="664" t="s">
        <v>14</v>
      </c>
      <c r="U14" s="665">
        <f t="shared" si="1"/>
        <v>100</v>
      </c>
      <c r="V14" s="664" t="s">
        <v>14</v>
      </c>
      <c r="W14" s="665">
        <f t="shared" si="2"/>
        <v>100</v>
      </c>
      <c r="X14" s="666"/>
      <c r="Y14" s="3407"/>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97" t="s">
        <v>1691</v>
      </c>
      <c r="Q15" s="1262" t="str">
        <f t="shared" si="6"/>
        <v>产业集聚程度</v>
      </c>
      <c r="R15" s="667" t="s">
        <v>14</v>
      </c>
      <c r="S15" s="668">
        <f t="shared" si="0"/>
        <v>100</v>
      </c>
      <c r="T15" s="667" t="s">
        <v>14</v>
      </c>
      <c r="U15" s="668">
        <f t="shared" si="1"/>
        <v>100</v>
      </c>
      <c r="V15" s="667" t="s">
        <v>14</v>
      </c>
      <c r="W15" s="668">
        <f t="shared" si="2"/>
        <v>100</v>
      </c>
      <c r="X15" s="1264"/>
      <c r="Y15" s="349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98"/>
      <c r="Q16" s="1262"/>
      <c r="R16" s="667"/>
      <c r="S16" s="668"/>
      <c r="T16" s="667"/>
      <c r="U16" s="668"/>
      <c r="V16" s="667"/>
      <c r="W16" s="668"/>
      <c r="X16" s="1264"/>
      <c r="Y16" s="3498"/>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98"/>
      <c r="Q17" s="1262" t="str">
        <f>B17</f>
        <v>交通便捷度</v>
      </c>
      <c r="R17" s="667" t="s">
        <v>14</v>
      </c>
      <c r="S17" s="668">
        <f>F17</f>
        <v>100</v>
      </c>
      <c r="T17" s="667" t="s">
        <v>14</v>
      </c>
      <c r="U17" s="668">
        <f>H17</f>
        <v>100</v>
      </c>
      <c r="V17" s="667" t="s">
        <v>14</v>
      </c>
      <c r="W17" s="668">
        <f>J17</f>
        <v>100</v>
      </c>
      <c r="X17" s="1264"/>
      <c r="Y17" s="349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98"/>
      <c r="Q18" s="1262"/>
      <c r="R18" s="667"/>
      <c r="S18" s="668"/>
      <c r="T18" s="667"/>
      <c r="U18" s="668"/>
      <c r="V18" s="667"/>
      <c r="W18" s="668"/>
      <c r="X18" s="1264"/>
      <c r="Y18" s="3498"/>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98"/>
      <c r="Q19" s="1262" t="str">
        <f>B19</f>
        <v>公共配套设施</v>
      </c>
      <c r="R19" s="667" t="s">
        <v>14</v>
      </c>
      <c r="S19" s="668">
        <f>F19</f>
        <v>100</v>
      </c>
      <c r="T19" s="667" t="s">
        <v>14</v>
      </c>
      <c r="U19" s="668">
        <f>H19</f>
        <v>100</v>
      </c>
      <c r="V19" s="667" t="s">
        <v>14</v>
      </c>
      <c r="W19" s="668">
        <f>J19</f>
        <v>100</v>
      </c>
      <c r="X19" s="1264"/>
      <c r="Y19" s="349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98"/>
      <c r="Q20" s="1262"/>
      <c r="R20" s="667"/>
      <c r="S20" s="668"/>
      <c r="T20" s="667"/>
      <c r="U20" s="668"/>
      <c r="V20" s="667"/>
      <c r="W20" s="668"/>
      <c r="X20" s="1264"/>
      <c r="Y20" s="3498"/>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98"/>
      <c r="Q21" s="1262" t="str">
        <f>B21</f>
        <v>基础设施水平</v>
      </c>
      <c r="R21" s="667" t="s">
        <v>14</v>
      </c>
      <c r="S21" s="668">
        <f>F21</f>
        <v>100</v>
      </c>
      <c r="T21" s="667" t="s">
        <v>14</v>
      </c>
      <c r="U21" s="668">
        <f>H21</f>
        <v>100</v>
      </c>
      <c r="V21" s="667" t="s">
        <v>14</v>
      </c>
      <c r="W21" s="668">
        <f>J21</f>
        <v>100</v>
      </c>
      <c r="X21" s="1264"/>
      <c r="Y21" s="349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98"/>
      <c r="Q22" s="1262"/>
      <c r="R22" s="667"/>
      <c r="S22" s="668"/>
      <c r="T22" s="667"/>
      <c r="U22" s="668"/>
      <c r="V22" s="667"/>
      <c r="W22" s="668"/>
      <c r="X22" s="1264"/>
      <c r="Y22" s="3498"/>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98"/>
      <c r="Q23" s="1262" t="str">
        <f>B23</f>
        <v>环境质量</v>
      </c>
      <c r="R23" s="667" t="s">
        <v>14</v>
      </c>
      <c r="S23" s="668">
        <f>F23</f>
        <v>100</v>
      </c>
      <c r="T23" s="667" t="s">
        <v>14</v>
      </c>
      <c r="U23" s="668">
        <f>H23</f>
        <v>100</v>
      </c>
      <c r="V23" s="667" t="s">
        <v>14</v>
      </c>
      <c r="W23" s="668">
        <f>J23</f>
        <v>100</v>
      </c>
      <c r="X23" s="1264"/>
      <c r="Y23" s="3498"/>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98"/>
      <c r="Q24" s="1262"/>
      <c r="R24" s="667"/>
      <c r="S24" s="668"/>
      <c r="T24" s="667"/>
      <c r="U24" s="668"/>
      <c r="V24" s="667"/>
      <c r="W24" s="668"/>
      <c r="X24" s="1264"/>
      <c r="Y24" s="3498"/>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98"/>
      <c r="Q25" s="1262">
        <f>B25</f>
        <v>111</v>
      </c>
      <c r="R25" s="667" t="s">
        <v>14</v>
      </c>
      <c r="S25" s="668">
        <f>F25</f>
        <v>100</v>
      </c>
      <c r="T25" s="667" t="s">
        <v>14</v>
      </c>
      <c r="U25" s="668">
        <f>H25</f>
        <v>100</v>
      </c>
      <c r="V25" s="667" t="s">
        <v>14</v>
      </c>
      <c r="W25" s="668">
        <f>J25</f>
        <v>100</v>
      </c>
      <c r="X25" s="1264"/>
      <c r="Y25" s="3498"/>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98"/>
      <c r="Q26" s="1262">
        <f t="shared" ref="Q26:Q40" si="11">B26</f>
        <v>111</v>
      </c>
      <c r="R26" s="667" t="s">
        <v>14</v>
      </c>
      <c r="S26" s="668">
        <f>F26</f>
        <v>100</v>
      </c>
      <c r="T26" s="667" t="s">
        <v>14</v>
      </c>
      <c r="U26" s="668">
        <f>H26</f>
        <v>100</v>
      </c>
      <c r="V26" s="667" t="s">
        <v>14</v>
      </c>
      <c r="W26" s="668">
        <f>J26</f>
        <v>100</v>
      </c>
      <c r="X26" s="1264"/>
      <c r="Y26" s="3498"/>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98"/>
      <c r="Q27" s="530">
        <f t="shared" si="11"/>
        <v>111</v>
      </c>
      <c r="R27" s="664" t="s">
        <v>14</v>
      </c>
      <c r="S27" s="665">
        <f>F27</f>
        <v>100</v>
      </c>
      <c r="T27" s="664" t="s">
        <v>14</v>
      </c>
      <c r="U27" s="665">
        <f>H27</f>
        <v>100</v>
      </c>
      <c r="V27" s="664" t="s">
        <v>14</v>
      </c>
      <c r="W27" s="665">
        <f>J27</f>
        <v>100</v>
      </c>
      <c r="X27" s="666"/>
      <c r="Y27" s="3498"/>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98"/>
      <c r="Q28" s="1262">
        <f t="shared" si="11"/>
        <v>111</v>
      </c>
      <c r="R28" s="667" t="s">
        <v>14</v>
      </c>
      <c r="S28" s="668">
        <f t="shared" ref="S28:S40" si="12">F28</f>
        <v>100</v>
      </c>
      <c r="T28" s="667" t="s">
        <v>14</v>
      </c>
      <c r="U28" s="668">
        <f t="shared" ref="U28:U40" si="13">H28</f>
        <v>100</v>
      </c>
      <c r="V28" s="667" t="s">
        <v>14</v>
      </c>
      <c r="W28" s="668">
        <f t="shared" ref="W28:W40" si="14">J28</f>
        <v>100</v>
      </c>
      <c r="X28" s="1264"/>
      <c r="Y28" s="3498"/>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522" t="s">
        <v>1696</v>
      </c>
      <c r="Q29" s="1262" t="str">
        <f t="shared" si="11"/>
        <v>建筑类型</v>
      </c>
      <c r="R29" s="667" t="s">
        <v>14</v>
      </c>
      <c r="S29" s="668">
        <f t="shared" si="12"/>
        <v>100</v>
      </c>
      <c r="T29" s="667" t="s">
        <v>14</v>
      </c>
      <c r="U29" s="668">
        <f t="shared" si="13"/>
        <v>100</v>
      </c>
      <c r="V29" s="667" t="s">
        <v>14</v>
      </c>
      <c r="W29" s="668">
        <f t="shared" si="14"/>
        <v>100</v>
      </c>
      <c r="X29" s="1264"/>
      <c r="Y29" s="3502"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02"/>
      <c r="Q30" s="531" t="str">
        <f t="shared" si="11"/>
        <v>项目建筑规模</v>
      </c>
      <c r="R30" s="669" t="s">
        <v>14</v>
      </c>
      <c r="S30" s="670" t="e">
        <f t="shared" si="12"/>
        <v>#N/A</v>
      </c>
      <c r="T30" s="669" t="s">
        <v>14</v>
      </c>
      <c r="U30" s="670" t="e">
        <f t="shared" si="13"/>
        <v>#N/A</v>
      </c>
      <c r="V30" s="669" t="s">
        <v>14</v>
      </c>
      <c r="W30" s="670" t="e">
        <f t="shared" si="14"/>
        <v>#N/A</v>
      </c>
      <c r="X30" s="671"/>
      <c r="Y30" s="3502"/>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02"/>
      <c r="Q31" s="1262" t="str">
        <f t="shared" si="11"/>
        <v>建筑结构</v>
      </c>
      <c r="R31" s="667" t="s">
        <v>14</v>
      </c>
      <c r="S31" s="668">
        <f t="shared" si="12"/>
        <v>100</v>
      </c>
      <c r="T31" s="667" t="s">
        <v>14</v>
      </c>
      <c r="U31" s="668">
        <f t="shared" si="13"/>
        <v>100</v>
      </c>
      <c r="V31" s="667" t="s">
        <v>14</v>
      </c>
      <c r="W31" s="668">
        <f t="shared" si="14"/>
        <v>100</v>
      </c>
      <c r="X31" s="1264"/>
      <c r="Y31" s="3502"/>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02"/>
      <c r="Q32" s="1262" t="str">
        <f t="shared" si="11"/>
        <v>公共部分装修</v>
      </c>
      <c r="R32" s="667" t="s">
        <v>14</v>
      </c>
      <c r="S32" s="668">
        <f t="shared" si="12"/>
        <v>100</v>
      </c>
      <c r="T32" s="667" t="s">
        <v>14</v>
      </c>
      <c r="U32" s="668">
        <f t="shared" si="13"/>
        <v>100</v>
      </c>
      <c r="V32" s="667" t="s">
        <v>14</v>
      </c>
      <c r="W32" s="668">
        <f t="shared" si="14"/>
        <v>100</v>
      </c>
      <c r="X32" s="1264"/>
      <c r="Y32" s="3502"/>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02"/>
      <c r="Q33" s="1262" t="str">
        <f t="shared" si="11"/>
        <v>成新度</v>
      </c>
      <c r="R33" s="667" t="s">
        <v>14</v>
      </c>
      <c r="S33" s="668" t="e">
        <f t="shared" si="12"/>
        <v>#N/A</v>
      </c>
      <c r="T33" s="667" t="s">
        <v>14</v>
      </c>
      <c r="U33" s="668" t="e">
        <f t="shared" si="13"/>
        <v>#N/A</v>
      </c>
      <c r="V33" s="667" t="s">
        <v>14</v>
      </c>
      <c r="W33" s="668" t="e">
        <f t="shared" si="14"/>
        <v>#N/A</v>
      </c>
      <c r="X33" s="1264"/>
      <c r="Y33" s="3502"/>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02"/>
      <c r="Q34" s="530" t="str">
        <f t="shared" si="11"/>
        <v>物业管理</v>
      </c>
      <c r="R34" s="664" t="s">
        <v>14</v>
      </c>
      <c r="S34" s="665">
        <f t="shared" si="12"/>
        <v>100</v>
      </c>
      <c r="T34" s="664" t="s">
        <v>14</v>
      </c>
      <c r="U34" s="665">
        <f t="shared" si="13"/>
        <v>100</v>
      </c>
      <c r="V34" s="664" t="s">
        <v>14</v>
      </c>
      <c r="W34" s="665">
        <f t="shared" si="14"/>
        <v>100</v>
      </c>
      <c r="X34" s="666"/>
      <c r="Y34" s="350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02" t="s">
        <v>1696</v>
      </c>
      <c r="Q35" s="1262" t="str">
        <f t="shared" si="11"/>
        <v>市政基础设施</v>
      </c>
      <c r="R35" s="667" t="s">
        <v>14</v>
      </c>
      <c r="S35" s="668">
        <f t="shared" si="12"/>
        <v>100</v>
      </c>
      <c r="T35" s="667" t="s">
        <v>14</v>
      </c>
      <c r="U35" s="668">
        <f t="shared" si="13"/>
        <v>100</v>
      </c>
      <c r="V35" s="667" t="s">
        <v>14</v>
      </c>
      <c r="W35" s="668">
        <f t="shared" si="14"/>
        <v>100</v>
      </c>
      <c r="X35" s="1264"/>
      <c r="Y35" s="3502"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02"/>
      <c r="Q36" s="1262" t="str">
        <f t="shared" si="11"/>
        <v>内部装修</v>
      </c>
      <c r="R36" s="667" t="s">
        <v>14</v>
      </c>
      <c r="S36" s="668">
        <f t="shared" si="12"/>
        <v>100</v>
      </c>
      <c r="T36" s="667" t="s">
        <v>14</v>
      </c>
      <c r="U36" s="668">
        <f t="shared" si="13"/>
        <v>100</v>
      </c>
      <c r="V36" s="667" t="s">
        <v>14</v>
      </c>
      <c r="W36" s="668">
        <f t="shared" si="14"/>
        <v>100</v>
      </c>
      <c r="X36" s="1264"/>
      <c r="Y36" s="3502"/>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02"/>
      <c r="Q37" s="1262" t="str">
        <f t="shared" si="11"/>
        <v>内部装修状况</v>
      </c>
      <c r="R37" s="667" t="s">
        <v>14</v>
      </c>
      <c r="S37" s="668">
        <f t="shared" si="12"/>
        <v>100</v>
      </c>
      <c r="T37" s="667" t="s">
        <v>14</v>
      </c>
      <c r="U37" s="668">
        <f t="shared" si="13"/>
        <v>100</v>
      </c>
      <c r="V37" s="667" t="s">
        <v>14</v>
      </c>
      <c r="W37" s="668">
        <f t="shared" si="14"/>
        <v>100</v>
      </c>
      <c r="X37" s="1264"/>
      <c r="Y37" s="3502"/>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02"/>
      <c r="Q38" s="531">
        <f t="shared" si="11"/>
        <v>111</v>
      </c>
      <c r="R38" s="669" t="s">
        <v>14</v>
      </c>
      <c r="S38" s="670">
        <f t="shared" si="12"/>
        <v>100</v>
      </c>
      <c r="T38" s="669" t="s">
        <v>14</v>
      </c>
      <c r="U38" s="670">
        <f t="shared" si="13"/>
        <v>100</v>
      </c>
      <c r="V38" s="669" t="s">
        <v>14</v>
      </c>
      <c r="W38" s="670">
        <f t="shared" si="14"/>
        <v>100</v>
      </c>
      <c r="X38" s="671"/>
      <c r="Y38" s="3502"/>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02"/>
      <c r="Q39" s="1262">
        <f t="shared" si="11"/>
        <v>111</v>
      </c>
      <c r="R39" s="667" t="s">
        <v>14</v>
      </c>
      <c r="S39" s="668">
        <f t="shared" si="12"/>
        <v>100</v>
      </c>
      <c r="T39" s="667" t="s">
        <v>14</v>
      </c>
      <c r="U39" s="668">
        <f t="shared" si="13"/>
        <v>100</v>
      </c>
      <c r="V39" s="667" t="s">
        <v>14</v>
      </c>
      <c r="W39" s="668">
        <f t="shared" si="14"/>
        <v>100</v>
      </c>
      <c r="X39" s="1264"/>
      <c r="Y39" s="3502"/>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03"/>
      <c r="Q40" s="1262">
        <f t="shared" si="11"/>
        <v>111</v>
      </c>
      <c r="R40" s="667" t="s">
        <v>14</v>
      </c>
      <c r="S40" s="668">
        <f t="shared" si="12"/>
        <v>100</v>
      </c>
      <c r="T40" s="667" t="s">
        <v>14</v>
      </c>
      <c r="U40" s="668">
        <f t="shared" si="13"/>
        <v>100</v>
      </c>
      <c r="V40" s="667" t="s">
        <v>14</v>
      </c>
      <c r="W40" s="668">
        <f t="shared" si="14"/>
        <v>100</v>
      </c>
      <c r="X40" s="1264"/>
      <c r="Y40" s="3503"/>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96" t="str">
        <f>A41</f>
        <v>成交单价（元/平方米）</v>
      </c>
      <c r="Q41" s="3496"/>
      <c r="R41" s="3490">
        <f>E41</f>
        <v>0</v>
      </c>
      <c r="S41" s="3490"/>
      <c r="T41" s="3490">
        <f>G41</f>
        <v>0</v>
      </c>
      <c r="U41" s="3490"/>
      <c r="V41" s="3490">
        <f>I41</f>
        <v>0</v>
      </c>
      <c r="W41" s="3490"/>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96" t="str">
        <f>A42</f>
        <v>比较价值（元/平方米）</v>
      </c>
      <c r="Q42" s="3496"/>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93" t="str">
        <f>A43</f>
        <v>估价对象XX用房的比较价值（楼面单价，元/平方米）</v>
      </c>
      <c r="Q43" s="3494"/>
      <c r="R43" s="3495" t="e">
        <f>IF(F1="售价",ROUND(IF(D42="简单平均",AVERAGE(R42:V42),R42*F42+T42*H42+V42*J42),0),ROUND(IF(D42="简单平均",AVERAGE(R42:V42),R42*F42+T42*H42+V42*J42),1))</f>
        <v>#DIV/0!</v>
      </c>
      <c r="S43" s="3495"/>
      <c r="T43" s="3495"/>
      <c r="U43" s="3495"/>
      <c r="V43" s="3495"/>
      <c r="W43" s="349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2014-4</v>
      </c>
      <c r="D52" s="1103">
        <f>EDATE(C52,-1)</f>
        <v>41699</v>
      </c>
      <c r="E52" s="1103">
        <f t="shared" ref="E52:O52" si="16">EDATE(D52,-1)</f>
        <v>41671</v>
      </c>
      <c r="F52" s="1103">
        <f t="shared" si="16"/>
        <v>41640</v>
      </c>
      <c r="G52" s="1103">
        <f t="shared" si="16"/>
        <v>41609</v>
      </c>
      <c r="H52" s="1103">
        <f t="shared" si="16"/>
        <v>41579</v>
      </c>
      <c r="I52" s="1103">
        <f t="shared" si="16"/>
        <v>41548</v>
      </c>
      <c r="J52" s="1103">
        <f t="shared" si="16"/>
        <v>41518</v>
      </c>
      <c r="K52" s="1103">
        <f t="shared" si="16"/>
        <v>41487</v>
      </c>
      <c r="L52" s="1103">
        <f t="shared" si="16"/>
        <v>41456</v>
      </c>
      <c r="M52" s="1103">
        <f t="shared" si="16"/>
        <v>41426</v>
      </c>
      <c r="N52" s="1103">
        <f t="shared" si="16"/>
        <v>41395</v>
      </c>
      <c r="O52" s="1103">
        <f t="shared" si="16"/>
        <v>41365</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482" t="s">
        <v>1775</v>
      </c>
      <c r="Q4" s="3483"/>
      <c r="R4" s="3465" t="s">
        <v>1771</v>
      </c>
      <c r="S4" s="3466"/>
      <c r="T4" s="3465" t="s">
        <v>1772</v>
      </c>
      <c r="U4" s="3466"/>
      <c r="V4" s="3490" t="s">
        <v>1773</v>
      </c>
      <c r="W4" s="3490"/>
      <c r="X4" s="1264"/>
      <c r="Y4" s="3465" t="s">
        <v>1775</v>
      </c>
      <c r="Z4" s="3466"/>
      <c r="AA4" s="3460" t="s">
        <v>1771</v>
      </c>
      <c r="AB4" s="3461" t="s">
        <v>1772</v>
      </c>
      <c r="AC4" s="3460" t="s">
        <v>1773</v>
      </c>
    </row>
    <row r="5" spans="1:29" ht="15">
      <c r="A5" s="348"/>
      <c r="B5" s="349"/>
      <c r="C5" s="3471" t="s">
        <v>1673</v>
      </c>
      <c r="D5" s="3472"/>
      <c r="E5" s="3506" t="s">
        <v>1674</v>
      </c>
      <c r="F5" s="3470"/>
      <c r="G5" s="3471" t="s">
        <v>1675</v>
      </c>
      <c r="H5" s="3472"/>
      <c r="I5" s="3471" t="s">
        <v>1676</v>
      </c>
      <c r="J5" s="3472"/>
      <c r="K5" s="537"/>
      <c r="L5" s="2484"/>
      <c r="M5" s="2485"/>
      <c r="N5" s="2485"/>
      <c r="O5" s="2485"/>
      <c r="P5" s="3484"/>
      <c r="Q5" s="3485"/>
      <c r="R5" s="3467"/>
      <c r="S5" s="3468"/>
      <c r="T5" s="3467"/>
      <c r="U5" s="3468"/>
      <c r="V5" s="3490"/>
      <c r="W5" s="3490"/>
      <c r="X5" s="1264"/>
      <c r="Y5" s="3467"/>
      <c r="Z5" s="3468"/>
      <c r="AA5" s="3461"/>
      <c r="AB5" s="3461"/>
      <c r="AC5" s="3461"/>
    </row>
    <row r="6" spans="1:29" ht="15.75" thickBot="1">
      <c r="A6" s="350"/>
      <c r="B6" s="351"/>
      <c r="C6" s="3473" t="s">
        <v>1677</v>
      </c>
      <c r="D6" s="3474"/>
      <c r="E6" s="3475" t="s">
        <v>1677</v>
      </c>
      <c r="F6" s="3476"/>
      <c r="G6" s="3473" t="s">
        <v>1677</v>
      </c>
      <c r="H6" s="3474"/>
      <c r="I6" s="3473" t="s">
        <v>1677</v>
      </c>
      <c r="J6" s="3474"/>
      <c r="K6" s="537" t="s">
        <v>1678</v>
      </c>
      <c r="L6" s="2484"/>
      <c r="M6" s="2485"/>
      <c r="N6" s="2485"/>
      <c r="O6" s="2485"/>
      <c r="P6" s="3486"/>
      <c r="Q6" s="3487"/>
      <c r="R6" s="3467"/>
      <c r="S6" s="3468"/>
      <c r="T6" s="3488"/>
      <c r="U6" s="3489"/>
      <c r="V6" s="3490"/>
      <c r="W6" s="3490"/>
      <c r="X6" s="1264"/>
      <c r="Y6" s="3488"/>
      <c r="Z6" s="3489"/>
      <c r="AA6" s="3462"/>
      <c r="AB6" s="3462"/>
      <c r="AC6" s="3462"/>
    </row>
    <row r="7" spans="1:29" s="102" customFormat="1" ht="15.75" thickBot="1">
      <c r="A7" s="352" t="s">
        <v>1679</v>
      </c>
      <c r="B7" s="353"/>
      <c r="C7" s="354">
        <f>'数据-取费表'!B2</f>
        <v>41743</v>
      </c>
      <c r="D7" s="355">
        <v>100</v>
      </c>
      <c r="E7" s="356"/>
      <c r="F7" s="357">
        <f>SUMIF(48:48,YEAR(E7)&amp;"-"&amp;MONTH(E7),49:49)</f>
        <v>0</v>
      </c>
      <c r="G7" s="356"/>
      <c r="H7" s="355">
        <f>SUMIF(48:48,YEAR(G7)&amp;"-"&amp;MONTH(G7),49:49)</f>
        <v>0</v>
      </c>
      <c r="I7" s="356"/>
      <c r="J7" s="355">
        <f>SUMIF(48:48,YEAR(I7)&amp;"-"&amp;MONTH(I7),49:49)</f>
        <v>0</v>
      </c>
      <c r="K7" s="38"/>
      <c r="L7" s="2486"/>
      <c r="M7" s="2437"/>
      <c r="N7" s="2437"/>
      <c r="O7" s="2437"/>
      <c r="P7" s="3463" t="s">
        <v>1680</v>
      </c>
      <c r="Q7" s="3492"/>
      <c r="R7" s="664" t="s">
        <v>14</v>
      </c>
      <c r="S7" s="665">
        <f t="shared" ref="S7:S14" si="0">F7</f>
        <v>0</v>
      </c>
      <c r="T7" s="664" t="s">
        <v>14</v>
      </c>
      <c r="U7" s="665">
        <f t="shared" ref="U7:U14" si="1">H7</f>
        <v>0</v>
      </c>
      <c r="V7" s="664" t="s">
        <v>14</v>
      </c>
      <c r="W7" s="665">
        <f t="shared" ref="W7:W14" si="2">J7</f>
        <v>0</v>
      </c>
      <c r="X7" s="666"/>
      <c r="Y7" s="3463" t="s">
        <v>1680</v>
      </c>
      <c r="Z7" s="346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63" t="s">
        <v>1683</v>
      </c>
      <c r="Q8" s="3464"/>
      <c r="R8" s="664" t="s">
        <v>14</v>
      </c>
      <c r="S8" s="665">
        <f t="shared" si="0"/>
        <v>100</v>
      </c>
      <c r="T8" s="664" t="s">
        <v>14</v>
      </c>
      <c r="U8" s="665">
        <f t="shared" si="1"/>
        <v>100</v>
      </c>
      <c r="V8" s="664" t="s">
        <v>14</v>
      </c>
      <c r="W8" s="665">
        <f t="shared" si="2"/>
        <v>100</v>
      </c>
      <c r="X8" s="666"/>
      <c r="Y8" s="3463" t="s">
        <v>1683</v>
      </c>
      <c r="Z8" s="346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96" t="s">
        <v>1686</v>
      </c>
      <c r="Q9" s="530" t="str">
        <f t="shared" ref="Q9:Q14" si="6">B9</f>
        <v>用途</v>
      </c>
      <c r="R9" s="664" t="s">
        <v>14</v>
      </c>
      <c r="S9" s="665">
        <f t="shared" si="0"/>
        <v>100</v>
      </c>
      <c r="T9" s="664" t="s">
        <v>14</v>
      </c>
      <c r="U9" s="665">
        <f t="shared" si="1"/>
        <v>100</v>
      </c>
      <c r="V9" s="664" t="s">
        <v>14</v>
      </c>
      <c r="W9" s="665">
        <f t="shared" si="2"/>
        <v>100</v>
      </c>
      <c r="X9" s="666"/>
      <c r="Y9" s="340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96"/>
      <c r="Q10" s="530" t="str">
        <f t="shared" si="6"/>
        <v>土地使用年限（年）</v>
      </c>
      <c r="R10" s="664" t="s">
        <v>14</v>
      </c>
      <c r="S10" s="665">
        <f t="shared" si="0"/>
        <v>100</v>
      </c>
      <c r="T10" s="664" t="s">
        <v>14</v>
      </c>
      <c r="U10" s="665">
        <f t="shared" si="1"/>
        <v>100</v>
      </c>
      <c r="V10" s="664" t="s">
        <v>14</v>
      </c>
      <c r="W10" s="665">
        <f t="shared" si="2"/>
        <v>100</v>
      </c>
      <c r="X10" s="666"/>
      <c r="Y10" s="340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96"/>
      <c r="Q11" s="530">
        <f t="shared" si="6"/>
        <v>111</v>
      </c>
      <c r="R11" s="664" t="s">
        <v>14</v>
      </c>
      <c r="S11" s="665">
        <f t="shared" si="0"/>
        <v>100</v>
      </c>
      <c r="T11" s="664" t="s">
        <v>14</v>
      </c>
      <c r="U11" s="665">
        <f t="shared" si="1"/>
        <v>100</v>
      </c>
      <c r="V11" s="664" t="s">
        <v>14</v>
      </c>
      <c r="W11" s="665">
        <f t="shared" si="2"/>
        <v>100</v>
      </c>
      <c r="X11" s="666"/>
      <c r="Y11" s="340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96"/>
      <c r="Q12" s="530">
        <f t="shared" si="6"/>
        <v>111</v>
      </c>
      <c r="R12" s="664" t="s">
        <v>14</v>
      </c>
      <c r="S12" s="665">
        <f t="shared" si="0"/>
        <v>100</v>
      </c>
      <c r="T12" s="664" t="s">
        <v>14</v>
      </c>
      <c r="U12" s="665">
        <f t="shared" si="1"/>
        <v>100</v>
      </c>
      <c r="V12" s="664" t="s">
        <v>14</v>
      </c>
      <c r="W12" s="665">
        <f t="shared" si="2"/>
        <v>100</v>
      </c>
      <c r="X12" s="666"/>
      <c r="Y12" s="340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96"/>
      <c r="Q13" s="530">
        <f t="shared" si="6"/>
        <v>111</v>
      </c>
      <c r="R13" s="664" t="s">
        <v>14</v>
      </c>
      <c r="S13" s="665">
        <f t="shared" si="0"/>
        <v>100</v>
      </c>
      <c r="T13" s="664" t="s">
        <v>14</v>
      </c>
      <c r="U13" s="665">
        <f t="shared" si="1"/>
        <v>100</v>
      </c>
      <c r="V13" s="664" t="s">
        <v>14</v>
      </c>
      <c r="W13" s="665">
        <f t="shared" si="2"/>
        <v>100</v>
      </c>
      <c r="X13" s="666"/>
      <c r="Y13" s="3407"/>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97" t="s">
        <v>1691</v>
      </c>
      <c r="Q14" s="1262" t="str">
        <f t="shared" si="6"/>
        <v>交通便捷度</v>
      </c>
      <c r="R14" s="667" t="s">
        <v>14</v>
      </c>
      <c r="S14" s="668">
        <f t="shared" si="0"/>
        <v>100</v>
      </c>
      <c r="T14" s="667" t="s">
        <v>14</v>
      </c>
      <c r="U14" s="668">
        <f t="shared" si="1"/>
        <v>100</v>
      </c>
      <c r="V14" s="667" t="s">
        <v>14</v>
      </c>
      <c r="W14" s="668">
        <f t="shared" si="2"/>
        <v>100</v>
      </c>
      <c r="X14" s="1264"/>
      <c r="Y14" s="3497"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98"/>
      <c r="Q15" s="1262"/>
      <c r="R15" s="667"/>
      <c r="S15" s="668"/>
      <c r="T15" s="667"/>
      <c r="U15" s="668"/>
      <c r="V15" s="667"/>
      <c r="W15" s="668"/>
      <c r="X15" s="1264"/>
      <c r="Y15" s="3498"/>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98"/>
      <c r="Q16" s="1262" t="str">
        <f>B16</f>
        <v>公共配套设施</v>
      </c>
      <c r="R16" s="667" t="s">
        <v>14</v>
      </c>
      <c r="S16" s="668">
        <f>F16</f>
        <v>100</v>
      </c>
      <c r="T16" s="667" t="s">
        <v>14</v>
      </c>
      <c r="U16" s="668">
        <f>H16</f>
        <v>100</v>
      </c>
      <c r="V16" s="667" t="s">
        <v>14</v>
      </c>
      <c r="W16" s="668">
        <f>J16</f>
        <v>100</v>
      </c>
      <c r="X16" s="1264"/>
      <c r="Y16" s="3498"/>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98"/>
      <c r="Q17" s="1262"/>
      <c r="R17" s="667"/>
      <c r="S17" s="668"/>
      <c r="T17" s="667"/>
      <c r="U17" s="668"/>
      <c r="V17" s="667"/>
      <c r="W17" s="668"/>
      <c r="X17" s="1264"/>
      <c r="Y17" s="3498"/>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98"/>
      <c r="Q18" s="1262" t="str">
        <f>B18</f>
        <v>基础设施水平</v>
      </c>
      <c r="R18" s="667" t="s">
        <v>14</v>
      </c>
      <c r="S18" s="668">
        <f>F18</f>
        <v>100</v>
      </c>
      <c r="T18" s="667" t="s">
        <v>14</v>
      </c>
      <c r="U18" s="668">
        <f>H18</f>
        <v>100</v>
      </c>
      <c r="V18" s="667" t="s">
        <v>14</v>
      </c>
      <c r="W18" s="668">
        <f>J18</f>
        <v>100</v>
      </c>
      <c r="X18" s="1264"/>
      <c r="Y18" s="3498"/>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498"/>
      <c r="Q19" s="1262"/>
      <c r="R19" s="667"/>
      <c r="S19" s="668"/>
      <c r="T19" s="667"/>
      <c r="U19" s="668"/>
      <c r="V19" s="667"/>
      <c r="W19" s="668"/>
      <c r="X19" s="1264"/>
      <c r="Y19" s="3498"/>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98"/>
      <c r="Q20" s="1262" t="str">
        <f>B20</f>
        <v>自然及人文环境</v>
      </c>
      <c r="R20" s="667" t="s">
        <v>14</v>
      </c>
      <c r="S20" s="668">
        <f>F20</f>
        <v>100</v>
      </c>
      <c r="T20" s="667" t="s">
        <v>14</v>
      </c>
      <c r="U20" s="668">
        <f>H20</f>
        <v>100</v>
      </c>
      <c r="V20" s="667" t="s">
        <v>14</v>
      </c>
      <c r="W20" s="668">
        <f>J20</f>
        <v>100</v>
      </c>
      <c r="X20" s="1264"/>
      <c r="Y20" s="349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98"/>
      <c r="Q21" s="1262"/>
      <c r="R21" s="667"/>
      <c r="S21" s="668"/>
      <c r="T21" s="667"/>
      <c r="U21" s="668"/>
      <c r="V21" s="667"/>
      <c r="W21" s="668"/>
      <c r="X21" s="1264"/>
      <c r="Y21" s="3498"/>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98"/>
      <c r="Q22" s="1262" t="str">
        <f>B22</f>
        <v>楼层</v>
      </c>
      <c r="R22" s="667" t="s">
        <v>14</v>
      </c>
      <c r="S22" s="668">
        <f>F22</f>
        <v>100</v>
      </c>
      <c r="T22" s="667" t="s">
        <v>14</v>
      </c>
      <c r="U22" s="668">
        <f>H22</f>
        <v>100</v>
      </c>
      <c r="V22" s="667" t="s">
        <v>14</v>
      </c>
      <c r="W22" s="668">
        <f>J22</f>
        <v>100</v>
      </c>
      <c r="X22" s="1264"/>
      <c r="Y22" s="349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98"/>
      <c r="Q23" s="1262">
        <f>B23</f>
        <v>111</v>
      </c>
      <c r="R23" s="667" t="s">
        <v>14</v>
      </c>
      <c r="S23" s="668">
        <f>F23</f>
        <v>100</v>
      </c>
      <c r="T23" s="667" t="s">
        <v>14</v>
      </c>
      <c r="U23" s="668">
        <f>H23</f>
        <v>100</v>
      </c>
      <c r="V23" s="667" t="s">
        <v>14</v>
      </c>
      <c r="W23" s="668">
        <f>J23</f>
        <v>100</v>
      </c>
      <c r="X23" s="1264"/>
      <c r="Y23" s="349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98"/>
      <c r="Q24" s="1262">
        <f t="shared" ref="Q24:Q36" si="11">B24</f>
        <v>111</v>
      </c>
      <c r="R24" s="667" t="s">
        <v>14</v>
      </c>
      <c r="S24" s="668">
        <f>F24</f>
        <v>100</v>
      </c>
      <c r="T24" s="667" t="s">
        <v>14</v>
      </c>
      <c r="U24" s="668">
        <f>H24</f>
        <v>100</v>
      </c>
      <c r="V24" s="667" t="s">
        <v>14</v>
      </c>
      <c r="W24" s="668">
        <f>J24</f>
        <v>100</v>
      </c>
      <c r="X24" s="1264"/>
      <c r="Y24" s="3498"/>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98"/>
      <c r="Q25" s="530">
        <f t="shared" si="11"/>
        <v>111</v>
      </c>
      <c r="R25" s="664" t="s">
        <v>14</v>
      </c>
      <c r="S25" s="665">
        <f>F25</f>
        <v>100</v>
      </c>
      <c r="T25" s="664" t="s">
        <v>14</v>
      </c>
      <c r="U25" s="665">
        <f>H25</f>
        <v>100</v>
      </c>
      <c r="V25" s="664" t="s">
        <v>14</v>
      </c>
      <c r="W25" s="665">
        <f>J25</f>
        <v>100</v>
      </c>
      <c r="X25" s="666"/>
      <c r="Y25" s="3498"/>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522"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502"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502"/>
      <c r="Q27" s="531" t="str">
        <f t="shared" si="11"/>
        <v>项目停车位配比</v>
      </c>
      <c r="R27" s="669" t="s">
        <v>14</v>
      </c>
      <c r="S27" s="670">
        <f t="shared" si="12"/>
        <v>100</v>
      </c>
      <c r="T27" s="669" t="s">
        <v>14</v>
      </c>
      <c r="U27" s="670">
        <f t="shared" si="13"/>
        <v>100</v>
      </c>
      <c r="V27" s="669" t="s">
        <v>14</v>
      </c>
      <c r="W27" s="670">
        <f t="shared" si="14"/>
        <v>100</v>
      </c>
      <c r="X27" s="671"/>
      <c r="Y27" s="3502"/>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502"/>
      <c r="Q28" s="1262" t="str">
        <f t="shared" si="11"/>
        <v>公共部分装修</v>
      </c>
      <c r="R28" s="667" t="s">
        <v>14</v>
      </c>
      <c r="S28" s="668">
        <f t="shared" si="12"/>
        <v>100</v>
      </c>
      <c r="T28" s="667" t="s">
        <v>14</v>
      </c>
      <c r="U28" s="668">
        <f t="shared" si="13"/>
        <v>100</v>
      </c>
      <c r="V28" s="667" t="s">
        <v>14</v>
      </c>
      <c r="W28" s="668">
        <f t="shared" si="14"/>
        <v>100</v>
      </c>
      <c r="X28" s="1264"/>
      <c r="Y28" s="3502"/>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502"/>
      <c r="Q29" s="1262" t="str">
        <f t="shared" si="11"/>
        <v>成新率</v>
      </c>
      <c r="R29" s="667" t="s">
        <v>14</v>
      </c>
      <c r="S29" s="668" t="e">
        <f t="shared" si="12"/>
        <v>#N/A</v>
      </c>
      <c r="T29" s="667" t="s">
        <v>14</v>
      </c>
      <c r="U29" s="668" t="e">
        <f t="shared" si="13"/>
        <v>#N/A</v>
      </c>
      <c r="V29" s="667" t="s">
        <v>14</v>
      </c>
      <c r="W29" s="668" t="e">
        <f t="shared" si="14"/>
        <v>#N/A</v>
      </c>
      <c r="X29" s="1264"/>
      <c r="Y29" s="3502"/>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502"/>
      <c r="Q30" s="1262" t="str">
        <f t="shared" si="11"/>
        <v>物业等级</v>
      </c>
      <c r="R30" s="667" t="s">
        <v>14</v>
      </c>
      <c r="S30" s="668">
        <f t="shared" si="12"/>
        <v>100</v>
      </c>
      <c r="T30" s="667" t="s">
        <v>14</v>
      </c>
      <c r="U30" s="668">
        <f t="shared" si="13"/>
        <v>100</v>
      </c>
      <c r="V30" s="667" t="s">
        <v>14</v>
      </c>
      <c r="W30" s="668">
        <f t="shared" si="14"/>
        <v>100</v>
      </c>
      <c r="X30" s="1264"/>
      <c r="Y30" s="3502"/>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502"/>
      <c r="Q31" s="530" t="str">
        <f t="shared" si="11"/>
        <v>停车位面积</v>
      </c>
      <c r="R31" s="664" t="s">
        <v>14</v>
      </c>
      <c r="S31" s="665" t="e">
        <f t="shared" si="12"/>
        <v>#N/A</v>
      </c>
      <c r="T31" s="664" t="s">
        <v>14</v>
      </c>
      <c r="U31" s="665" t="e">
        <f t="shared" si="13"/>
        <v>#N/A</v>
      </c>
      <c r="V31" s="664" t="s">
        <v>14</v>
      </c>
      <c r="W31" s="665" t="e">
        <f t="shared" si="14"/>
        <v>#N/A</v>
      </c>
      <c r="X31" s="666"/>
      <c r="Y31" s="350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502" t="s">
        <v>1696</v>
      </c>
      <c r="Q32" s="1262" t="str">
        <f t="shared" si="11"/>
        <v>车位类型</v>
      </c>
      <c r="R32" s="667" t="s">
        <v>14</v>
      </c>
      <c r="S32" s="668">
        <f t="shared" si="12"/>
        <v>100</v>
      </c>
      <c r="T32" s="667" t="s">
        <v>14</v>
      </c>
      <c r="U32" s="668">
        <f t="shared" si="13"/>
        <v>100</v>
      </c>
      <c r="V32" s="667" t="s">
        <v>14</v>
      </c>
      <c r="W32" s="668">
        <f t="shared" si="14"/>
        <v>100</v>
      </c>
      <c r="X32" s="1264"/>
      <c r="Y32" s="3502"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502"/>
      <c r="Q33" s="1262" t="str">
        <f t="shared" si="11"/>
        <v>是否直接入户</v>
      </c>
      <c r="R33" s="667" t="s">
        <v>14</v>
      </c>
      <c r="S33" s="668">
        <f t="shared" si="12"/>
        <v>100</v>
      </c>
      <c r="T33" s="667" t="s">
        <v>14</v>
      </c>
      <c r="U33" s="668">
        <f t="shared" si="13"/>
        <v>100</v>
      </c>
      <c r="V33" s="667" t="s">
        <v>14</v>
      </c>
      <c r="W33" s="668">
        <f t="shared" si="14"/>
        <v>100</v>
      </c>
      <c r="X33" s="1264"/>
      <c r="Y33" s="3502"/>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502"/>
      <c r="Q34" s="1262">
        <f t="shared" si="11"/>
        <v>111</v>
      </c>
      <c r="R34" s="667" t="s">
        <v>14</v>
      </c>
      <c r="S34" s="668">
        <f t="shared" si="12"/>
        <v>100</v>
      </c>
      <c r="T34" s="667" t="s">
        <v>14</v>
      </c>
      <c r="U34" s="668">
        <f t="shared" si="13"/>
        <v>100</v>
      </c>
      <c r="V34" s="667" t="s">
        <v>14</v>
      </c>
      <c r="W34" s="668">
        <f t="shared" si="14"/>
        <v>100</v>
      </c>
      <c r="X34" s="1264"/>
      <c r="Y34" s="3502"/>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502"/>
      <c r="Q35" s="531">
        <f t="shared" si="11"/>
        <v>111</v>
      </c>
      <c r="R35" s="669" t="s">
        <v>14</v>
      </c>
      <c r="S35" s="670">
        <f t="shared" si="12"/>
        <v>100</v>
      </c>
      <c r="T35" s="669" t="s">
        <v>14</v>
      </c>
      <c r="U35" s="670">
        <f t="shared" si="13"/>
        <v>100</v>
      </c>
      <c r="V35" s="669" t="s">
        <v>14</v>
      </c>
      <c r="W35" s="670">
        <f t="shared" si="14"/>
        <v>100</v>
      </c>
      <c r="X35" s="671"/>
      <c r="Y35" s="3502"/>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502"/>
      <c r="Q36" s="1262">
        <f t="shared" si="11"/>
        <v>111</v>
      </c>
      <c r="R36" s="667" t="s">
        <v>14</v>
      </c>
      <c r="S36" s="668">
        <f t="shared" si="12"/>
        <v>100</v>
      </c>
      <c r="T36" s="667" t="s">
        <v>14</v>
      </c>
      <c r="U36" s="668">
        <f t="shared" si="13"/>
        <v>100</v>
      </c>
      <c r="V36" s="667" t="s">
        <v>14</v>
      </c>
      <c r="W36" s="668">
        <f t="shared" si="14"/>
        <v>100</v>
      </c>
      <c r="X36" s="1264"/>
      <c r="Y36" s="3502"/>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496" t="str">
        <f>A37</f>
        <v>成交单价</v>
      </c>
      <c r="Q37" s="3496"/>
      <c r="R37" s="3490">
        <f>E37</f>
        <v>0</v>
      </c>
      <c r="S37" s="3490"/>
      <c r="T37" s="3490">
        <f>G37</f>
        <v>0</v>
      </c>
      <c r="U37" s="3490"/>
      <c r="V37" s="3490">
        <f>I37</f>
        <v>0</v>
      </c>
      <c r="W37" s="3490"/>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96" t="str">
        <f>A38</f>
        <v>比较价值（元/平方米）</v>
      </c>
      <c r="Q38" s="3496"/>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93" t="str">
        <f>A39</f>
        <v>估价对象XX用房的比较价值（楼面单价，元/平方米）</v>
      </c>
      <c r="Q39" s="3494"/>
      <c r="R39" s="3523" t="e">
        <f>IF(F1="售价",ROUND(IF(D38="简单平均",AVERAGE(R38:W38),R38*F38+T38*H38+V38*J38),0),ROUND(IF(D38="简单平均",AVERAGE(R38:V38),R38*F38+T38*H38+V38*J38),1))</f>
        <v>#DIV/0!</v>
      </c>
      <c r="S39" s="3523"/>
      <c r="T39" s="3523"/>
      <c r="U39" s="3523"/>
      <c r="V39" s="3523"/>
      <c r="W39" s="352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2014-4</v>
      </c>
      <c r="D48" s="1103">
        <f>EDATE(C48,-1)</f>
        <v>41699</v>
      </c>
      <c r="E48" s="1103">
        <f t="shared" ref="E48:O48" si="16">EDATE(D48,-1)</f>
        <v>41671</v>
      </c>
      <c r="F48" s="1103">
        <f t="shared" si="16"/>
        <v>41640</v>
      </c>
      <c r="G48" s="1103">
        <f t="shared" si="16"/>
        <v>41609</v>
      </c>
      <c r="H48" s="1103">
        <f t="shared" si="16"/>
        <v>41579</v>
      </c>
      <c r="I48" s="1103">
        <f t="shared" si="16"/>
        <v>41548</v>
      </c>
      <c r="J48" s="1103">
        <f t="shared" si="16"/>
        <v>41518</v>
      </c>
      <c r="K48" s="1103">
        <f t="shared" si="16"/>
        <v>41487</v>
      </c>
      <c r="L48" s="1103">
        <f t="shared" si="16"/>
        <v>41456</v>
      </c>
      <c r="M48" s="1103">
        <f t="shared" si="16"/>
        <v>41426</v>
      </c>
      <c r="N48" s="1103">
        <f t="shared" si="16"/>
        <v>41395</v>
      </c>
      <c r="O48" s="1103">
        <f t="shared" si="16"/>
        <v>41365</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482" t="s">
        <v>1775</v>
      </c>
      <c r="Q4" s="3483"/>
      <c r="R4" s="3465" t="s">
        <v>1771</v>
      </c>
      <c r="S4" s="3466"/>
      <c r="T4" s="3465" t="s">
        <v>1772</v>
      </c>
      <c r="U4" s="3466"/>
      <c r="V4" s="3490" t="s">
        <v>1773</v>
      </c>
      <c r="W4" s="3490"/>
      <c r="X4" s="1264"/>
      <c r="Y4" s="3465" t="s">
        <v>1775</v>
      </c>
      <c r="Z4" s="3466"/>
      <c r="AA4" s="3460" t="s">
        <v>1771</v>
      </c>
      <c r="AB4" s="3461" t="s">
        <v>1772</v>
      </c>
      <c r="AC4" s="3460" t="s">
        <v>1773</v>
      </c>
    </row>
    <row r="5" spans="1:29" ht="15">
      <c r="A5" s="348"/>
      <c r="B5" s="349"/>
      <c r="C5" s="3471" t="s">
        <v>1673</v>
      </c>
      <c r="D5" s="3472"/>
      <c r="E5" s="3506" t="s">
        <v>1674</v>
      </c>
      <c r="F5" s="3470"/>
      <c r="G5" s="3471" t="s">
        <v>1675</v>
      </c>
      <c r="H5" s="3472"/>
      <c r="I5" s="3471" t="s">
        <v>1676</v>
      </c>
      <c r="J5" s="3472"/>
      <c r="K5" s="537"/>
      <c r="L5" s="2484"/>
      <c r="M5" s="2485"/>
      <c r="N5" s="2485"/>
      <c r="O5" s="2485"/>
      <c r="P5" s="3484"/>
      <c r="Q5" s="3485"/>
      <c r="R5" s="3467"/>
      <c r="S5" s="3468"/>
      <c r="T5" s="3467"/>
      <c r="U5" s="3468"/>
      <c r="V5" s="3490"/>
      <c r="W5" s="3490"/>
      <c r="X5" s="1264"/>
      <c r="Y5" s="3467"/>
      <c r="Z5" s="3468"/>
      <c r="AA5" s="3461"/>
      <c r="AB5" s="3461"/>
      <c r="AC5" s="3461"/>
    </row>
    <row r="6" spans="1:29" ht="15.75" thickBot="1">
      <c r="A6" s="350"/>
      <c r="B6" s="351"/>
      <c r="C6" s="3473" t="s">
        <v>1677</v>
      </c>
      <c r="D6" s="3474"/>
      <c r="E6" s="3475" t="s">
        <v>1677</v>
      </c>
      <c r="F6" s="3476"/>
      <c r="G6" s="3473" t="s">
        <v>1677</v>
      </c>
      <c r="H6" s="3474"/>
      <c r="I6" s="3473" t="s">
        <v>1677</v>
      </c>
      <c r="J6" s="3474"/>
      <c r="K6" s="537" t="s">
        <v>1678</v>
      </c>
      <c r="L6" s="2484"/>
      <c r="M6" s="2485"/>
      <c r="N6" s="2485"/>
      <c r="O6" s="2485"/>
      <c r="P6" s="3486"/>
      <c r="Q6" s="3487"/>
      <c r="R6" s="3467"/>
      <c r="S6" s="3468"/>
      <c r="T6" s="3488"/>
      <c r="U6" s="3489"/>
      <c r="V6" s="3490"/>
      <c r="W6" s="3490"/>
      <c r="X6" s="1264"/>
      <c r="Y6" s="3488"/>
      <c r="Z6" s="3489"/>
      <c r="AA6" s="3462"/>
      <c r="AB6" s="3462"/>
      <c r="AC6" s="3462"/>
    </row>
    <row r="7" spans="1:29" s="102" customFormat="1" ht="15.75" thickBot="1">
      <c r="A7" s="352" t="s">
        <v>1679</v>
      </c>
      <c r="B7" s="353"/>
      <c r="C7" s="354">
        <f>'数据-取费表'!B2</f>
        <v>41743</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63" t="s">
        <v>1680</v>
      </c>
      <c r="Q7" s="3492"/>
      <c r="R7" s="664" t="s">
        <v>14</v>
      </c>
      <c r="S7" s="665">
        <f t="shared" ref="S7:S14" si="0">F7</f>
        <v>0</v>
      </c>
      <c r="T7" s="664" t="s">
        <v>14</v>
      </c>
      <c r="U7" s="665">
        <f t="shared" ref="U7:U14" si="1">H7</f>
        <v>0</v>
      </c>
      <c r="V7" s="664" t="s">
        <v>14</v>
      </c>
      <c r="W7" s="665">
        <f t="shared" ref="W7:W14" si="2">J7</f>
        <v>0</v>
      </c>
      <c r="X7" s="666"/>
      <c r="Y7" s="3463" t="s">
        <v>1680</v>
      </c>
      <c r="Z7" s="346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63" t="s">
        <v>1683</v>
      </c>
      <c r="Q8" s="3464"/>
      <c r="R8" s="664" t="s">
        <v>14</v>
      </c>
      <c r="S8" s="665">
        <f t="shared" si="0"/>
        <v>100</v>
      </c>
      <c r="T8" s="664" t="s">
        <v>14</v>
      </c>
      <c r="U8" s="665">
        <f t="shared" si="1"/>
        <v>100</v>
      </c>
      <c r="V8" s="664" t="s">
        <v>14</v>
      </c>
      <c r="W8" s="665">
        <f t="shared" si="2"/>
        <v>100</v>
      </c>
      <c r="X8" s="666"/>
      <c r="Y8" s="3463" t="s">
        <v>1683</v>
      </c>
      <c r="Z8" s="346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96" t="s">
        <v>1686</v>
      </c>
      <c r="Q9" s="530" t="str">
        <f t="shared" ref="Q9:Q14" si="6">B9</f>
        <v>用途</v>
      </c>
      <c r="R9" s="664" t="s">
        <v>14</v>
      </c>
      <c r="S9" s="665">
        <f t="shared" si="0"/>
        <v>100</v>
      </c>
      <c r="T9" s="664" t="s">
        <v>14</v>
      </c>
      <c r="U9" s="665">
        <f t="shared" si="1"/>
        <v>100</v>
      </c>
      <c r="V9" s="664" t="s">
        <v>14</v>
      </c>
      <c r="W9" s="665">
        <f t="shared" si="2"/>
        <v>100</v>
      </c>
      <c r="X9" s="666"/>
      <c r="Y9" s="340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96"/>
      <c r="Q10" s="530" t="str">
        <f t="shared" si="6"/>
        <v>土地使用年限（年）</v>
      </c>
      <c r="R10" s="664" t="s">
        <v>14</v>
      </c>
      <c r="S10" s="665">
        <f t="shared" si="0"/>
        <v>100</v>
      </c>
      <c r="T10" s="664" t="s">
        <v>14</v>
      </c>
      <c r="U10" s="665">
        <f t="shared" si="1"/>
        <v>100</v>
      </c>
      <c r="V10" s="664" t="s">
        <v>14</v>
      </c>
      <c r="W10" s="665">
        <f t="shared" si="2"/>
        <v>100</v>
      </c>
      <c r="X10" s="666"/>
      <c r="Y10" s="340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96"/>
      <c r="Q11" s="530">
        <f t="shared" si="6"/>
        <v>111</v>
      </c>
      <c r="R11" s="664" t="s">
        <v>14</v>
      </c>
      <c r="S11" s="665">
        <f t="shared" si="0"/>
        <v>100</v>
      </c>
      <c r="T11" s="664" t="s">
        <v>14</v>
      </c>
      <c r="U11" s="665">
        <f t="shared" si="1"/>
        <v>100</v>
      </c>
      <c r="V11" s="664" t="s">
        <v>14</v>
      </c>
      <c r="W11" s="665">
        <f t="shared" si="2"/>
        <v>100</v>
      </c>
      <c r="X11" s="666"/>
      <c r="Y11" s="340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96"/>
      <c r="Q12" s="530">
        <f t="shared" si="6"/>
        <v>111</v>
      </c>
      <c r="R12" s="664" t="s">
        <v>14</v>
      </c>
      <c r="S12" s="665">
        <f t="shared" si="0"/>
        <v>100</v>
      </c>
      <c r="T12" s="664" t="s">
        <v>14</v>
      </c>
      <c r="U12" s="665">
        <f t="shared" si="1"/>
        <v>100</v>
      </c>
      <c r="V12" s="664" t="s">
        <v>14</v>
      </c>
      <c r="W12" s="665">
        <f t="shared" si="2"/>
        <v>100</v>
      </c>
      <c r="X12" s="666"/>
      <c r="Y12" s="340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96"/>
      <c r="Q13" s="530">
        <f t="shared" si="6"/>
        <v>111</v>
      </c>
      <c r="R13" s="664" t="s">
        <v>14</v>
      </c>
      <c r="S13" s="665">
        <f t="shared" si="0"/>
        <v>100</v>
      </c>
      <c r="T13" s="664" t="s">
        <v>14</v>
      </c>
      <c r="U13" s="665">
        <f t="shared" si="1"/>
        <v>100</v>
      </c>
      <c r="V13" s="664" t="s">
        <v>14</v>
      </c>
      <c r="W13" s="665">
        <f t="shared" si="2"/>
        <v>100</v>
      </c>
      <c r="X13" s="666"/>
      <c r="Y13" s="3407"/>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97" t="s">
        <v>1691</v>
      </c>
      <c r="Q14" s="1262" t="str">
        <f t="shared" si="6"/>
        <v>交通便捷度</v>
      </c>
      <c r="R14" s="667" t="s">
        <v>14</v>
      </c>
      <c r="S14" s="668">
        <f t="shared" si="0"/>
        <v>100</v>
      </c>
      <c r="T14" s="667" t="s">
        <v>14</v>
      </c>
      <c r="U14" s="668">
        <f t="shared" si="1"/>
        <v>100</v>
      </c>
      <c r="V14" s="667" t="s">
        <v>14</v>
      </c>
      <c r="W14" s="668">
        <f t="shared" si="2"/>
        <v>100</v>
      </c>
      <c r="X14" s="1264"/>
      <c r="Y14" s="349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98"/>
      <c r="Q15" s="1262"/>
      <c r="R15" s="667"/>
      <c r="S15" s="668"/>
      <c r="T15" s="667"/>
      <c r="U15" s="668"/>
      <c r="V15" s="667"/>
      <c r="W15" s="668"/>
      <c r="X15" s="1264"/>
      <c r="Y15" s="3498"/>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98"/>
      <c r="Q16" s="1262" t="str">
        <f>B16</f>
        <v>公共配套设施</v>
      </c>
      <c r="R16" s="667" t="s">
        <v>14</v>
      </c>
      <c r="S16" s="668">
        <f>F16</f>
        <v>100</v>
      </c>
      <c r="T16" s="667" t="s">
        <v>14</v>
      </c>
      <c r="U16" s="668">
        <f>H16</f>
        <v>100</v>
      </c>
      <c r="V16" s="667" t="s">
        <v>14</v>
      </c>
      <c r="W16" s="668">
        <f>J16</f>
        <v>100</v>
      </c>
      <c r="X16" s="1264"/>
      <c r="Y16" s="3498"/>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98"/>
      <c r="Q17" s="1262"/>
      <c r="R17" s="667"/>
      <c r="S17" s="668"/>
      <c r="T17" s="667"/>
      <c r="U17" s="668"/>
      <c r="V17" s="667"/>
      <c r="W17" s="668"/>
      <c r="X17" s="1264"/>
      <c r="Y17" s="3498"/>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98"/>
      <c r="Q18" s="1262" t="str">
        <f>B18</f>
        <v>基础设施水平</v>
      </c>
      <c r="R18" s="667" t="s">
        <v>14</v>
      </c>
      <c r="S18" s="668">
        <f>F18</f>
        <v>100</v>
      </c>
      <c r="T18" s="667" t="s">
        <v>14</v>
      </c>
      <c r="U18" s="668">
        <f>H18</f>
        <v>100</v>
      </c>
      <c r="V18" s="667" t="s">
        <v>14</v>
      </c>
      <c r="W18" s="668">
        <f>J18</f>
        <v>100</v>
      </c>
      <c r="X18" s="1264"/>
      <c r="Y18" s="3498"/>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498"/>
      <c r="Q19" s="1262"/>
      <c r="R19" s="667"/>
      <c r="S19" s="668"/>
      <c r="T19" s="667"/>
      <c r="U19" s="668"/>
      <c r="V19" s="667"/>
      <c r="W19" s="668"/>
      <c r="X19" s="1264"/>
      <c r="Y19" s="3498"/>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98"/>
      <c r="Q20" s="1262" t="str">
        <f>B20</f>
        <v>自然及人文环境</v>
      </c>
      <c r="R20" s="667" t="s">
        <v>14</v>
      </c>
      <c r="S20" s="668">
        <f>F20</f>
        <v>100</v>
      </c>
      <c r="T20" s="667" t="s">
        <v>14</v>
      </c>
      <c r="U20" s="668">
        <f>H20</f>
        <v>100</v>
      </c>
      <c r="V20" s="667" t="s">
        <v>14</v>
      </c>
      <c r="W20" s="668">
        <f>J20</f>
        <v>100</v>
      </c>
      <c r="X20" s="1264"/>
      <c r="Y20" s="349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98"/>
      <c r="Q21" s="1262"/>
      <c r="R21" s="667"/>
      <c r="S21" s="668"/>
      <c r="T21" s="667"/>
      <c r="U21" s="668"/>
      <c r="V21" s="667"/>
      <c r="W21" s="668"/>
      <c r="X21" s="1264"/>
      <c r="Y21" s="3498"/>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98"/>
      <c r="Q22" s="1262" t="str">
        <f>B22</f>
        <v>楼层</v>
      </c>
      <c r="R22" s="667" t="s">
        <v>14</v>
      </c>
      <c r="S22" s="668">
        <f>F22</f>
        <v>100</v>
      </c>
      <c r="T22" s="667" t="s">
        <v>14</v>
      </c>
      <c r="U22" s="668">
        <f>H22</f>
        <v>100</v>
      </c>
      <c r="V22" s="667" t="s">
        <v>14</v>
      </c>
      <c r="W22" s="668">
        <f>J22</f>
        <v>100</v>
      </c>
      <c r="X22" s="1264"/>
      <c r="Y22" s="349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98"/>
      <c r="Q23" s="1262">
        <f>B23</f>
        <v>111</v>
      </c>
      <c r="R23" s="667" t="s">
        <v>14</v>
      </c>
      <c r="S23" s="668">
        <f>F23</f>
        <v>100</v>
      </c>
      <c r="T23" s="667" t="s">
        <v>14</v>
      </c>
      <c r="U23" s="668">
        <f>H23</f>
        <v>100</v>
      </c>
      <c r="V23" s="667" t="s">
        <v>14</v>
      </c>
      <c r="W23" s="668">
        <f>J23</f>
        <v>100</v>
      </c>
      <c r="X23" s="1264"/>
      <c r="Y23" s="349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98"/>
      <c r="Q24" s="1262">
        <f t="shared" ref="Q24:Q34" si="11">B24</f>
        <v>111</v>
      </c>
      <c r="R24" s="667" t="s">
        <v>14</v>
      </c>
      <c r="S24" s="668">
        <f>F24</f>
        <v>100</v>
      </c>
      <c r="T24" s="667" t="s">
        <v>14</v>
      </c>
      <c r="U24" s="668">
        <f>H24</f>
        <v>100</v>
      </c>
      <c r="V24" s="667" t="s">
        <v>14</v>
      </c>
      <c r="W24" s="668">
        <f>J24</f>
        <v>100</v>
      </c>
      <c r="X24" s="1264"/>
      <c r="Y24" s="3498"/>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98"/>
      <c r="Q25" s="530">
        <f t="shared" si="11"/>
        <v>111</v>
      </c>
      <c r="R25" s="664" t="s">
        <v>14</v>
      </c>
      <c r="S25" s="665">
        <f>F25</f>
        <v>100</v>
      </c>
      <c r="T25" s="664" t="s">
        <v>14</v>
      </c>
      <c r="U25" s="665">
        <f>H25</f>
        <v>100</v>
      </c>
      <c r="V25" s="664" t="s">
        <v>14</v>
      </c>
      <c r="W25" s="665">
        <f>J25</f>
        <v>100</v>
      </c>
      <c r="X25" s="666"/>
      <c r="Y25" s="3498"/>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52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502"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502"/>
      <c r="Q27" s="531" t="str">
        <f t="shared" si="11"/>
        <v>成新率</v>
      </c>
      <c r="R27" s="669" t="s">
        <v>14</v>
      </c>
      <c r="S27" s="670" t="e">
        <f t="shared" si="12"/>
        <v>#N/A</v>
      </c>
      <c r="T27" s="669" t="s">
        <v>14</v>
      </c>
      <c r="U27" s="670" t="e">
        <f t="shared" si="13"/>
        <v>#N/A</v>
      </c>
      <c r="V27" s="669" t="s">
        <v>14</v>
      </c>
      <c r="W27" s="670" t="e">
        <f t="shared" si="14"/>
        <v>#N/A</v>
      </c>
      <c r="X27" s="671"/>
      <c r="Y27" s="3502"/>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502"/>
      <c r="Q28" s="1262" t="str">
        <f t="shared" si="11"/>
        <v>物业等级</v>
      </c>
      <c r="R28" s="667" t="s">
        <v>14</v>
      </c>
      <c r="S28" s="668">
        <f t="shared" si="12"/>
        <v>100</v>
      </c>
      <c r="T28" s="667" t="s">
        <v>14</v>
      </c>
      <c r="U28" s="668">
        <f t="shared" si="13"/>
        <v>100</v>
      </c>
      <c r="V28" s="667" t="s">
        <v>14</v>
      </c>
      <c r="W28" s="668">
        <f t="shared" si="14"/>
        <v>100</v>
      </c>
      <c r="X28" s="1264"/>
      <c r="Y28" s="3502"/>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502"/>
      <c r="Q29" s="1262" t="str">
        <f t="shared" si="11"/>
        <v>有无电梯</v>
      </c>
      <c r="R29" s="667" t="s">
        <v>14</v>
      </c>
      <c r="S29" s="668">
        <f t="shared" si="12"/>
        <v>100</v>
      </c>
      <c r="T29" s="667" t="s">
        <v>14</v>
      </c>
      <c r="U29" s="668">
        <f t="shared" si="13"/>
        <v>100</v>
      </c>
      <c r="V29" s="667" t="s">
        <v>14</v>
      </c>
      <c r="W29" s="668">
        <f t="shared" si="14"/>
        <v>100</v>
      </c>
      <c r="X29" s="1264"/>
      <c r="Y29" s="3502"/>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502"/>
      <c r="Q30" s="1262" t="str">
        <f t="shared" si="11"/>
        <v>建筑面积</v>
      </c>
      <c r="R30" s="667" t="s">
        <v>14</v>
      </c>
      <c r="S30" s="668" t="e">
        <f t="shared" si="12"/>
        <v>#N/A</v>
      </c>
      <c r="T30" s="667" t="s">
        <v>14</v>
      </c>
      <c r="U30" s="668" t="e">
        <f t="shared" si="13"/>
        <v>#N/A</v>
      </c>
      <c r="V30" s="667" t="s">
        <v>14</v>
      </c>
      <c r="W30" s="668" t="e">
        <f t="shared" si="14"/>
        <v>#N/A</v>
      </c>
      <c r="X30" s="1264"/>
      <c r="Y30" s="3502"/>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502"/>
      <c r="Q31" s="530" t="str">
        <f t="shared" si="11"/>
        <v>是否封闭</v>
      </c>
      <c r="R31" s="664" t="s">
        <v>14</v>
      </c>
      <c r="S31" s="665">
        <f t="shared" si="12"/>
        <v>100</v>
      </c>
      <c r="T31" s="664" t="s">
        <v>14</v>
      </c>
      <c r="U31" s="665">
        <f t="shared" si="13"/>
        <v>100</v>
      </c>
      <c r="V31" s="664" t="s">
        <v>14</v>
      </c>
      <c r="W31" s="665">
        <f t="shared" si="14"/>
        <v>100</v>
      </c>
      <c r="X31" s="666"/>
      <c r="Y31" s="35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502" t="s">
        <v>1696</v>
      </c>
      <c r="Q32" s="1262">
        <f t="shared" si="11"/>
        <v>111</v>
      </c>
      <c r="R32" s="667" t="s">
        <v>14</v>
      </c>
      <c r="S32" s="668">
        <f t="shared" si="12"/>
        <v>100</v>
      </c>
      <c r="T32" s="667" t="s">
        <v>14</v>
      </c>
      <c r="U32" s="668">
        <f t="shared" si="13"/>
        <v>100</v>
      </c>
      <c r="V32" s="667" t="s">
        <v>14</v>
      </c>
      <c r="W32" s="668">
        <f t="shared" si="14"/>
        <v>100</v>
      </c>
      <c r="X32" s="1264"/>
      <c r="Y32" s="3502"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502"/>
      <c r="Q33" s="1262">
        <f t="shared" si="11"/>
        <v>111</v>
      </c>
      <c r="R33" s="667" t="s">
        <v>14</v>
      </c>
      <c r="S33" s="668">
        <f t="shared" si="12"/>
        <v>100</v>
      </c>
      <c r="T33" s="667" t="s">
        <v>14</v>
      </c>
      <c r="U33" s="668">
        <f t="shared" si="13"/>
        <v>100</v>
      </c>
      <c r="V33" s="667" t="s">
        <v>14</v>
      </c>
      <c r="W33" s="668">
        <f t="shared" si="14"/>
        <v>100</v>
      </c>
      <c r="X33" s="1264"/>
      <c r="Y33" s="3502"/>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502"/>
      <c r="Q34" s="1262">
        <f t="shared" si="11"/>
        <v>111</v>
      </c>
      <c r="R34" s="667" t="s">
        <v>14</v>
      </c>
      <c r="S34" s="668">
        <f t="shared" si="12"/>
        <v>100</v>
      </c>
      <c r="T34" s="667" t="s">
        <v>14</v>
      </c>
      <c r="U34" s="668">
        <f t="shared" si="13"/>
        <v>100</v>
      </c>
      <c r="V34" s="667" t="s">
        <v>14</v>
      </c>
      <c r="W34" s="668">
        <f t="shared" si="14"/>
        <v>100</v>
      </c>
      <c r="X34" s="1264"/>
      <c r="Y34" s="3502"/>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496" t="str">
        <f>A35</f>
        <v>成交单价（元/平方米）</v>
      </c>
      <c r="Q35" s="3496"/>
      <c r="R35" s="3490">
        <f>E35</f>
        <v>0</v>
      </c>
      <c r="S35" s="3490"/>
      <c r="T35" s="3490">
        <f>G35</f>
        <v>0</v>
      </c>
      <c r="U35" s="3490"/>
      <c r="V35" s="3490">
        <f>I35</f>
        <v>0</v>
      </c>
      <c r="W35" s="3490"/>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96" t="str">
        <f>A36</f>
        <v>比较价值（元/平方米）</v>
      </c>
      <c r="Q36" s="3496"/>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93" t="str">
        <f>A37</f>
        <v>估价对象XX用房的比较价值（楼面单价，元/平方米）</v>
      </c>
      <c r="Q37" s="3494"/>
      <c r="R37" s="3523" t="e">
        <f>IF(F1="售价",ROUND(IF(D36="简单平均",AVERAGE(R36:W36),R36*F36+T36*H36+V36*J36),0),ROUND(IF(D36="简单平均",AVERAGE(R36:V36),R36*F36+T36*H36+V36*J36),1))</f>
        <v>#DIV/0!</v>
      </c>
      <c r="S37" s="3523"/>
      <c r="T37" s="3523"/>
      <c r="U37" s="3523"/>
      <c r="V37" s="3523"/>
      <c r="W37" s="352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2014-4</v>
      </c>
      <c r="D46" s="1103">
        <f>EDATE(C46,-1)</f>
        <v>41699</v>
      </c>
      <c r="E46" s="1103">
        <f t="shared" ref="E46:O46" si="16">EDATE(D46,-1)</f>
        <v>41671</v>
      </c>
      <c r="F46" s="1103">
        <f t="shared" si="16"/>
        <v>41640</v>
      </c>
      <c r="G46" s="1103">
        <f t="shared" si="16"/>
        <v>41609</v>
      </c>
      <c r="H46" s="1103">
        <f t="shared" si="16"/>
        <v>41579</v>
      </c>
      <c r="I46" s="1103">
        <f t="shared" si="16"/>
        <v>41548</v>
      </c>
      <c r="J46" s="1103">
        <f t="shared" si="16"/>
        <v>41518</v>
      </c>
      <c r="K46" s="1103">
        <f t="shared" si="16"/>
        <v>41487</v>
      </c>
      <c r="L46" s="1103">
        <f t="shared" si="16"/>
        <v>41456</v>
      </c>
      <c r="M46" s="1103">
        <f t="shared" si="16"/>
        <v>41426</v>
      </c>
      <c r="N46" s="1103">
        <f t="shared" si="16"/>
        <v>41395</v>
      </c>
      <c r="O46" s="1103">
        <f t="shared" si="16"/>
        <v>41365</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482" t="s">
        <v>1775</v>
      </c>
      <c r="Q4" s="3483"/>
      <c r="R4" s="3465" t="s">
        <v>1771</v>
      </c>
      <c r="S4" s="3466"/>
      <c r="T4" s="3465" t="s">
        <v>1772</v>
      </c>
      <c r="U4" s="3466"/>
      <c r="V4" s="3490" t="s">
        <v>1773</v>
      </c>
      <c r="W4" s="3490"/>
      <c r="X4" s="1264"/>
      <c r="Y4" s="3465" t="s">
        <v>1775</v>
      </c>
      <c r="Z4" s="3466"/>
      <c r="AA4" s="3460" t="s">
        <v>1771</v>
      </c>
      <c r="AB4" s="3461" t="s">
        <v>1772</v>
      </c>
      <c r="AC4" s="3460" t="s">
        <v>1773</v>
      </c>
    </row>
    <row r="5" spans="1:29" ht="15">
      <c r="A5" s="348"/>
      <c r="B5" s="349"/>
      <c r="C5" s="3471" t="s">
        <v>1673</v>
      </c>
      <c r="D5" s="3472"/>
      <c r="E5" s="3506" t="s">
        <v>1674</v>
      </c>
      <c r="F5" s="3470"/>
      <c r="G5" s="3471" t="s">
        <v>1675</v>
      </c>
      <c r="H5" s="3472"/>
      <c r="I5" s="3471" t="s">
        <v>1676</v>
      </c>
      <c r="J5" s="3472"/>
      <c r="K5" s="537"/>
      <c r="L5" s="2484"/>
      <c r="M5" s="2485"/>
      <c r="N5" s="2485"/>
      <c r="O5" s="2485"/>
      <c r="P5" s="3484"/>
      <c r="Q5" s="3485"/>
      <c r="R5" s="3467"/>
      <c r="S5" s="3468"/>
      <c r="T5" s="3467"/>
      <c r="U5" s="3468"/>
      <c r="V5" s="3490"/>
      <c r="W5" s="3490"/>
      <c r="X5" s="1264"/>
      <c r="Y5" s="3467"/>
      <c r="Z5" s="3468"/>
      <c r="AA5" s="3461"/>
      <c r="AB5" s="3461"/>
      <c r="AC5" s="3461"/>
    </row>
    <row r="6" spans="1:29" ht="15.75" thickBot="1">
      <c r="A6" s="350"/>
      <c r="B6" s="351"/>
      <c r="C6" s="3473" t="s">
        <v>1677</v>
      </c>
      <c r="D6" s="3474"/>
      <c r="E6" s="3475" t="s">
        <v>1677</v>
      </c>
      <c r="F6" s="3476"/>
      <c r="G6" s="3473" t="s">
        <v>1677</v>
      </c>
      <c r="H6" s="3474"/>
      <c r="I6" s="3473" t="s">
        <v>1677</v>
      </c>
      <c r="J6" s="3474"/>
      <c r="K6" s="537" t="s">
        <v>1678</v>
      </c>
      <c r="L6" s="2484"/>
      <c r="M6" s="2485"/>
      <c r="N6" s="2485"/>
      <c r="O6" s="2485"/>
      <c r="P6" s="3486"/>
      <c r="Q6" s="3487"/>
      <c r="R6" s="3467"/>
      <c r="S6" s="3468"/>
      <c r="T6" s="3488"/>
      <c r="U6" s="3489"/>
      <c r="V6" s="3490"/>
      <c r="W6" s="3490"/>
      <c r="X6" s="1264"/>
      <c r="Y6" s="3488"/>
      <c r="Z6" s="3489"/>
      <c r="AA6" s="3462"/>
      <c r="AB6" s="3462"/>
      <c r="AC6" s="3462"/>
    </row>
    <row r="7" spans="1:29" s="102" customFormat="1" ht="15.75" thickBot="1">
      <c r="A7" s="352" t="s">
        <v>1679</v>
      </c>
      <c r="B7" s="353"/>
      <c r="C7" s="354">
        <f>'数据-取费表'!B2</f>
        <v>41743</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63" t="s">
        <v>1680</v>
      </c>
      <c r="Q7" s="3492"/>
      <c r="R7" s="664" t="s">
        <v>14</v>
      </c>
      <c r="S7" s="665">
        <f t="shared" ref="S7:S15" si="0">F7</f>
        <v>0</v>
      </c>
      <c r="T7" s="664" t="s">
        <v>14</v>
      </c>
      <c r="U7" s="665">
        <f t="shared" ref="U7:U15" si="1">H7</f>
        <v>0</v>
      </c>
      <c r="V7" s="664" t="s">
        <v>14</v>
      </c>
      <c r="W7" s="665">
        <f t="shared" ref="W7:W15" si="2">J7</f>
        <v>0</v>
      </c>
      <c r="X7" s="666"/>
      <c r="Y7" s="3463" t="s">
        <v>1680</v>
      </c>
      <c r="Z7" s="346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63" t="s">
        <v>1683</v>
      </c>
      <c r="Q8" s="3464"/>
      <c r="R8" s="664" t="s">
        <v>14</v>
      </c>
      <c r="S8" s="665">
        <f t="shared" si="0"/>
        <v>0</v>
      </c>
      <c r="T8" s="664" t="s">
        <v>14</v>
      </c>
      <c r="U8" s="665">
        <f t="shared" si="1"/>
        <v>0</v>
      </c>
      <c r="V8" s="664" t="s">
        <v>14</v>
      </c>
      <c r="W8" s="665">
        <f t="shared" si="2"/>
        <v>0</v>
      </c>
      <c r="X8" s="666"/>
      <c r="Y8" s="3463" t="s">
        <v>1683</v>
      </c>
      <c r="Z8" s="3464"/>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96" t="s">
        <v>1686</v>
      </c>
      <c r="Q9" s="530" t="str">
        <f t="shared" ref="Q9:Q15" si="6">B9</f>
        <v>用途</v>
      </c>
      <c r="R9" s="664" t="s">
        <v>14</v>
      </c>
      <c r="S9" s="665">
        <f t="shared" si="0"/>
        <v>100</v>
      </c>
      <c r="T9" s="664" t="s">
        <v>14</v>
      </c>
      <c r="U9" s="665">
        <f t="shared" si="1"/>
        <v>100</v>
      </c>
      <c r="V9" s="664" t="s">
        <v>14</v>
      </c>
      <c r="W9" s="665">
        <f t="shared" si="2"/>
        <v>100</v>
      </c>
      <c r="X9" s="666"/>
      <c r="Y9" s="340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96"/>
      <c r="Q10" s="530" t="str">
        <f t="shared" si="6"/>
        <v>土地使用年限（年）</v>
      </c>
      <c r="R10" s="664" t="s">
        <v>14</v>
      </c>
      <c r="S10" s="665" t="e">
        <f t="shared" si="0"/>
        <v>#DIV/0!</v>
      </c>
      <c r="T10" s="664" t="s">
        <v>14</v>
      </c>
      <c r="U10" s="665" t="e">
        <f t="shared" si="1"/>
        <v>#DIV/0!</v>
      </c>
      <c r="V10" s="664" t="s">
        <v>14</v>
      </c>
      <c r="W10" s="665" t="e">
        <f t="shared" si="2"/>
        <v>#DIV/0!</v>
      </c>
      <c r="X10" s="666"/>
      <c r="Y10" s="340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96"/>
      <c r="Q11" s="530" t="str">
        <f t="shared" si="6"/>
        <v>容积率</v>
      </c>
      <c r="R11" s="664" t="s">
        <v>14</v>
      </c>
      <c r="S11" s="665" t="e">
        <f t="shared" si="0"/>
        <v>#N/A</v>
      </c>
      <c r="T11" s="664" t="s">
        <v>14</v>
      </c>
      <c r="U11" s="665" t="e">
        <f t="shared" si="1"/>
        <v>#N/A</v>
      </c>
      <c r="V11" s="664" t="s">
        <v>14</v>
      </c>
      <c r="W11" s="665" t="e">
        <f t="shared" si="2"/>
        <v>#N/A</v>
      </c>
      <c r="X11" s="666"/>
      <c r="Y11" s="340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96"/>
      <c r="Q12" s="530" t="str">
        <f t="shared" si="6"/>
        <v>配建</v>
      </c>
      <c r="R12" s="664" t="s">
        <v>14</v>
      </c>
      <c r="S12" s="665">
        <f t="shared" si="0"/>
        <v>100</v>
      </c>
      <c r="T12" s="664" t="s">
        <v>14</v>
      </c>
      <c r="U12" s="665">
        <f t="shared" si="1"/>
        <v>100</v>
      </c>
      <c r="V12" s="664" t="s">
        <v>14</v>
      </c>
      <c r="W12" s="665">
        <f t="shared" si="2"/>
        <v>100</v>
      </c>
      <c r="X12" s="666"/>
      <c r="Y12" s="340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96"/>
      <c r="Q13" s="530">
        <f t="shared" si="6"/>
        <v>111</v>
      </c>
      <c r="R13" s="664" t="s">
        <v>14</v>
      </c>
      <c r="S13" s="665">
        <f t="shared" si="0"/>
        <v>100</v>
      </c>
      <c r="T13" s="664" t="s">
        <v>14</v>
      </c>
      <c r="U13" s="665">
        <f t="shared" si="1"/>
        <v>100</v>
      </c>
      <c r="V13" s="664" t="s">
        <v>14</v>
      </c>
      <c r="W13" s="665">
        <f t="shared" si="2"/>
        <v>100</v>
      </c>
      <c r="X13" s="666"/>
      <c r="Y13" s="340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96"/>
      <c r="Q14" s="530">
        <f t="shared" si="6"/>
        <v>111</v>
      </c>
      <c r="R14" s="664" t="s">
        <v>14</v>
      </c>
      <c r="S14" s="665">
        <f t="shared" si="0"/>
        <v>100</v>
      </c>
      <c r="T14" s="664" t="s">
        <v>14</v>
      </c>
      <c r="U14" s="665">
        <f t="shared" si="1"/>
        <v>100</v>
      </c>
      <c r="V14" s="664" t="s">
        <v>14</v>
      </c>
      <c r="W14" s="665">
        <f t="shared" si="2"/>
        <v>100</v>
      </c>
      <c r="X14" s="666"/>
      <c r="Y14" s="3407"/>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97" t="s">
        <v>1691</v>
      </c>
      <c r="Q15" s="1262" t="str">
        <f t="shared" si="6"/>
        <v>居住社区成熟度</v>
      </c>
      <c r="R15" s="667" t="s">
        <v>14</v>
      </c>
      <c r="S15" s="668">
        <f t="shared" si="0"/>
        <v>100</v>
      </c>
      <c r="T15" s="667" t="s">
        <v>14</v>
      </c>
      <c r="U15" s="668">
        <f t="shared" si="1"/>
        <v>100</v>
      </c>
      <c r="V15" s="667" t="s">
        <v>14</v>
      </c>
      <c r="W15" s="668">
        <f t="shared" si="2"/>
        <v>100</v>
      </c>
      <c r="X15" s="1264"/>
      <c r="Y15" s="3497"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98"/>
      <c r="Q16" s="1262"/>
      <c r="R16" s="667"/>
      <c r="S16" s="668"/>
      <c r="T16" s="667"/>
      <c r="U16" s="668"/>
      <c r="V16" s="667"/>
      <c r="W16" s="668"/>
      <c r="X16" s="1264"/>
      <c r="Y16" s="3498"/>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98"/>
      <c r="Q17" s="1262" t="str">
        <f>B17</f>
        <v>商业繁华度</v>
      </c>
      <c r="R17" s="667" t="s">
        <v>14</v>
      </c>
      <c r="S17" s="668">
        <f>F17</f>
        <v>100</v>
      </c>
      <c r="T17" s="667" t="s">
        <v>14</v>
      </c>
      <c r="U17" s="668">
        <f>H17</f>
        <v>100</v>
      </c>
      <c r="V17" s="667" t="s">
        <v>14</v>
      </c>
      <c r="W17" s="668">
        <f>J17</f>
        <v>100</v>
      </c>
      <c r="X17" s="1264"/>
      <c r="Y17" s="3498"/>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98"/>
      <c r="Q18" s="1262"/>
      <c r="R18" s="667"/>
      <c r="S18" s="668"/>
      <c r="T18" s="667"/>
      <c r="U18" s="668"/>
      <c r="V18" s="667"/>
      <c r="W18" s="668"/>
      <c r="X18" s="1264"/>
      <c r="Y18" s="3498"/>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98"/>
      <c r="Q19" s="1262" t="str">
        <f>B19</f>
        <v>办公集聚程度</v>
      </c>
      <c r="R19" s="667" t="s">
        <v>14</v>
      </c>
      <c r="S19" s="668">
        <f>F19</f>
        <v>100</v>
      </c>
      <c r="T19" s="667" t="s">
        <v>14</v>
      </c>
      <c r="U19" s="668">
        <f>H19</f>
        <v>100</v>
      </c>
      <c r="V19" s="667" t="s">
        <v>14</v>
      </c>
      <c r="W19" s="668">
        <f>J19</f>
        <v>100</v>
      </c>
      <c r="X19" s="1264"/>
      <c r="Y19" s="3498"/>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98"/>
      <c r="Q20" s="1262"/>
      <c r="R20" s="667"/>
      <c r="S20" s="668"/>
      <c r="T20" s="667"/>
      <c r="U20" s="668"/>
      <c r="V20" s="667"/>
      <c r="W20" s="668"/>
      <c r="X20" s="1264"/>
      <c r="Y20" s="3498"/>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98"/>
      <c r="Q21" s="1262" t="str">
        <f>B21</f>
        <v>交通便捷度</v>
      </c>
      <c r="R21" s="667" t="s">
        <v>14</v>
      </c>
      <c r="S21" s="668">
        <f>F21</f>
        <v>100</v>
      </c>
      <c r="T21" s="667" t="s">
        <v>14</v>
      </c>
      <c r="U21" s="668">
        <f>H21</f>
        <v>100</v>
      </c>
      <c r="V21" s="667" t="s">
        <v>14</v>
      </c>
      <c r="W21" s="668">
        <f>J21</f>
        <v>100</v>
      </c>
      <c r="X21" s="1264"/>
      <c r="Y21" s="3498"/>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98"/>
      <c r="Q22" s="1262"/>
      <c r="R22" s="667"/>
      <c r="S22" s="668"/>
      <c r="T22" s="667"/>
      <c r="U22" s="668"/>
      <c r="V22" s="667"/>
      <c r="W22" s="668"/>
      <c r="X22" s="1264"/>
      <c r="Y22" s="3498"/>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98"/>
      <c r="Q23" s="1262" t="str">
        <f t="shared" ref="Q23:Q37" si="8">B23</f>
        <v>区域土地利用方向</v>
      </c>
      <c r="R23" s="667" t="s">
        <v>14</v>
      </c>
      <c r="S23" s="668">
        <f>F23</f>
        <v>100</v>
      </c>
      <c r="T23" s="667" t="s">
        <v>14</v>
      </c>
      <c r="U23" s="668">
        <f>H23</f>
        <v>100</v>
      </c>
      <c r="V23" s="667" t="s">
        <v>14</v>
      </c>
      <c r="W23" s="668">
        <f>J23</f>
        <v>100</v>
      </c>
      <c r="X23" s="1264"/>
      <c r="Y23" s="3498"/>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98"/>
      <c r="Q24" s="1262"/>
      <c r="R24" s="667"/>
      <c r="S24" s="668"/>
      <c r="T24" s="667"/>
      <c r="U24" s="668"/>
      <c r="V24" s="667"/>
      <c r="W24" s="668"/>
      <c r="X24" s="1264"/>
      <c r="Y24" s="3498"/>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98"/>
      <c r="Q25" s="1262" t="str">
        <f t="shared" si="8"/>
        <v>自然及人文环境状况</v>
      </c>
      <c r="R25" s="667" t="s">
        <v>14</v>
      </c>
      <c r="S25" s="668">
        <f>F25</f>
        <v>100</v>
      </c>
      <c r="T25" s="667" t="s">
        <v>14</v>
      </c>
      <c r="U25" s="668">
        <f>H25</f>
        <v>100</v>
      </c>
      <c r="V25" s="667" t="s">
        <v>14</v>
      </c>
      <c r="W25" s="668">
        <f>J25</f>
        <v>100</v>
      </c>
      <c r="X25" s="1264"/>
      <c r="Y25" s="3498"/>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98"/>
      <c r="Q26" s="1262"/>
      <c r="R26" s="667"/>
      <c r="S26" s="668"/>
      <c r="T26" s="667"/>
      <c r="U26" s="668"/>
      <c r="V26" s="667"/>
      <c r="W26" s="668"/>
      <c r="X26" s="1264"/>
      <c r="Y26" s="3498"/>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98"/>
      <c r="Q27" s="530" t="str">
        <f t="shared" si="8"/>
        <v>公共配套设施</v>
      </c>
      <c r="R27" s="664" t="s">
        <v>14</v>
      </c>
      <c r="S27" s="665">
        <f>F27</f>
        <v>100</v>
      </c>
      <c r="T27" s="664" t="s">
        <v>14</v>
      </c>
      <c r="U27" s="665">
        <f>H27</f>
        <v>100</v>
      </c>
      <c r="V27" s="664" t="s">
        <v>14</v>
      </c>
      <c r="W27" s="665">
        <f>J27</f>
        <v>100</v>
      </c>
      <c r="X27" s="666"/>
      <c r="Y27" s="3498"/>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498"/>
      <c r="Q28" s="530"/>
      <c r="R28" s="664"/>
      <c r="S28" s="665"/>
      <c r="T28" s="664"/>
      <c r="U28" s="665"/>
      <c r="V28" s="664"/>
      <c r="W28" s="665"/>
      <c r="X28" s="666"/>
      <c r="Y28" s="3498"/>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98"/>
      <c r="Q29" s="530" t="str">
        <f t="shared" ref="Q29" si="9">B29</f>
        <v>基础设施水平</v>
      </c>
      <c r="R29" s="664" t="s">
        <v>14</v>
      </c>
      <c r="S29" s="665">
        <f>F29</f>
        <v>100</v>
      </c>
      <c r="T29" s="664" t="s">
        <v>14</v>
      </c>
      <c r="U29" s="665">
        <f>H29</f>
        <v>100</v>
      </c>
      <c r="V29" s="664" t="s">
        <v>14</v>
      </c>
      <c r="W29" s="665">
        <f>J29</f>
        <v>100</v>
      </c>
      <c r="X29" s="666"/>
      <c r="Y29" s="3498"/>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498"/>
      <c r="Q30" s="530"/>
      <c r="R30" s="664"/>
      <c r="S30" s="665"/>
      <c r="T30" s="664"/>
      <c r="U30" s="665"/>
      <c r="V30" s="664"/>
      <c r="W30" s="665"/>
      <c r="X30" s="666"/>
      <c r="Y30" s="3498"/>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98"/>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98"/>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98"/>
      <c r="Q32" s="1262" t="str">
        <f t="shared" si="8"/>
        <v>毗邻道路的类型与等级</v>
      </c>
      <c r="R32" s="667" t="s">
        <v>14</v>
      </c>
      <c r="S32" s="668">
        <f t="shared" si="10"/>
        <v>100</v>
      </c>
      <c r="T32" s="667" t="s">
        <v>14</v>
      </c>
      <c r="U32" s="668">
        <f t="shared" si="11"/>
        <v>100</v>
      </c>
      <c r="V32" s="667" t="s">
        <v>14</v>
      </c>
      <c r="W32" s="668">
        <f t="shared" si="12"/>
        <v>100</v>
      </c>
      <c r="X32" s="1264"/>
      <c r="Y32" s="3498"/>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98"/>
      <c r="Q33" s="1262"/>
      <c r="R33" s="667"/>
      <c r="S33" s="668"/>
      <c r="T33" s="667"/>
      <c r="U33" s="668"/>
      <c r="V33" s="667"/>
      <c r="W33" s="668"/>
      <c r="X33" s="1264"/>
      <c r="Y33" s="3498"/>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98"/>
      <c r="Q34" s="1262" t="str">
        <f t="shared" si="8"/>
        <v>土地级别</v>
      </c>
      <c r="R34" s="667" t="s">
        <v>14</v>
      </c>
      <c r="S34" s="668">
        <f t="shared" si="10"/>
        <v>100</v>
      </c>
      <c r="T34" s="667" t="s">
        <v>14</v>
      </c>
      <c r="U34" s="668">
        <f t="shared" si="11"/>
        <v>100</v>
      </c>
      <c r="V34" s="667" t="s">
        <v>14</v>
      </c>
      <c r="W34" s="668">
        <f t="shared" si="12"/>
        <v>100</v>
      </c>
      <c r="X34" s="1264"/>
      <c r="Y34" s="3498"/>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98"/>
      <c r="Q35" s="1262">
        <f t="shared" si="8"/>
        <v>111</v>
      </c>
      <c r="R35" s="667" t="s">
        <v>14</v>
      </c>
      <c r="S35" s="668">
        <f t="shared" si="10"/>
        <v>100</v>
      </c>
      <c r="T35" s="667" t="s">
        <v>14</v>
      </c>
      <c r="U35" s="668">
        <f t="shared" si="11"/>
        <v>100</v>
      </c>
      <c r="V35" s="667" t="s">
        <v>14</v>
      </c>
      <c r="W35" s="668">
        <f t="shared" si="12"/>
        <v>100</v>
      </c>
      <c r="X35" s="1264"/>
      <c r="Y35" s="3498"/>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522" t="s">
        <v>1696</v>
      </c>
      <c r="Q36" s="1262">
        <f t="shared" si="8"/>
        <v>111</v>
      </c>
      <c r="R36" s="667" t="s">
        <v>14</v>
      </c>
      <c r="S36" s="668">
        <f t="shared" si="10"/>
        <v>100</v>
      </c>
      <c r="T36" s="667" t="s">
        <v>14</v>
      </c>
      <c r="U36" s="668">
        <f t="shared" si="11"/>
        <v>100</v>
      </c>
      <c r="V36" s="667" t="s">
        <v>14</v>
      </c>
      <c r="W36" s="668">
        <f t="shared" si="12"/>
        <v>100</v>
      </c>
      <c r="X36" s="1264"/>
      <c r="Y36" s="3502"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502"/>
      <c r="Q37" s="1262">
        <f t="shared" si="8"/>
        <v>111</v>
      </c>
      <c r="R37" s="669" t="s">
        <v>14</v>
      </c>
      <c r="S37" s="670">
        <f t="shared" si="10"/>
        <v>100</v>
      </c>
      <c r="T37" s="669" t="s">
        <v>14</v>
      </c>
      <c r="U37" s="670">
        <f t="shared" si="11"/>
        <v>100</v>
      </c>
      <c r="V37" s="669" t="s">
        <v>14</v>
      </c>
      <c r="W37" s="670">
        <f t="shared" si="12"/>
        <v>100</v>
      </c>
      <c r="X37" s="671"/>
      <c r="Y37" s="3502"/>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502"/>
      <c r="Q38" s="1262" t="str">
        <f>B38</f>
        <v>宗地面积</v>
      </c>
      <c r="R38" s="667" t="s">
        <v>14</v>
      </c>
      <c r="S38" s="668" t="e">
        <f t="shared" si="10"/>
        <v>#N/A</v>
      </c>
      <c r="T38" s="667" t="s">
        <v>14</v>
      </c>
      <c r="U38" s="668" t="e">
        <f t="shared" si="11"/>
        <v>#N/A</v>
      </c>
      <c r="V38" s="667" t="s">
        <v>14</v>
      </c>
      <c r="W38" s="668" t="e">
        <f t="shared" si="12"/>
        <v>#N/A</v>
      </c>
      <c r="X38" s="1264"/>
      <c r="Y38" s="3502"/>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502"/>
      <c r="Q39" s="1262" t="str">
        <f t="shared" ref="Q39:Q45" si="14">B39</f>
        <v>宗地形状</v>
      </c>
      <c r="R39" s="667" t="s">
        <v>14</v>
      </c>
      <c r="S39" s="668">
        <f t="shared" si="10"/>
        <v>100</v>
      </c>
      <c r="T39" s="667" t="s">
        <v>14</v>
      </c>
      <c r="U39" s="668">
        <f t="shared" si="11"/>
        <v>100</v>
      </c>
      <c r="V39" s="667" t="s">
        <v>14</v>
      </c>
      <c r="W39" s="668">
        <f t="shared" si="12"/>
        <v>100</v>
      </c>
      <c r="X39" s="1264"/>
      <c r="Y39" s="3502"/>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502"/>
      <c r="Q40" s="1262" t="str">
        <f t="shared" si="14"/>
        <v>临街宽度及深度</v>
      </c>
      <c r="R40" s="667" t="s">
        <v>14</v>
      </c>
      <c r="S40" s="668">
        <f t="shared" si="10"/>
        <v>100</v>
      </c>
      <c r="T40" s="667" t="s">
        <v>14</v>
      </c>
      <c r="U40" s="668">
        <f t="shared" si="11"/>
        <v>100</v>
      </c>
      <c r="V40" s="667" t="s">
        <v>14</v>
      </c>
      <c r="W40" s="668">
        <f t="shared" si="12"/>
        <v>100</v>
      </c>
      <c r="X40" s="1264"/>
      <c r="Y40" s="3502"/>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502"/>
      <c r="Q41" s="1262" t="str">
        <f t="shared" si="14"/>
        <v>宗地开发程度</v>
      </c>
      <c r="R41" s="664" t="s">
        <v>14</v>
      </c>
      <c r="S41" s="665">
        <f t="shared" si="10"/>
        <v>100</v>
      </c>
      <c r="T41" s="664" t="s">
        <v>14</v>
      </c>
      <c r="U41" s="665">
        <f t="shared" si="11"/>
        <v>100</v>
      </c>
      <c r="V41" s="664" t="s">
        <v>14</v>
      </c>
      <c r="W41" s="665">
        <f t="shared" si="12"/>
        <v>100</v>
      </c>
      <c r="X41" s="666"/>
      <c r="Y41" s="350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502" t="s">
        <v>1696</v>
      </c>
      <c r="Q42" s="1262" t="str">
        <f t="shared" si="14"/>
        <v>工程地质条件</v>
      </c>
      <c r="R42" s="667" t="s">
        <v>14</v>
      </c>
      <c r="S42" s="668">
        <f t="shared" si="10"/>
        <v>100</v>
      </c>
      <c r="T42" s="667" t="s">
        <v>14</v>
      </c>
      <c r="U42" s="668">
        <f t="shared" si="11"/>
        <v>100</v>
      </c>
      <c r="V42" s="667" t="s">
        <v>14</v>
      </c>
      <c r="W42" s="668">
        <f t="shared" si="12"/>
        <v>100</v>
      </c>
      <c r="X42" s="1264"/>
      <c r="Y42" s="3502"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502"/>
      <c r="Q43" s="1262">
        <f t="shared" si="14"/>
        <v>111</v>
      </c>
      <c r="R43" s="667" t="s">
        <v>14</v>
      </c>
      <c r="S43" s="668">
        <f t="shared" si="10"/>
        <v>100</v>
      </c>
      <c r="T43" s="667" t="s">
        <v>14</v>
      </c>
      <c r="U43" s="668">
        <f t="shared" si="11"/>
        <v>100</v>
      </c>
      <c r="V43" s="667" t="s">
        <v>14</v>
      </c>
      <c r="W43" s="668">
        <f t="shared" si="12"/>
        <v>100</v>
      </c>
      <c r="X43" s="1264"/>
      <c r="Y43" s="3502"/>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502"/>
      <c r="Q44" s="1262">
        <f t="shared" si="14"/>
        <v>111</v>
      </c>
      <c r="R44" s="667" t="s">
        <v>14</v>
      </c>
      <c r="S44" s="668">
        <f t="shared" si="10"/>
        <v>100</v>
      </c>
      <c r="T44" s="667" t="s">
        <v>14</v>
      </c>
      <c r="U44" s="668">
        <f t="shared" si="11"/>
        <v>100</v>
      </c>
      <c r="V44" s="667" t="s">
        <v>14</v>
      </c>
      <c r="W44" s="668">
        <f t="shared" si="12"/>
        <v>100</v>
      </c>
      <c r="X44" s="1264"/>
      <c r="Y44" s="3502"/>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502"/>
      <c r="Q45" s="1262">
        <f t="shared" si="14"/>
        <v>111</v>
      </c>
      <c r="R45" s="669" t="s">
        <v>14</v>
      </c>
      <c r="S45" s="670">
        <f t="shared" si="10"/>
        <v>100</v>
      </c>
      <c r="T45" s="669" t="s">
        <v>14</v>
      </c>
      <c r="U45" s="670">
        <f t="shared" si="11"/>
        <v>100</v>
      </c>
      <c r="V45" s="669" t="s">
        <v>14</v>
      </c>
      <c r="W45" s="670">
        <f t="shared" si="12"/>
        <v>100</v>
      </c>
      <c r="X45" s="671"/>
      <c r="Y45" s="3502"/>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496" t="str">
        <f>A46</f>
        <v>成交单价</v>
      </c>
      <c r="Q46" s="3496"/>
      <c r="R46" s="3490">
        <f>E46</f>
        <v>0</v>
      </c>
      <c r="S46" s="3490"/>
      <c r="T46" s="3490">
        <f>G46</f>
        <v>0</v>
      </c>
      <c r="U46" s="3490"/>
      <c r="V46" s="3490">
        <f>I46</f>
        <v>0</v>
      </c>
      <c r="W46" s="3490"/>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96" t="str">
        <f>A47</f>
        <v>比较价值（元/平方米）</v>
      </c>
      <c r="Q47" s="3496"/>
      <c r="R47" s="3524" t="e">
        <f>ROUND(PRODUCT(R46,AA7:AA45),0)</f>
        <v>#DIV/0!</v>
      </c>
      <c r="S47" s="3524"/>
      <c r="T47" s="3524" t="e">
        <f>ROUND(PRODUCT(T46,AB7:AB45),0)</f>
        <v>#DIV/0!</v>
      </c>
      <c r="U47" s="3524"/>
      <c r="V47" s="3524" t="e">
        <f>ROUND(PRODUCT(V46,AC7:AC45),0)</f>
        <v>#DIV/0!</v>
      </c>
      <c r="W47" s="352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93" t="str">
        <f>A48</f>
        <v>估价对象XX用房的比较价值（楼面单价，元/平方米）</v>
      </c>
      <c r="Q48" s="3494"/>
      <c r="R48" s="3525" t="e">
        <f>ROUND(IF(D47="简单平均",AVERAGE(R47:W47),R47*F47+T47*H47+V47*J47),0)</f>
        <v>#DIV/0!</v>
      </c>
      <c r="S48" s="3525"/>
      <c r="T48" s="3525"/>
      <c r="U48" s="3525"/>
      <c r="V48" s="3525"/>
      <c r="W48" s="352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78" t="s">
        <v>1887</v>
      </c>
      <c r="H55" s="3526"/>
      <c r="I55" s="127" t="s">
        <v>1888</v>
      </c>
      <c r="J55" s="1831" t="str">
        <f>项目基本情况!F35</f>
        <v xml:space="preserve">西城区真武庙二里甲9号楼17层1707 </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68.7</v>
      </c>
      <c r="F56" s="833" t="e">
        <f t="shared" ref="F56:F64" si="15">ROUND(B56*E56/10000,0)</f>
        <v>#DIV/0!</v>
      </c>
      <c r="G56" s="3477"/>
      <c r="H56" s="349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68.7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2014-4-1</v>
      </c>
      <c r="D67" s="656">
        <f>EDATE(C67,-3)</f>
        <v>41640</v>
      </c>
      <c r="E67" s="656">
        <f>EDATE(D67,-3)</f>
        <v>41548</v>
      </c>
      <c r="F67" s="656">
        <f t="shared" ref="F67:O67" si="18">EDATE(E67,-3)</f>
        <v>41456</v>
      </c>
      <c r="G67" s="656">
        <f t="shared" si="18"/>
        <v>41365</v>
      </c>
      <c r="H67" s="656">
        <f t="shared" si="18"/>
        <v>41275</v>
      </c>
      <c r="I67" s="656">
        <f t="shared" si="18"/>
        <v>41183</v>
      </c>
      <c r="J67" s="656">
        <f t="shared" si="18"/>
        <v>41091</v>
      </c>
      <c r="K67" s="656">
        <f t="shared" si="18"/>
        <v>41000</v>
      </c>
      <c r="L67" s="656">
        <f t="shared" si="18"/>
        <v>40909</v>
      </c>
      <c r="M67" s="656">
        <f t="shared" si="18"/>
        <v>40817</v>
      </c>
      <c r="N67" s="656">
        <f t="shared" si="18"/>
        <v>40725</v>
      </c>
      <c r="O67" s="656">
        <f t="shared" si="18"/>
        <v>40634</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2014-2</v>
      </c>
      <c r="D69" s="1100" t="str">
        <f>YEAR(D67)&amp;"-"&amp;ROUNDUP(MONTH(D67)/3,0)</f>
        <v>2014-1</v>
      </c>
      <c r="E69" s="1100" t="str">
        <f t="shared" ref="E69:O69" si="19">YEAR(E67)&amp;"-"&amp;ROUNDUP(MONTH(E67)/3,0)</f>
        <v>2013-4</v>
      </c>
      <c r="F69" s="1100" t="str">
        <f t="shared" si="19"/>
        <v>2013-3</v>
      </c>
      <c r="G69" s="1100" t="str">
        <f t="shared" si="19"/>
        <v>2013-2</v>
      </c>
      <c r="H69" s="1100" t="str">
        <f t="shared" si="19"/>
        <v>2013-1</v>
      </c>
      <c r="I69" s="1100" t="str">
        <f t="shared" si="19"/>
        <v>2012-4</v>
      </c>
      <c r="J69" s="1100" t="str">
        <f t="shared" si="19"/>
        <v>2012-3</v>
      </c>
      <c r="K69" s="1100" t="str">
        <f t="shared" si="19"/>
        <v>2012-2</v>
      </c>
      <c r="L69" s="1100" t="str">
        <f t="shared" si="19"/>
        <v>2012-1</v>
      </c>
      <c r="M69" s="1100" t="str">
        <f t="shared" si="19"/>
        <v>2011-4</v>
      </c>
      <c r="N69" s="1100" t="str">
        <f t="shared" si="19"/>
        <v>2011-3</v>
      </c>
      <c r="O69" s="1100" t="str">
        <f t="shared" si="19"/>
        <v>2011-2</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北京市平均增长率2.94%</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78" t="s">
        <v>1770</v>
      </c>
      <c r="D4" s="3479"/>
      <c r="E4" s="3480" t="s">
        <v>1771</v>
      </c>
      <c r="F4" s="3481"/>
      <c r="G4" s="3478" t="s">
        <v>1772</v>
      </c>
      <c r="H4" s="3479"/>
      <c r="I4" s="3478" t="s">
        <v>1773</v>
      </c>
      <c r="J4" s="3479"/>
      <c r="K4" s="537" t="s">
        <v>1774</v>
      </c>
      <c r="L4" s="2484"/>
      <c r="M4" s="2485"/>
      <c r="N4" s="2485"/>
      <c r="O4" s="2485"/>
      <c r="P4" s="3482" t="s">
        <v>1775</v>
      </c>
      <c r="Q4" s="3483"/>
      <c r="R4" s="3465" t="s">
        <v>1771</v>
      </c>
      <c r="S4" s="3466"/>
      <c r="T4" s="3465" t="s">
        <v>1772</v>
      </c>
      <c r="U4" s="3466"/>
      <c r="V4" s="3490" t="s">
        <v>1773</v>
      </c>
      <c r="W4" s="3490"/>
      <c r="X4" s="1264"/>
      <c r="Y4" s="3465" t="s">
        <v>1775</v>
      </c>
      <c r="Z4" s="3466"/>
      <c r="AA4" s="3460" t="s">
        <v>1771</v>
      </c>
      <c r="AB4" s="3461" t="s">
        <v>1772</v>
      </c>
      <c r="AC4" s="3460" t="s">
        <v>1773</v>
      </c>
    </row>
    <row r="5" spans="1:29" ht="15">
      <c r="A5" s="348"/>
      <c r="B5" s="349"/>
      <c r="C5" s="3471" t="s">
        <v>1673</v>
      </c>
      <c r="D5" s="3472"/>
      <c r="E5" s="3506" t="s">
        <v>1674</v>
      </c>
      <c r="F5" s="3470"/>
      <c r="G5" s="3471" t="s">
        <v>1675</v>
      </c>
      <c r="H5" s="3472"/>
      <c r="I5" s="3471" t="s">
        <v>1676</v>
      </c>
      <c r="J5" s="3472"/>
      <c r="K5" s="537"/>
      <c r="L5" s="2484"/>
      <c r="M5" s="2485"/>
      <c r="N5" s="2485"/>
      <c r="O5" s="2485"/>
      <c r="P5" s="3484"/>
      <c r="Q5" s="3485"/>
      <c r="R5" s="3467"/>
      <c r="S5" s="3468"/>
      <c r="T5" s="3467"/>
      <c r="U5" s="3468"/>
      <c r="V5" s="3490"/>
      <c r="W5" s="3490"/>
      <c r="X5" s="1264"/>
      <c r="Y5" s="3467"/>
      <c r="Z5" s="3468"/>
      <c r="AA5" s="3461"/>
      <c r="AB5" s="3461"/>
      <c r="AC5" s="3461"/>
    </row>
    <row r="6" spans="1:29" ht="15.75" thickBot="1">
      <c r="A6" s="350"/>
      <c r="B6" s="351"/>
      <c r="C6" s="3527" t="s">
        <v>1919</v>
      </c>
      <c r="D6" s="3528"/>
      <c r="E6" s="3529" t="s">
        <v>1919</v>
      </c>
      <c r="F6" s="3530"/>
      <c r="G6" s="3527" t="s">
        <v>1919</v>
      </c>
      <c r="H6" s="3528"/>
      <c r="I6" s="3527" t="s">
        <v>1919</v>
      </c>
      <c r="J6" s="3528"/>
      <c r="K6" s="537" t="s">
        <v>1678</v>
      </c>
      <c r="L6" s="2484"/>
      <c r="M6" s="2485"/>
      <c r="N6" s="2485"/>
      <c r="O6" s="2485"/>
      <c r="P6" s="3486"/>
      <c r="Q6" s="3487"/>
      <c r="R6" s="3467"/>
      <c r="S6" s="3468"/>
      <c r="T6" s="3488"/>
      <c r="U6" s="3489"/>
      <c r="V6" s="3490"/>
      <c r="W6" s="3490"/>
      <c r="X6" s="1264"/>
      <c r="Y6" s="3488"/>
      <c r="Z6" s="3489"/>
      <c r="AA6" s="3462"/>
      <c r="AB6" s="3462"/>
      <c r="AC6" s="3462"/>
    </row>
    <row r="7" spans="1:29" s="102" customFormat="1" ht="15.75" thickBot="1">
      <c r="A7" s="352" t="s">
        <v>1679</v>
      </c>
      <c r="B7" s="353"/>
      <c r="C7" s="354">
        <f>'数据-取费表'!B2</f>
        <v>41743</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63" t="s">
        <v>1680</v>
      </c>
      <c r="Q7" s="3492"/>
      <c r="R7" s="664" t="s">
        <v>14</v>
      </c>
      <c r="S7" s="665">
        <f t="shared" ref="S7:S15" si="0">F7</f>
        <v>0</v>
      </c>
      <c r="T7" s="664" t="s">
        <v>14</v>
      </c>
      <c r="U7" s="665">
        <f t="shared" ref="U7:U15" si="1">H7</f>
        <v>0</v>
      </c>
      <c r="V7" s="664" t="s">
        <v>14</v>
      </c>
      <c r="W7" s="665">
        <f t="shared" ref="W7:W15" si="2">J7</f>
        <v>0</v>
      </c>
      <c r="X7" s="666"/>
      <c r="Y7" s="3463" t="s">
        <v>1680</v>
      </c>
      <c r="Z7" s="346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63" t="s">
        <v>1683</v>
      </c>
      <c r="Q8" s="3464"/>
      <c r="R8" s="664" t="s">
        <v>14</v>
      </c>
      <c r="S8" s="665">
        <f t="shared" si="0"/>
        <v>0</v>
      </c>
      <c r="T8" s="664" t="s">
        <v>14</v>
      </c>
      <c r="U8" s="665">
        <f t="shared" si="1"/>
        <v>0</v>
      </c>
      <c r="V8" s="664" t="s">
        <v>14</v>
      </c>
      <c r="W8" s="665">
        <f t="shared" si="2"/>
        <v>0</v>
      </c>
      <c r="X8" s="666"/>
      <c r="Y8" s="3463" t="s">
        <v>1683</v>
      </c>
      <c r="Z8" s="3464"/>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96" t="s">
        <v>1686</v>
      </c>
      <c r="Q9" s="530" t="str">
        <f t="shared" ref="Q9:Q15" si="6">B9</f>
        <v>用途</v>
      </c>
      <c r="R9" s="664" t="s">
        <v>14</v>
      </c>
      <c r="S9" s="665">
        <f t="shared" si="0"/>
        <v>100</v>
      </c>
      <c r="T9" s="664" t="s">
        <v>14</v>
      </c>
      <c r="U9" s="665">
        <f t="shared" si="1"/>
        <v>100</v>
      </c>
      <c r="V9" s="664" t="s">
        <v>14</v>
      </c>
      <c r="W9" s="665">
        <f t="shared" si="2"/>
        <v>100</v>
      </c>
      <c r="X9" s="666"/>
      <c r="Y9" s="340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96"/>
      <c r="Q10" s="530" t="str">
        <f t="shared" si="6"/>
        <v>土地使用年限（年）</v>
      </c>
      <c r="R10" s="664" t="s">
        <v>14</v>
      </c>
      <c r="S10" s="665" t="e">
        <f t="shared" si="0"/>
        <v>#DIV/0!</v>
      </c>
      <c r="T10" s="664" t="s">
        <v>14</v>
      </c>
      <c r="U10" s="665" t="e">
        <f t="shared" si="1"/>
        <v>#DIV/0!</v>
      </c>
      <c r="V10" s="664" t="s">
        <v>14</v>
      </c>
      <c r="W10" s="665" t="e">
        <f t="shared" si="2"/>
        <v>#DIV/0!</v>
      </c>
      <c r="X10" s="666"/>
      <c r="Y10" s="340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96"/>
      <c r="Q11" s="530" t="str">
        <f t="shared" si="6"/>
        <v>容积率</v>
      </c>
      <c r="R11" s="664" t="s">
        <v>14</v>
      </c>
      <c r="S11" s="665" t="e">
        <f t="shared" si="0"/>
        <v>#N/A</v>
      </c>
      <c r="T11" s="664" t="s">
        <v>14</v>
      </c>
      <c r="U11" s="665" t="e">
        <f t="shared" si="1"/>
        <v>#N/A</v>
      </c>
      <c r="V11" s="664" t="s">
        <v>14</v>
      </c>
      <c r="W11" s="665" t="e">
        <f t="shared" si="2"/>
        <v>#N/A</v>
      </c>
      <c r="X11" s="666"/>
      <c r="Y11" s="340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96"/>
      <c r="Q12" s="530">
        <f t="shared" si="6"/>
        <v>111</v>
      </c>
      <c r="R12" s="664" t="s">
        <v>14</v>
      </c>
      <c r="S12" s="665">
        <f t="shared" si="0"/>
        <v>100</v>
      </c>
      <c r="T12" s="664" t="s">
        <v>14</v>
      </c>
      <c r="U12" s="665">
        <f t="shared" si="1"/>
        <v>100</v>
      </c>
      <c r="V12" s="664" t="s">
        <v>14</v>
      </c>
      <c r="W12" s="665">
        <f t="shared" si="2"/>
        <v>100</v>
      </c>
      <c r="X12" s="666"/>
      <c r="Y12" s="340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96"/>
      <c r="Q13" s="530">
        <f t="shared" si="6"/>
        <v>111</v>
      </c>
      <c r="R13" s="664" t="s">
        <v>14</v>
      </c>
      <c r="S13" s="665">
        <f t="shared" si="0"/>
        <v>100</v>
      </c>
      <c r="T13" s="664" t="s">
        <v>14</v>
      </c>
      <c r="U13" s="665">
        <f t="shared" si="1"/>
        <v>100</v>
      </c>
      <c r="V13" s="664" t="s">
        <v>14</v>
      </c>
      <c r="W13" s="665">
        <f t="shared" si="2"/>
        <v>100</v>
      </c>
      <c r="X13" s="666"/>
      <c r="Y13" s="340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96"/>
      <c r="Q14" s="530">
        <f t="shared" si="6"/>
        <v>111</v>
      </c>
      <c r="R14" s="664" t="s">
        <v>14</v>
      </c>
      <c r="S14" s="665">
        <f t="shared" si="0"/>
        <v>100</v>
      </c>
      <c r="T14" s="664" t="s">
        <v>14</v>
      </c>
      <c r="U14" s="665">
        <f t="shared" si="1"/>
        <v>100</v>
      </c>
      <c r="V14" s="664" t="s">
        <v>14</v>
      </c>
      <c r="W14" s="665">
        <f t="shared" si="2"/>
        <v>100</v>
      </c>
      <c r="X14" s="666"/>
      <c r="Y14" s="3407"/>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97" t="s">
        <v>1691</v>
      </c>
      <c r="Q15" s="1262" t="str">
        <f t="shared" si="6"/>
        <v>产业集聚程度</v>
      </c>
      <c r="R15" s="667" t="s">
        <v>14</v>
      </c>
      <c r="S15" s="668">
        <f t="shared" si="0"/>
        <v>100</v>
      </c>
      <c r="T15" s="667" t="s">
        <v>14</v>
      </c>
      <c r="U15" s="668">
        <f t="shared" si="1"/>
        <v>100</v>
      </c>
      <c r="V15" s="667" t="s">
        <v>14</v>
      </c>
      <c r="W15" s="668">
        <f t="shared" si="2"/>
        <v>100</v>
      </c>
      <c r="X15" s="1264"/>
      <c r="Y15" s="3497"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98"/>
      <c r="Q16" s="1262"/>
      <c r="R16" s="667"/>
      <c r="S16" s="668"/>
      <c r="T16" s="667"/>
      <c r="U16" s="668"/>
      <c r="V16" s="667"/>
      <c r="W16" s="668"/>
      <c r="X16" s="1264"/>
      <c r="Y16" s="3498"/>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98"/>
      <c r="Q17" s="1262" t="str">
        <f>B17</f>
        <v>交通便捷度</v>
      </c>
      <c r="R17" s="667" t="s">
        <v>14</v>
      </c>
      <c r="S17" s="668">
        <f>F17</f>
        <v>100</v>
      </c>
      <c r="T17" s="667" t="s">
        <v>14</v>
      </c>
      <c r="U17" s="668">
        <f>H17</f>
        <v>100</v>
      </c>
      <c r="V17" s="667" t="s">
        <v>14</v>
      </c>
      <c r="W17" s="668">
        <f>J17</f>
        <v>100</v>
      </c>
      <c r="X17" s="1264"/>
      <c r="Y17" s="3498"/>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98"/>
      <c r="Q18" s="1262"/>
      <c r="R18" s="667"/>
      <c r="S18" s="668"/>
      <c r="T18" s="667"/>
      <c r="U18" s="668"/>
      <c r="V18" s="667"/>
      <c r="W18" s="668"/>
      <c r="X18" s="1264"/>
      <c r="Y18" s="3498"/>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98"/>
      <c r="Q19" s="1262" t="str">
        <f t="shared" ref="Q19:Q33" si="8">B19</f>
        <v>区域土地利用方向</v>
      </c>
      <c r="R19" s="667" t="s">
        <v>14</v>
      </c>
      <c r="S19" s="668">
        <f>F19</f>
        <v>100</v>
      </c>
      <c r="T19" s="667" t="s">
        <v>14</v>
      </c>
      <c r="U19" s="668">
        <f>H19</f>
        <v>100</v>
      </c>
      <c r="V19" s="667" t="s">
        <v>14</v>
      </c>
      <c r="W19" s="668">
        <f>J19</f>
        <v>100</v>
      </c>
      <c r="X19" s="1264"/>
      <c r="Y19" s="3498"/>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98"/>
      <c r="Q20" s="1262"/>
      <c r="R20" s="667"/>
      <c r="S20" s="668"/>
      <c r="T20" s="667"/>
      <c r="U20" s="668"/>
      <c r="V20" s="667"/>
      <c r="W20" s="668"/>
      <c r="X20" s="1264"/>
      <c r="Y20" s="3498"/>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98"/>
      <c r="Q21" s="1262" t="str">
        <f t="shared" si="8"/>
        <v>环境状况</v>
      </c>
      <c r="R21" s="667" t="s">
        <v>14</v>
      </c>
      <c r="S21" s="668">
        <f>F21</f>
        <v>100</v>
      </c>
      <c r="T21" s="667" t="s">
        <v>14</v>
      </c>
      <c r="U21" s="668">
        <f>H21</f>
        <v>100</v>
      </c>
      <c r="V21" s="667" t="s">
        <v>14</v>
      </c>
      <c r="W21" s="668">
        <f>J21</f>
        <v>100</v>
      </c>
      <c r="X21" s="1264"/>
      <c r="Y21" s="3498"/>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98"/>
      <c r="Q22" s="1262"/>
      <c r="R22" s="667"/>
      <c r="S22" s="668"/>
      <c r="T22" s="667"/>
      <c r="U22" s="668"/>
      <c r="V22" s="667"/>
      <c r="W22" s="668"/>
      <c r="X22" s="1264"/>
      <c r="Y22" s="3498"/>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98"/>
      <c r="Q23" s="530" t="str">
        <f t="shared" si="8"/>
        <v>公共配套设施</v>
      </c>
      <c r="R23" s="664" t="s">
        <v>14</v>
      </c>
      <c r="S23" s="665">
        <f>F23</f>
        <v>100</v>
      </c>
      <c r="T23" s="664" t="s">
        <v>14</v>
      </c>
      <c r="U23" s="665">
        <f>H23</f>
        <v>100</v>
      </c>
      <c r="V23" s="664" t="s">
        <v>14</v>
      </c>
      <c r="W23" s="665">
        <f>J23</f>
        <v>100</v>
      </c>
      <c r="X23" s="666"/>
      <c r="Y23" s="3498"/>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498"/>
      <c r="Q24" s="530"/>
      <c r="R24" s="664"/>
      <c r="S24" s="665"/>
      <c r="T24" s="664"/>
      <c r="U24" s="665"/>
      <c r="V24" s="664"/>
      <c r="W24" s="665"/>
      <c r="X24" s="666"/>
      <c r="Y24" s="3498"/>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98"/>
      <c r="Q25" s="530" t="str">
        <f t="shared" ref="Q25" si="9">B25</f>
        <v>基础设施水平</v>
      </c>
      <c r="R25" s="664" t="s">
        <v>14</v>
      </c>
      <c r="S25" s="665">
        <f>F25</f>
        <v>100</v>
      </c>
      <c r="T25" s="664" t="s">
        <v>14</v>
      </c>
      <c r="U25" s="665">
        <f>H25</f>
        <v>100</v>
      </c>
      <c r="V25" s="664" t="s">
        <v>14</v>
      </c>
      <c r="W25" s="665">
        <f>J25</f>
        <v>100</v>
      </c>
      <c r="X25" s="666"/>
      <c r="Y25" s="3498"/>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498"/>
      <c r="Q26" s="530"/>
      <c r="R26" s="664"/>
      <c r="S26" s="665"/>
      <c r="T26" s="664"/>
      <c r="U26" s="665"/>
      <c r="V26" s="664"/>
      <c r="W26" s="665"/>
      <c r="X26" s="666"/>
      <c r="Y26" s="349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98"/>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98"/>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98"/>
      <c r="Q28" s="1262" t="str">
        <f t="shared" si="8"/>
        <v>毗邻道路的类型与等级</v>
      </c>
      <c r="R28" s="667" t="s">
        <v>14</v>
      </c>
      <c r="S28" s="668">
        <f t="shared" si="10"/>
        <v>100</v>
      </c>
      <c r="T28" s="667" t="s">
        <v>14</v>
      </c>
      <c r="U28" s="668">
        <f t="shared" si="11"/>
        <v>100</v>
      </c>
      <c r="V28" s="667" t="s">
        <v>14</v>
      </c>
      <c r="W28" s="668">
        <f t="shared" si="12"/>
        <v>100</v>
      </c>
      <c r="X28" s="1264"/>
      <c r="Y28" s="3498"/>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98"/>
      <c r="Q29" s="1262"/>
      <c r="R29" s="667"/>
      <c r="S29" s="668"/>
      <c r="T29" s="667"/>
      <c r="U29" s="668"/>
      <c r="V29" s="667"/>
      <c r="W29" s="668"/>
      <c r="X29" s="1264"/>
      <c r="Y29" s="3498"/>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98"/>
      <c r="Q30" s="1262" t="str">
        <f t="shared" si="8"/>
        <v>土地级别</v>
      </c>
      <c r="R30" s="667" t="s">
        <v>14</v>
      </c>
      <c r="S30" s="668">
        <f t="shared" si="10"/>
        <v>100</v>
      </c>
      <c r="T30" s="667" t="s">
        <v>14</v>
      </c>
      <c r="U30" s="668">
        <f t="shared" si="11"/>
        <v>100</v>
      </c>
      <c r="V30" s="667" t="s">
        <v>14</v>
      </c>
      <c r="W30" s="668">
        <f t="shared" si="12"/>
        <v>100</v>
      </c>
      <c r="X30" s="1264"/>
      <c r="Y30" s="3498"/>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98"/>
      <c r="Q31" s="1262">
        <f t="shared" si="8"/>
        <v>111</v>
      </c>
      <c r="R31" s="667" t="s">
        <v>14</v>
      </c>
      <c r="S31" s="668">
        <f t="shared" si="10"/>
        <v>100</v>
      </c>
      <c r="T31" s="667" t="s">
        <v>14</v>
      </c>
      <c r="U31" s="668">
        <f t="shared" si="11"/>
        <v>100</v>
      </c>
      <c r="V31" s="667" t="s">
        <v>14</v>
      </c>
      <c r="W31" s="668">
        <f t="shared" si="12"/>
        <v>100</v>
      </c>
      <c r="X31" s="1264"/>
      <c r="Y31" s="3498"/>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522" t="s">
        <v>1696</v>
      </c>
      <c r="Q32" s="1262">
        <f t="shared" si="8"/>
        <v>111</v>
      </c>
      <c r="R32" s="667" t="s">
        <v>14</v>
      </c>
      <c r="S32" s="668">
        <f t="shared" si="10"/>
        <v>100</v>
      </c>
      <c r="T32" s="667" t="s">
        <v>14</v>
      </c>
      <c r="U32" s="668">
        <f t="shared" si="11"/>
        <v>100</v>
      </c>
      <c r="V32" s="667" t="s">
        <v>14</v>
      </c>
      <c r="W32" s="668">
        <f t="shared" si="12"/>
        <v>100</v>
      </c>
      <c r="X32" s="1264"/>
      <c r="Y32" s="3502"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502"/>
      <c r="Q33" s="1262">
        <f t="shared" si="8"/>
        <v>111</v>
      </c>
      <c r="R33" s="669" t="s">
        <v>14</v>
      </c>
      <c r="S33" s="670">
        <f t="shared" si="10"/>
        <v>100</v>
      </c>
      <c r="T33" s="669" t="s">
        <v>14</v>
      </c>
      <c r="U33" s="670">
        <f t="shared" si="11"/>
        <v>100</v>
      </c>
      <c r="V33" s="669" t="s">
        <v>14</v>
      </c>
      <c r="W33" s="670">
        <f t="shared" si="12"/>
        <v>100</v>
      </c>
      <c r="X33" s="671"/>
      <c r="Y33" s="3502"/>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502"/>
      <c r="Q34" s="1262" t="str">
        <f>B34</f>
        <v>宗地面积</v>
      </c>
      <c r="R34" s="667" t="s">
        <v>14</v>
      </c>
      <c r="S34" s="668" t="e">
        <f t="shared" si="10"/>
        <v>#N/A</v>
      </c>
      <c r="T34" s="667" t="s">
        <v>14</v>
      </c>
      <c r="U34" s="668" t="e">
        <f t="shared" si="11"/>
        <v>#N/A</v>
      </c>
      <c r="V34" s="667" t="s">
        <v>14</v>
      </c>
      <c r="W34" s="668" t="e">
        <f t="shared" si="12"/>
        <v>#N/A</v>
      </c>
      <c r="X34" s="1264"/>
      <c r="Y34" s="3502"/>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502"/>
      <c r="Q35" s="1262" t="str">
        <f t="shared" ref="Q35:Q40" si="14">B35</f>
        <v>宗地形状</v>
      </c>
      <c r="R35" s="667" t="s">
        <v>14</v>
      </c>
      <c r="S35" s="668">
        <f t="shared" si="10"/>
        <v>100</v>
      </c>
      <c r="T35" s="667" t="s">
        <v>14</v>
      </c>
      <c r="U35" s="668">
        <f t="shared" si="11"/>
        <v>100</v>
      </c>
      <c r="V35" s="667" t="s">
        <v>14</v>
      </c>
      <c r="W35" s="668">
        <f t="shared" si="12"/>
        <v>100</v>
      </c>
      <c r="X35" s="1264"/>
      <c r="Y35" s="3502"/>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502"/>
      <c r="Q36" s="1262" t="str">
        <f t="shared" si="14"/>
        <v>宗地开发程度</v>
      </c>
      <c r="R36" s="664" t="s">
        <v>14</v>
      </c>
      <c r="S36" s="665">
        <f t="shared" si="10"/>
        <v>100</v>
      </c>
      <c r="T36" s="664" t="s">
        <v>14</v>
      </c>
      <c r="U36" s="665">
        <f t="shared" si="11"/>
        <v>100</v>
      </c>
      <c r="V36" s="664" t="s">
        <v>14</v>
      </c>
      <c r="W36" s="665">
        <f t="shared" si="12"/>
        <v>100</v>
      </c>
      <c r="X36" s="666"/>
      <c r="Y36" s="350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502" t="s">
        <v>1696</v>
      </c>
      <c r="Q37" s="1262" t="str">
        <f t="shared" si="14"/>
        <v>工程地质条件</v>
      </c>
      <c r="R37" s="667" t="s">
        <v>14</v>
      </c>
      <c r="S37" s="668">
        <f t="shared" si="10"/>
        <v>100</v>
      </c>
      <c r="T37" s="667" t="s">
        <v>14</v>
      </c>
      <c r="U37" s="668">
        <f t="shared" si="11"/>
        <v>100</v>
      </c>
      <c r="V37" s="667" t="s">
        <v>14</v>
      </c>
      <c r="W37" s="668">
        <f t="shared" si="12"/>
        <v>100</v>
      </c>
      <c r="X37" s="1264"/>
      <c r="Y37" s="3502"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502"/>
      <c r="Q38" s="1262">
        <f t="shared" si="14"/>
        <v>111</v>
      </c>
      <c r="R38" s="667" t="s">
        <v>14</v>
      </c>
      <c r="S38" s="668">
        <f t="shared" si="10"/>
        <v>100</v>
      </c>
      <c r="T38" s="667" t="s">
        <v>14</v>
      </c>
      <c r="U38" s="668">
        <f t="shared" si="11"/>
        <v>100</v>
      </c>
      <c r="V38" s="667" t="s">
        <v>14</v>
      </c>
      <c r="W38" s="668">
        <f t="shared" si="12"/>
        <v>100</v>
      </c>
      <c r="X38" s="1264"/>
      <c r="Y38" s="3502"/>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502"/>
      <c r="Q39" s="1262">
        <f t="shared" si="14"/>
        <v>111</v>
      </c>
      <c r="R39" s="667" t="s">
        <v>14</v>
      </c>
      <c r="S39" s="668">
        <f t="shared" si="10"/>
        <v>100</v>
      </c>
      <c r="T39" s="667" t="s">
        <v>14</v>
      </c>
      <c r="U39" s="668">
        <f t="shared" si="11"/>
        <v>100</v>
      </c>
      <c r="V39" s="667" t="s">
        <v>14</v>
      </c>
      <c r="W39" s="668">
        <f t="shared" si="12"/>
        <v>100</v>
      </c>
      <c r="X39" s="1264"/>
      <c r="Y39" s="3502"/>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502"/>
      <c r="Q40" s="1262">
        <f t="shared" si="14"/>
        <v>111</v>
      </c>
      <c r="R40" s="669" t="s">
        <v>14</v>
      </c>
      <c r="S40" s="670">
        <f t="shared" si="10"/>
        <v>100</v>
      </c>
      <c r="T40" s="669" t="s">
        <v>14</v>
      </c>
      <c r="U40" s="670">
        <f t="shared" si="11"/>
        <v>100</v>
      </c>
      <c r="V40" s="669" t="s">
        <v>14</v>
      </c>
      <c r="W40" s="670">
        <f t="shared" si="12"/>
        <v>100</v>
      </c>
      <c r="X40" s="671"/>
      <c r="Y40" s="3502"/>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496" t="str">
        <f>A41</f>
        <v>成交单价</v>
      </c>
      <c r="Q41" s="3496"/>
      <c r="R41" s="3490">
        <f>E41</f>
        <v>0</v>
      </c>
      <c r="S41" s="3490"/>
      <c r="T41" s="3490">
        <f>G41</f>
        <v>0</v>
      </c>
      <c r="U41" s="3490"/>
      <c r="V41" s="3490">
        <f>I41</f>
        <v>0</v>
      </c>
      <c r="W41" s="3490"/>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96" t="str">
        <f>A42</f>
        <v>比较价值（元/平方米）</v>
      </c>
      <c r="Q42" s="3496"/>
      <c r="R42" s="3524" t="e">
        <f>ROUND(PRODUCT(R41,AA7:AA40),0)</f>
        <v>#DIV/0!</v>
      </c>
      <c r="S42" s="3524"/>
      <c r="T42" s="3524" t="e">
        <f>ROUND(PRODUCT(T41,AB7:AB40),0)</f>
        <v>#DIV/0!</v>
      </c>
      <c r="U42" s="3524"/>
      <c r="V42" s="3524" t="e">
        <f>ROUND(PRODUCT(V41,AC7:AC40),0)</f>
        <v>#DIV/0!</v>
      </c>
      <c r="W42" s="352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93" t="str">
        <f>A43</f>
        <v>估价对象XX用房的比较价值（楼面单价，元/平方米）</v>
      </c>
      <c r="Q43" s="3494"/>
      <c r="R43" s="3525" t="e">
        <f>ROUND(IF(D42="简单平均",AVERAGE(R42:W42),R42*F42+T42*H42+V42*J42),0)</f>
        <v>#DIV/0!</v>
      </c>
      <c r="S43" s="3525"/>
      <c r="T43" s="3525"/>
      <c r="U43" s="3525"/>
      <c r="V43" s="3525"/>
      <c r="W43" s="352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78" t="s">
        <v>1887</v>
      </c>
      <c r="H50" s="3526"/>
      <c r="I50" s="1263" t="s">
        <v>1923</v>
      </c>
      <c r="J50" s="1263" t="str">
        <f>项目基本情况!F35</f>
        <v xml:space="preserve">西城区真武庙二里甲9号楼17层1707 </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68.7</v>
      </c>
      <c r="F51" s="611" t="e">
        <f t="shared" ref="F51:F60" si="15">ROUND(B51*E51/10000,0)</f>
        <v>#DIV/0!</v>
      </c>
      <c r="G51" s="3477"/>
      <c r="H51" s="349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2014-4-1</v>
      </c>
      <c r="D63" s="656">
        <f>EDATE(C63,-3)</f>
        <v>41640</v>
      </c>
      <c r="E63" s="656">
        <f>EDATE(D63,-3)</f>
        <v>41548</v>
      </c>
      <c r="F63" s="656">
        <f t="shared" ref="F63:O63" si="18">EDATE(E63,-3)</f>
        <v>41456</v>
      </c>
      <c r="G63" s="656">
        <f t="shared" si="18"/>
        <v>41365</v>
      </c>
      <c r="H63" s="656">
        <f t="shared" si="18"/>
        <v>41275</v>
      </c>
      <c r="I63" s="656">
        <f t="shared" si="18"/>
        <v>41183</v>
      </c>
      <c r="J63" s="656">
        <f t="shared" si="18"/>
        <v>41091</v>
      </c>
      <c r="K63" s="656">
        <f t="shared" si="18"/>
        <v>41000</v>
      </c>
      <c r="L63" s="656">
        <f t="shared" si="18"/>
        <v>40909</v>
      </c>
      <c r="M63" s="656">
        <f t="shared" si="18"/>
        <v>40817</v>
      </c>
      <c r="N63" s="656">
        <f t="shared" si="18"/>
        <v>40725</v>
      </c>
      <c r="O63" s="656">
        <f t="shared" si="18"/>
        <v>40634</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2014-2</v>
      </c>
      <c r="D65" s="1100" t="str">
        <f t="shared" ref="D65:O65" si="19">YEAR(D63)&amp;"-"&amp;ROUNDUP(MONTH(D63)/3,0)</f>
        <v>2014-1</v>
      </c>
      <c r="E65" s="1100" t="str">
        <f t="shared" si="19"/>
        <v>2013-4</v>
      </c>
      <c r="F65" s="1100" t="str">
        <f t="shared" si="19"/>
        <v>2013-3</v>
      </c>
      <c r="G65" s="1100" t="str">
        <f t="shared" si="19"/>
        <v>2013-2</v>
      </c>
      <c r="H65" s="1100" t="str">
        <f t="shared" si="19"/>
        <v>2013-1</v>
      </c>
      <c r="I65" s="1100" t="str">
        <f t="shared" si="19"/>
        <v>2012-4</v>
      </c>
      <c r="J65" s="1100" t="str">
        <f t="shared" si="19"/>
        <v>2012-3</v>
      </c>
      <c r="K65" s="1100" t="str">
        <f t="shared" si="19"/>
        <v>2012-2</v>
      </c>
      <c r="L65" s="1100" t="str">
        <f t="shared" si="19"/>
        <v>2012-1</v>
      </c>
      <c r="M65" s="1100" t="str">
        <f t="shared" si="19"/>
        <v>2011-4</v>
      </c>
      <c r="N65" s="1100" t="str">
        <f t="shared" si="19"/>
        <v>2011-3</v>
      </c>
      <c r="O65" s="1100" t="str">
        <f t="shared" si="19"/>
        <v>2011-2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北京市平均增长率1.44%</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34" t="s">
        <v>2084</v>
      </c>
      <c r="D1" s="3535"/>
      <c r="E1" s="3535"/>
      <c r="F1" s="3535"/>
      <c r="G1" s="3535"/>
      <c r="H1" s="3535"/>
      <c r="I1" s="3535"/>
      <c r="J1" s="3535"/>
      <c r="K1" s="3535"/>
      <c r="L1" s="3535"/>
      <c r="M1" s="3535"/>
      <c r="N1" s="3535"/>
      <c r="O1" s="3535"/>
      <c r="P1" s="3535"/>
      <c r="Q1" s="3535"/>
      <c r="R1" s="3535"/>
      <c r="S1" s="353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1" t="s">
        <v>27</v>
      </c>
      <c r="D22" s="3532"/>
      <c r="E22" s="3532"/>
      <c r="F22" s="3532"/>
      <c r="G22" s="3532"/>
      <c r="H22" s="3532"/>
      <c r="I22" s="3532"/>
      <c r="J22" s="3532"/>
      <c r="K22" s="3532"/>
      <c r="L22" s="3532"/>
      <c r="M22" s="3532"/>
      <c r="N22" s="3532"/>
      <c r="O22" s="3532"/>
      <c r="P22" s="3532"/>
      <c r="Q22" s="353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544"/>
      <c r="B4" s="3545"/>
      <c r="C4" s="3545"/>
      <c r="D4" s="3546"/>
      <c r="E4" s="3546"/>
      <c r="F4" s="3546"/>
      <c r="G4" s="3546"/>
      <c r="H4" s="3546"/>
      <c r="I4" s="3546"/>
      <c r="J4" s="3547"/>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541" t="s">
        <v>1960</v>
      </c>
      <c r="X8" s="354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543"/>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54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548" t="s">
        <v>3256</v>
      </c>
      <c r="B20" s="159" t="s">
        <v>1994</v>
      </c>
      <c r="C20" s="3029" t="e">
        <f>ROUND(IF(F21="与级别开发程度一致",0,(G21-E21)/C21),0)</f>
        <v>#DIV/0!</v>
      </c>
      <c r="D20" s="3044" t="s">
        <v>1998</v>
      </c>
      <c r="E20" s="3045"/>
      <c r="F20" s="3554" t="s">
        <v>1995</v>
      </c>
      <c r="G20" s="3555"/>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549"/>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41743</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2.1899999999999999E-2</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2.1899999999999999E-2</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2.9399999999999999E-2</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1.44E-2</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2.69E-2</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6.1500000000000006E-2</v>
      </c>
      <c r="M36" s="2363">
        <f ca="1">ROUND($L$36*(1+M31),3)</f>
        <v>7.6999999999999999E-2</v>
      </c>
      <c r="N36" s="2363">
        <f ca="1">ROUND($L$36*(1+N31),3)</f>
        <v>7.3999999999999996E-2</v>
      </c>
      <c r="O36" s="2363">
        <f ca="1">ROUND($L$36*(1+O31),3)</f>
        <v>7.0999999999999994E-2</v>
      </c>
      <c r="P36" s="2363">
        <f ca="1">ROUND($L$36*(1+P31),3)</f>
        <v>6.8000000000000005E-2</v>
      </c>
      <c r="Q36" s="2363">
        <f ca="1">ROUND($L$36*(1+Q31),3)</f>
        <v>7.0999999999999994E-2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52"/>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6.6500000000000004E-2</v>
      </c>
      <c r="M37" s="2363">
        <f ca="1">ROUND($L$37*(1+M31),3)</f>
        <v>8.3000000000000004E-2</v>
      </c>
      <c r="N37" s="2363">
        <f t="shared" ref="N37:Q37" ca="1" si="3">ROUND($L$37*(1+N31),3)</f>
        <v>0.08</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53"/>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53"/>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550" t="s">
        <v>3296</v>
      </c>
      <c r="B103" s="3550"/>
      <c r="C103" s="3550"/>
      <c r="D103" s="3550"/>
      <c r="E103" s="3550"/>
      <c r="F103" s="3550"/>
      <c r="G103" s="3550"/>
      <c r="H103" s="3550"/>
      <c r="I103" s="3550"/>
      <c r="J103" s="3550"/>
      <c r="K103" s="1666"/>
      <c r="L103" s="1666"/>
      <c r="M103" s="1666"/>
      <c r="N103" s="1666"/>
    </row>
    <row r="104" spans="1:14">
      <c r="A104" s="3551" t="s">
        <v>3297</v>
      </c>
      <c r="B104" s="3551" t="s">
        <v>3298</v>
      </c>
      <c r="C104" s="3088" t="s">
        <v>3299</v>
      </c>
      <c r="D104" s="3089"/>
      <c r="E104" s="3089"/>
      <c r="F104" s="3089"/>
      <c r="G104" s="3089"/>
      <c r="H104" s="3089"/>
      <c r="I104" s="3089"/>
      <c r="J104" s="3090"/>
      <c r="K104" s="3091"/>
      <c r="L104" s="3091"/>
      <c r="M104" s="3091"/>
      <c r="N104" s="3091"/>
    </row>
    <row r="105" spans="1:14">
      <c r="A105" s="3551"/>
      <c r="B105" s="3551"/>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537"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3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3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3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3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38"/>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3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40" t="s">
        <v>3313</v>
      </c>
      <c r="B113" s="3540"/>
      <c r="C113" s="3540"/>
      <c r="D113" s="3540"/>
      <c r="E113" s="3540"/>
      <c r="F113" s="3540"/>
      <c r="G113" s="3540"/>
      <c r="H113" s="3540"/>
      <c r="I113" s="3540"/>
      <c r="J113" s="3540"/>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63" t="s">
        <v>2609</v>
      </c>
      <c r="B20" s="3556" t="s">
        <v>2630</v>
      </c>
      <c r="C20" s="2840" t="s">
        <v>2441</v>
      </c>
      <c r="D20" s="2841"/>
      <c r="E20" s="2842">
        <v>1</v>
      </c>
      <c r="F20" s="2843" t="s">
        <v>2442</v>
      </c>
      <c r="G20" s="2843"/>
    </row>
    <row r="21" spans="1:13" ht="19.5" customHeight="1">
      <c r="A21" s="3564"/>
      <c r="B21" s="3557"/>
      <c r="C21" s="2844" t="s">
        <v>2443</v>
      </c>
      <c r="D21" s="2845"/>
      <c r="E21" s="2846">
        <v>1</v>
      </c>
      <c r="F21" s="2843" t="s">
        <v>2444</v>
      </c>
      <c r="G21" s="2843"/>
    </row>
    <row r="22" spans="1:13" ht="19.5" customHeight="1">
      <c r="A22" s="3564"/>
      <c r="B22" s="3557"/>
      <c r="C22" s="2844" t="s">
        <v>2445</v>
      </c>
      <c r="D22" s="2845"/>
      <c r="E22" s="2846">
        <v>0.9</v>
      </c>
      <c r="F22" s="2843" t="s">
        <v>2446</v>
      </c>
      <c r="G22" s="2843"/>
    </row>
    <row r="23" spans="1:13" ht="19.5" customHeight="1">
      <c r="A23" s="3564"/>
      <c r="B23" s="3557"/>
      <c r="C23" s="2844" t="s">
        <v>2447</v>
      </c>
      <c r="D23" s="2845"/>
      <c r="E23" s="2846">
        <v>0.9</v>
      </c>
      <c r="F23" s="2843" t="s">
        <v>2448</v>
      </c>
      <c r="G23" s="2843"/>
    </row>
    <row r="24" spans="1:13" ht="19.5" customHeight="1">
      <c r="A24" s="3564"/>
      <c r="B24" s="3557"/>
      <c r="C24" s="2844" t="s">
        <v>2449</v>
      </c>
      <c r="D24" s="2845"/>
      <c r="E24" s="2846">
        <v>0.8</v>
      </c>
      <c r="F24" s="2843" t="s">
        <v>2450</v>
      </c>
      <c r="G24" s="2843"/>
    </row>
    <row r="25" spans="1:13" ht="19.5" customHeight="1" thickBot="1">
      <c r="A25" s="3565"/>
      <c r="B25" s="3558"/>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59" t="s">
        <v>2633</v>
      </c>
      <c r="B27" s="3556" t="s">
        <v>2614</v>
      </c>
      <c r="C27" s="2840" t="s">
        <v>2454</v>
      </c>
      <c r="D27" s="2841"/>
      <c r="E27" s="2842">
        <v>1</v>
      </c>
      <c r="F27" s="2843" t="s">
        <v>2455</v>
      </c>
      <c r="G27" s="2843"/>
    </row>
    <row r="28" spans="1:13" ht="19.5" customHeight="1">
      <c r="A28" s="3560"/>
      <c r="B28" s="3557"/>
      <c r="C28" s="2844" t="s">
        <v>2456</v>
      </c>
      <c r="D28" s="2845"/>
      <c r="E28" s="2846">
        <v>1</v>
      </c>
      <c r="F28" s="2843" t="s">
        <v>2457</v>
      </c>
      <c r="G28" s="2843"/>
    </row>
    <row r="29" spans="1:13" ht="19.5" customHeight="1">
      <c r="A29" s="3560"/>
      <c r="B29" s="3557"/>
      <c r="C29" s="2844" t="s">
        <v>2458</v>
      </c>
      <c r="D29" s="2845"/>
      <c r="E29" s="2846">
        <v>0.8</v>
      </c>
      <c r="F29" s="2843" t="s">
        <v>2459</v>
      </c>
      <c r="G29" s="2843"/>
    </row>
    <row r="30" spans="1:13" ht="19.5" customHeight="1">
      <c r="A30" s="3560"/>
      <c r="B30" s="3557"/>
      <c r="C30" s="2844" t="s">
        <v>2460</v>
      </c>
      <c r="D30" s="2845"/>
      <c r="E30" s="2846">
        <v>0.8</v>
      </c>
      <c r="F30" s="2843" t="s">
        <v>2461</v>
      </c>
      <c r="G30" s="2843"/>
    </row>
    <row r="31" spans="1:13" ht="19.5" customHeight="1">
      <c r="A31" s="3560"/>
      <c r="B31" s="3557"/>
      <c r="C31" s="2844" t="s">
        <v>2462</v>
      </c>
      <c r="D31" s="2845"/>
      <c r="E31" s="2846">
        <v>0.8</v>
      </c>
      <c r="F31" s="2843" t="s">
        <v>2463</v>
      </c>
      <c r="G31" s="2843"/>
    </row>
    <row r="32" spans="1:13" ht="19.5" customHeight="1">
      <c r="A32" s="3560"/>
      <c r="B32" s="3557"/>
      <c r="C32" s="2844" t="s">
        <v>2464</v>
      </c>
      <c r="D32" s="2845"/>
      <c r="E32" s="2846">
        <v>0.7</v>
      </c>
      <c r="F32" s="2843" t="s">
        <v>2465</v>
      </c>
      <c r="G32" s="2843"/>
    </row>
    <row r="33" spans="1:7" ht="19.5" customHeight="1">
      <c r="A33" s="3560"/>
      <c r="B33" s="3557"/>
      <c r="C33" s="2844" t="s">
        <v>2466</v>
      </c>
      <c r="D33" s="2845"/>
      <c r="E33" s="2846">
        <v>0.8</v>
      </c>
      <c r="F33" s="2843" t="s">
        <v>2467</v>
      </c>
      <c r="G33" s="2843"/>
    </row>
    <row r="34" spans="1:7" ht="19.5" customHeight="1">
      <c r="A34" s="3560"/>
      <c r="B34" s="3557"/>
      <c r="C34" s="2844" t="s">
        <v>2468</v>
      </c>
      <c r="D34" s="2845"/>
      <c r="E34" s="2846">
        <v>0.6</v>
      </c>
      <c r="F34" s="2843" t="s">
        <v>2469</v>
      </c>
      <c r="G34" s="2843"/>
    </row>
    <row r="35" spans="1:7" ht="19.5" customHeight="1">
      <c r="A35" s="3560"/>
      <c r="B35" s="3557"/>
      <c r="C35" s="2844" t="s">
        <v>2470</v>
      </c>
      <c r="D35" s="2845"/>
      <c r="E35" s="2846">
        <v>0.2</v>
      </c>
      <c r="F35" s="2843" t="s">
        <v>2471</v>
      </c>
      <c r="G35" s="2843"/>
    </row>
    <row r="36" spans="1:7" ht="19.5" customHeight="1">
      <c r="A36" s="3560"/>
      <c r="B36" s="3557"/>
      <c r="C36" s="2844" t="s">
        <v>2472</v>
      </c>
      <c r="D36" s="2845"/>
      <c r="E36" s="2846">
        <v>0.2</v>
      </c>
      <c r="F36" s="2843" t="s">
        <v>2473</v>
      </c>
      <c r="G36" s="2843"/>
    </row>
    <row r="37" spans="1:7" ht="19.5" customHeight="1">
      <c r="A37" s="3560"/>
      <c r="B37" s="3562" t="s">
        <v>2634</v>
      </c>
      <c r="C37" s="2844" t="s">
        <v>2474</v>
      </c>
      <c r="D37" s="2845"/>
      <c r="E37" s="2846">
        <v>0.6</v>
      </c>
      <c r="F37" s="2843" t="s">
        <v>2475</v>
      </c>
      <c r="G37" s="2843"/>
    </row>
    <row r="38" spans="1:7" ht="19.5" customHeight="1">
      <c r="A38" s="3560"/>
      <c r="B38" s="3557"/>
      <c r="C38" s="2844" t="s">
        <v>2476</v>
      </c>
      <c r="D38" s="2845"/>
      <c r="E38" s="2846">
        <v>0.6</v>
      </c>
      <c r="F38" s="2843" t="s">
        <v>2477</v>
      </c>
      <c r="G38" s="2843"/>
    </row>
    <row r="39" spans="1:7" ht="19.5" customHeight="1" thickBot="1">
      <c r="A39" s="3561"/>
      <c r="B39" s="3558"/>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63" t="s">
        <v>2612</v>
      </c>
      <c r="B41" s="3556" t="s">
        <v>2636</v>
      </c>
      <c r="C41" s="2840" t="s">
        <v>2481</v>
      </c>
      <c r="D41" s="2841"/>
      <c r="E41" s="2842">
        <v>1</v>
      </c>
      <c r="F41" s="2843" t="s">
        <v>2482</v>
      </c>
      <c r="G41" s="2843"/>
    </row>
    <row r="42" spans="1:7" ht="19.5" customHeight="1">
      <c r="A42" s="3564"/>
      <c r="B42" s="3557"/>
      <c r="C42" s="2844" t="s">
        <v>2483</v>
      </c>
      <c r="D42" s="2845"/>
      <c r="E42" s="2846">
        <v>1</v>
      </c>
      <c r="F42" s="2843" t="s">
        <v>2484</v>
      </c>
      <c r="G42" s="2843"/>
    </row>
    <row r="43" spans="1:7" ht="19.5" customHeight="1">
      <c r="A43" s="3564"/>
      <c r="B43" s="3566"/>
      <c r="C43" s="2844" t="s">
        <v>2485</v>
      </c>
      <c r="D43" s="2845"/>
      <c r="E43" s="2846">
        <v>1.5</v>
      </c>
      <c r="F43" s="2843" t="s">
        <v>2486</v>
      </c>
      <c r="G43" s="2843"/>
    </row>
    <row r="44" spans="1:7" ht="19.5" customHeight="1">
      <c r="A44" s="3564"/>
      <c r="B44" s="2855" t="s">
        <v>2637</v>
      </c>
      <c r="C44" s="2844" t="s">
        <v>2638</v>
      </c>
      <c r="D44" s="2845"/>
      <c r="E44" s="2846">
        <v>2</v>
      </c>
      <c r="F44" s="2843" t="s">
        <v>2487</v>
      </c>
      <c r="G44" s="2843"/>
    </row>
    <row r="45" spans="1:7" ht="19.5" customHeight="1">
      <c r="A45" s="3564"/>
      <c r="B45" s="3562" t="s">
        <v>2639</v>
      </c>
      <c r="C45" s="2844" t="s">
        <v>2488</v>
      </c>
      <c r="D45" s="2845"/>
      <c r="E45" s="2846">
        <v>1</v>
      </c>
      <c r="F45" s="2843" t="s">
        <v>2489</v>
      </c>
      <c r="G45" s="2843"/>
    </row>
    <row r="46" spans="1:7" ht="19.5" customHeight="1">
      <c r="A46" s="3564"/>
      <c r="B46" s="3557"/>
      <c r="C46" s="2844" t="s">
        <v>2490</v>
      </c>
      <c r="D46" s="2845"/>
      <c r="E46" s="2846">
        <v>1</v>
      </c>
      <c r="F46" s="2843" t="s">
        <v>2491</v>
      </c>
      <c r="G46" s="2843"/>
    </row>
    <row r="47" spans="1:7" ht="19.5" customHeight="1">
      <c r="A47" s="3564"/>
      <c r="B47" s="3557"/>
      <c r="C47" s="2844" t="s">
        <v>2492</v>
      </c>
      <c r="D47" s="2845"/>
      <c r="E47" s="2846">
        <v>1</v>
      </c>
      <c r="F47" s="2843" t="s">
        <v>2493</v>
      </c>
      <c r="G47" s="2843"/>
    </row>
    <row r="48" spans="1:7" ht="19.5" customHeight="1">
      <c r="A48" s="3564"/>
      <c r="B48" s="3557"/>
      <c r="C48" s="2844" t="s">
        <v>2494</v>
      </c>
      <c r="D48" s="2845"/>
      <c r="E48" s="2846">
        <v>1</v>
      </c>
      <c r="F48" s="2843" t="s">
        <v>2495</v>
      </c>
      <c r="G48" s="2843"/>
    </row>
    <row r="49" spans="1:7" ht="19.5" customHeight="1">
      <c r="A49" s="3564"/>
      <c r="B49" s="3557"/>
      <c r="C49" s="2844" t="s">
        <v>2496</v>
      </c>
      <c r="D49" s="2845"/>
      <c r="E49" s="2846">
        <v>1</v>
      </c>
      <c r="F49" s="2843" t="s">
        <v>2497</v>
      </c>
      <c r="G49" s="2843"/>
    </row>
    <row r="50" spans="1:7" ht="19.5" customHeight="1">
      <c r="A50" s="3564"/>
      <c r="B50" s="3557"/>
      <c r="C50" s="2844" t="s">
        <v>2498</v>
      </c>
      <c r="D50" s="2845"/>
      <c r="E50" s="2846">
        <v>1</v>
      </c>
      <c r="F50" s="2843" t="s">
        <v>2499</v>
      </c>
      <c r="G50" s="2843"/>
    </row>
    <row r="51" spans="1:7" ht="19.5" customHeight="1" thickBot="1">
      <c r="A51" s="3565"/>
      <c r="B51" s="3558"/>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62" t="s">
        <v>2653</v>
      </c>
      <c r="C73" s="2829" t="s">
        <v>2654</v>
      </c>
      <c r="D73" s="2829" t="s">
        <v>2655</v>
      </c>
      <c r="E73" s="2855">
        <v>0.2</v>
      </c>
      <c r="F73" s="2855">
        <v>25</v>
      </c>
    </row>
    <row r="74" spans="1:7" ht="24">
      <c r="A74" s="2855">
        <v>2</v>
      </c>
      <c r="B74" s="3557"/>
      <c r="C74" s="2829" t="s">
        <v>2656</v>
      </c>
      <c r="D74" s="2829" t="s">
        <v>2657</v>
      </c>
      <c r="E74" s="2855">
        <v>0.2</v>
      </c>
      <c r="F74" s="2855">
        <v>25</v>
      </c>
    </row>
    <row r="75" spans="1:7" ht="24">
      <c r="A75" s="2855">
        <v>3</v>
      </c>
      <c r="B75" s="3557"/>
      <c r="C75" s="2829" t="s">
        <v>2658</v>
      </c>
      <c r="D75" s="2829" t="s">
        <v>2659</v>
      </c>
      <c r="E75" s="2855">
        <v>0.2</v>
      </c>
      <c r="F75" s="2855">
        <v>25</v>
      </c>
    </row>
    <row r="76" spans="1:7" ht="13.5">
      <c r="A76" s="2855">
        <v>4</v>
      </c>
      <c r="B76" s="3557"/>
      <c r="C76" s="2829" t="s">
        <v>2660</v>
      </c>
      <c r="D76" s="2829" t="s">
        <v>2661</v>
      </c>
      <c r="E76" s="2855">
        <v>0.15</v>
      </c>
      <c r="F76" s="2855">
        <v>20</v>
      </c>
    </row>
    <row r="77" spans="1:7" ht="24">
      <c r="A77" s="2855">
        <v>5</v>
      </c>
      <c r="B77" s="3557"/>
      <c r="C77" s="2829" t="s">
        <v>2662</v>
      </c>
      <c r="D77" s="2829" t="s">
        <v>2663</v>
      </c>
      <c r="E77" s="2855">
        <v>0.15</v>
      </c>
      <c r="F77" s="2855">
        <v>20</v>
      </c>
    </row>
    <row r="78" spans="1:7" ht="24">
      <c r="A78" s="2855">
        <v>6</v>
      </c>
      <c r="B78" s="3557"/>
      <c r="C78" s="2829" t="s">
        <v>2664</v>
      </c>
      <c r="D78" s="2829" t="s">
        <v>2665</v>
      </c>
      <c r="E78" s="2855">
        <v>0.15</v>
      </c>
      <c r="F78" s="2855">
        <v>20</v>
      </c>
    </row>
    <row r="79" spans="1:7" ht="24">
      <c r="A79" s="2855">
        <v>7</v>
      </c>
      <c r="B79" s="3557"/>
      <c r="C79" s="2829" t="s">
        <v>2666</v>
      </c>
      <c r="D79" s="2829" t="s">
        <v>2667</v>
      </c>
      <c r="E79" s="2855">
        <v>0.15</v>
      </c>
      <c r="F79" s="2855">
        <v>20</v>
      </c>
    </row>
    <row r="80" spans="1:7" ht="24">
      <c r="A80" s="2855">
        <v>8</v>
      </c>
      <c r="B80" s="3557"/>
      <c r="C80" s="2829" t="s">
        <v>2668</v>
      </c>
      <c r="D80" s="2829" t="s">
        <v>2669</v>
      </c>
      <c r="E80" s="2855">
        <v>0.1</v>
      </c>
      <c r="F80" s="2855">
        <v>15</v>
      </c>
    </row>
    <row r="81" spans="1:6" ht="24">
      <c r="A81" s="2855">
        <v>9</v>
      </c>
      <c r="B81" s="3557"/>
      <c r="C81" s="2829" t="s">
        <v>2670</v>
      </c>
      <c r="D81" s="2829" t="s">
        <v>2671</v>
      </c>
      <c r="E81" s="2855">
        <v>0.1</v>
      </c>
      <c r="F81" s="2855">
        <v>15</v>
      </c>
    </row>
    <row r="82" spans="1:6" ht="24">
      <c r="A82" s="2855">
        <v>10</v>
      </c>
      <c r="B82" s="3557"/>
      <c r="C82" s="2829" t="s">
        <v>2672</v>
      </c>
      <c r="D82" s="2829" t="s">
        <v>2673</v>
      </c>
      <c r="E82" s="2855">
        <v>0.1</v>
      </c>
      <c r="F82" s="2855">
        <v>15</v>
      </c>
    </row>
    <row r="83" spans="1:6" ht="24">
      <c r="A83" s="2855">
        <v>11</v>
      </c>
      <c r="B83" s="3557"/>
      <c r="C83" s="2829" t="s">
        <v>2674</v>
      </c>
      <c r="D83" s="2829" t="s">
        <v>2675</v>
      </c>
      <c r="E83" s="2855">
        <v>0.1</v>
      </c>
      <c r="F83" s="2855">
        <v>15</v>
      </c>
    </row>
    <row r="84" spans="1:6" ht="24">
      <c r="A84" s="2855">
        <v>12</v>
      </c>
      <c r="B84" s="3557"/>
      <c r="C84" s="2829" t="s">
        <v>2676</v>
      </c>
      <c r="D84" s="2829" t="s">
        <v>2677</v>
      </c>
      <c r="E84" s="2855">
        <v>0.1</v>
      </c>
      <c r="F84" s="2855">
        <v>15</v>
      </c>
    </row>
    <row r="85" spans="1:6" ht="13.5">
      <c r="A85" s="2855">
        <v>13</v>
      </c>
      <c r="B85" s="3557"/>
      <c r="C85" s="2829" t="s">
        <v>2678</v>
      </c>
      <c r="D85" s="2829" t="s">
        <v>2679</v>
      </c>
      <c r="E85" s="2855">
        <v>0.1</v>
      </c>
      <c r="F85" s="2855">
        <v>15</v>
      </c>
    </row>
    <row r="86" spans="1:6" ht="13.5">
      <c r="A86" s="2855">
        <v>14</v>
      </c>
      <c r="B86" s="3557"/>
      <c r="C86" s="2829" t="s">
        <v>2680</v>
      </c>
      <c r="D86" s="2829" t="s">
        <v>2681</v>
      </c>
      <c r="E86" s="2855">
        <v>0.1</v>
      </c>
      <c r="F86" s="2855">
        <v>15</v>
      </c>
    </row>
    <row r="87" spans="1:6" ht="13.5">
      <c r="A87" s="2855">
        <v>15</v>
      </c>
      <c r="B87" s="3557"/>
      <c r="C87" s="2829" t="s">
        <v>2682</v>
      </c>
      <c r="D87" s="2829" t="s">
        <v>2683</v>
      </c>
      <c r="E87" s="2855">
        <v>0.1</v>
      </c>
      <c r="F87" s="2855">
        <v>15</v>
      </c>
    </row>
    <row r="88" spans="1:6" ht="24">
      <c r="A88" s="2855">
        <v>16</v>
      </c>
      <c r="B88" s="3557"/>
      <c r="C88" s="2829" t="s">
        <v>2684</v>
      </c>
      <c r="D88" s="2829" t="s">
        <v>2685</v>
      </c>
      <c r="E88" s="2855">
        <v>0.1</v>
      </c>
      <c r="F88" s="2855">
        <v>15</v>
      </c>
    </row>
    <row r="89" spans="1:6" ht="24">
      <c r="A89" s="2855">
        <v>17</v>
      </c>
      <c r="B89" s="3566"/>
      <c r="C89" s="2829" t="s">
        <v>2686</v>
      </c>
      <c r="D89" s="2829" t="s">
        <v>2687</v>
      </c>
      <c r="E89" s="2855">
        <v>0.1</v>
      </c>
      <c r="F89" s="2855">
        <v>15</v>
      </c>
    </row>
    <row r="90" spans="1:6" ht="13.5">
      <c r="A90" s="2855">
        <v>18</v>
      </c>
      <c r="B90" s="3562" t="s">
        <v>2688</v>
      </c>
      <c r="C90" s="2829" t="s">
        <v>2689</v>
      </c>
      <c r="D90" s="2829" t="s">
        <v>2690</v>
      </c>
      <c r="E90" s="2855">
        <v>0.2</v>
      </c>
      <c r="F90" s="2855">
        <v>25</v>
      </c>
    </row>
    <row r="91" spans="1:6" ht="24">
      <c r="A91" s="2855">
        <v>19</v>
      </c>
      <c r="B91" s="3557"/>
      <c r="C91" s="2829" t="s">
        <v>2691</v>
      </c>
      <c r="D91" s="2829" t="s">
        <v>2692</v>
      </c>
      <c r="E91" s="2855">
        <v>0.2</v>
      </c>
      <c r="F91" s="2855">
        <v>25</v>
      </c>
    </row>
    <row r="92" spans="1:6" ht="13.5">
      <c r="A92" s="2855">
        <v>20</v>
      </c>
      <c r="B92" s="3557"/>
      <c r="C92" s="2829" t="s">
        <v>2693</v>
      </c>
      <c r="D92" s="2829" t="s">
        <v>2694</v>
      </c>
      <c r="E92" s="2855">
        <v>0.15</v>
      </c>
      <c r="F92" s="2855">
        <v>20</v>
      </c>
    </row>
    <row r="93" spans="1:6" ht="13.5">
      <c r="A93" s="2855">
        <v>21</v>
      </c>
      <c r="B93" s="3557"/>
      <c r="C93" s="2829" t="s">
        <v>2695</v>
      </c>
      <c r="D93" s="2829" t="s">
        <v>2696</v>
      </c>
      <c r="E93" s="2855">
        <v>0.15</v>
      </c>
      <c r="F93" s="2855">
        <v>20</v>
      </c>
    </row>
    <row r="94" spans="1:6" ht="13.5">
      <c r="A94" s="2855">
        <v>22</v>
      </c>
      <c r="B94" s="3557"/>
      <c r="C94" s="2829" t="s">
        <v>2697</v>
      </c>
      <c r="D94" s="2829" t="s">
        <v>2698</v>
      </c>
      <c r="E94" s="2855">
        <v>0.15</v>
      </c>
      <c r="F94" s="2855">
        <v>20</v>
      </c>
    </row>
    <row r="95" spans="1:6" ht="36">
      <c r="A95" s="2855">
        <v>23</v>
      </c>
      <c r="B95" s="3557"/>
      <c r="C95" s="2829" t="s">
        <v>2699</v>
      </c>
      <c r="D95" s="2829" t="s">
        <v>2700</v>
      </c>
      <c r="E95" s="2855">
        <v>0.15</v>
      </c>
      <c r="F95" s="2855">
        <v>20</v>
      </c>
    </row>
    <row r="96" spans="1:6" ht="13.5">
      <c r="A96" s="2855">
        <v>24</v>
      </c>
      <c r="B96" s="3557"/>
      <c r="C96" s="2829" t="s">
        <v>2701</v>
      </c>
      <c r="D96" s="2829" t="s">
        <v>2702</v>
      </c>
      <c r="E96" s="2855">
        <v>0.1</v>
      </c>
      <c r="F96" s="2855">
        <v>15</v>
      </c>
    </row>
    <row r="97" spans="1:6" ht="13.5">
      <c r="A97" s="2855">
        <v>25</v>
      </c>
      <c r="B97" s="3557"/>
      <c r="C97" s="2829" t="s">
        <v>2703</v>
      </c>
      <c r="D97" s="2829" t="s">
        <v>2704</v>
      </c>
      <c r="E97" s="2855">
        <v>0.1</v>
      </c>
      <c r="F97" s="2855">
        <v>15</v>
      </c>
    </row>
    <row r="98" spans="1:6" ht="24">
      <c r="A98" s="2855">
        <v>26</v>
      </c>
      <c r="B98" s="3557"/>
      <c r="C98" s="2829" t="s">
        <v>2705</v>
      </c>
      <c r="D98" s="2829" t="s">
        <v>2706</v>
      </c>
      <c r="E98" s="2855">
        <v>0.1</v>
      </c>
      <c r="F98" s="2855">
        <v>15</v>
      </c>
    </row>
    <row r="99" spans="1:6" ht="24">
      <c r="A99" s="2855">
        <v>27</v>
      </c>
      <c r="B99" s="3557"/>
      <c r="C99" s="2829" t="s">
        <v>2707</v>
      </c>
      <c r="D99" s="2829" t="s">
        <v>2708</v>
      </c>
      <c r="E99" s="2855">
        <v>0.1</v>
      </c>
      <c r="F99" s="2855">
        <v>15</v>
      </c>
    </row>
    <row r="100" spans="1:6" ht="13.5">
      <c r="A100" s="2855">
        <v>28</v>
      </c>
      <c r="B100" s="3557"/>
      <c r="C100" s="2829" t="s">
        <v>2709</v>
      </c>
      <c r="D100" s="2829" t="s">
        <v>2710</v>
      </c>
      <c r="E100" s="2855">
        <v>0.1</v>
      </c>
      <c r="F100" s="2855">
        <v>15</v>
      </c>
    </row>
    <row r="101" spans="1:6" ht="13.5">
      <c r="A101" s="2855">
        <v>29</v>
      </c>
      <c r="B101" s="3557"/>
      <c r="C101" s="2829" t="s">
        <v>2711</v>
      </c>
      <c r="D101" s="2829" t="s">
        <v>2712</v>
      </c>
      <c r="E101" s="2855">
        <v>0.1</v>
      </c>
      <c r="F101" s="2855">
        <v>15</v>
      </c>
    </row>
    <row r="102" spans="1:6" ht="13.5">
      <c r="A102" s="2855">
        <v>30</v>
      </c>
      <c r="B102" s="3557"/>
      <c r="C102" s="2829" t="s">
        <v>2713</v>
      </c>
      <c r="D102" s="2829" t="s">
        <v>2714</v>
      </c>
      <c r="E102" s="2855">
        <v>0.1</v>
      </c>
      <c r="F102" s="2855">
        <v>15</v>
      </c>
    </row>
    <row r="103" spans="1:6" ht="24">
      <c r="A103" s="2855">
        <v>31</v>
      </c>
      <c r="B103" s="3557"/>
      <c r="C103" s="2829" t="s">
        <v>2715</v>
      </c>
      <c r="D103" s="2829" t="s">
        <v>2716</v>
      </c>
      <c r="E103" s="2855">
        <v>0.1</v>
      </c>
      <c r="F103" s="2855">
        <v>15</v>
      </c>
    </row>
    <row r="104" spans="1:6" ht="24">
      <c r="A104" s="2855">
        <v>32</v>
      </c>
      <c r="B104" s="3557"/>
      <c r="C104" s="2829" t="s">
        <v>2717</v>
      </c>
      <c r="D104" s="2829" t="s">
        <v>2718</v>
      </c>
      <c r="E104" s="2855">
        <v>0.1</v>
      </c>
      <c r="F104" s="2855">
        <v>15</v>
      </c>
    </row>
    <row r="105" spans="1:6" ht="24">
      <c r="A105" s="2855">
        <v>33</v>
      </c>
      <c r="B105" s="3557"/>
      <c r="C105" s="2829" t="s">
        <v>2719</v>
      </c>
      <c r="D105" s="2829" t="s">
        <v>2720</v>
      </c>
      <c r="E105" s="2855">
        <v>0.1</v>
      </c>
      <c r="F105" s="2855">
        <v>15</v>
      </c>
    </row>
    <row r="106" spans="1:6" ht="24">
      <c r="A106" s="2855">
        <v>34</v>
      </c>
      <c r="B106" s="3566"/>
      <c r="C106" s="2829" t="s">
        <v>2721</v>
      </c>
      <c r="D106" s="2829" t="s">
        <v>2722</v>
      </c>
      <c r="E106" s="2855">
        <v>0.1</v>
      </c>
      <c r="F106" s="2855">
        <v>15</v>
      </c>
    </row>
    <row r="107" spans="1:6" ht="24">
      <c r="A107" s="2855">
        <v>35</v>
      </c>
      <c r="B107" s="3562" t="s">
        <v>2723</v>
      </c>
      <c r="C107" s="2855" t="s">
        <v>2724</v>
      </c>
      <c r="D107" s="2829" t="s">
        <v>2725</v>
      </c>
      <c r="E107" s="2855">
        <v>0.15</v>
      </c>
      <c r="F107" s="2855">
        <v>20</v>
      </c>
    </row>
    <row r="108" spans="1:6" ht="13.5">
      <c r="A108" s="2855">
        <v>36</v>
      </c>
      <c r="B108" s="3557"/>
      <c r="C108" s="2855" t="s">
        <v>2726</v>
      </c>
      <c r="D108" s="2829" t="s">
        <v>2727</v>
      </c>
      <c r="E108" s="2855">
        <v>0.15</v>
      </c>
      <c r="F108" s="2855">
        <v>20</v>
      </c>
    </row>
    <row r="109" spans="1:6" ht="13.5">
      <c r="A109" s="2855">
        <v>37</v>
      </c>
      <c r="B109" s="3557"/>
      <c r="C109" s="2855" t="s">
        <v>2728</v>
      </c>
      <c r="D109" s="2829" t="s">
        <v>2729</v>
      </c>
      <c r="E109" s="2855">
        <v>0.15</v>
      </c>
      <c r="F109" s="2855">
        <v>20</v>
      </c>
    </row>
    <row r="110" spans="1:6" ht="13.5">
      <c r="A110" s="2855">
        <v>38</v>
      </c>
      <c r="B110" s="3557"/>
      <c r="C110" s="2855" t="s">
        <v>2730</v>
      </c>
      <c r="D110" s="2829" t="s">
        <v>2731</v>
      </c>
      <c r="E110" s="2855">
        <v>0.1</v>
      </c>
      <c r="F110" s="2855">
        <v>15</v>
      </c>
    </row>
    <row r="111" spans="1:6" ht="24">
      <c r="A111" s="2855">
        <v>39</v>
      </c>
      <c r="B111" s="3557"/>
      <c r="C111" s="2855" t="s">
        <v>2732</v>
      </c>
      <c r="D111" s="2829" t="s">
        <v>2733</v>
      </c>
      <c r="E111" s="2855">
        <v>0.1</v>
      </c>
      <c r="F111" s="2855">
        <v>15</v>
      </c>
    </row>
    <row r="112" spans="1:6" ht="24">
      <c r="A112" s="2855">
        <v>40</v>
      </c>
      <c r="B112" s="3566"/>
      <c r="C112" s="2855" t="s">
        <v>2734</v>
      </c>
      <c r="D112" s="2829" t="s">
        <v>2735</v>
      </c>
      <c r="E112" s="2855">
        <v>0.1</v>
      </c>
      <c r="F112" s="2855">
        <v>15</v>
      </c>
    </row>
    <row r="113" spans="1:6" ht="13.5">
      <c r="A113" s="2855">
        <v>41</v>
      </c>
      <c r="B113" s="3567" t="s">
        <v>2736</v>
      </c>
      <c r="C113" s="2855" t="s">
        <v>2737</v>
      </c>
      <c r="D113" s="2829" t="s">
        <v>2738</v>
      </c>
      <c r="E113" s="2855">
        <v>0.1</v>
      </c>
      <c r="F113" s="2855">
        <v>15</v>
      </c>
    </row>
    <row r="114" spans="1:6" ht="13.5">
      <c r="A114" s="2855">
        <v>42</v>
      </c>
      <c r="B114" s="3567"/>
      <c r="C114" s="2855" t="s">
        <v>2739</v>
      </c>
      <c r="D114" s="2829" t="s">
        <v>2740</v>
      </c>
      <c r="E114" s="2855">
        <v>0.1</v>
      </c>
      <c r="F114" s="2855">
        <v>15</v>
      </c>
    </row>
    <row r="115" spans="1:6" ht="24">
      <c r="A115" s="2855">
        <v>43</v>
      </c>
      <c r="B115" s="3567"/>
      <c r="C115" s="2855" t="s">
        <v>2741</v>
      </c>
      <c r="D115" s="2829" t="s">
        <v>2742</v>
      </c>
      <c r="E115" s="2855">
        <v>0.1</v>
      </c>
      <c r="F115" s="2855">
        <v>15</v>
      </c>
    </row>
    <row r="116" spans="1:6" ht="13.5">
      <c r="A116" s="2855">
        <v>44</v>
      </c>
      <c r="B116" s="3562" t="s">
        <v>2743</v>
      </c>
      <c r="C116" s="2855" t="s">
        <v>2744</v>
      </c>
      <c r="D116" s="2829" t="s">
        <v>2745</v>
      </c>
      <c r="E116" s="2855">
        <v>0.1</v>
      </c>
      <c r="F116" s="2855">
        <v>15</v>
      </c>
    </row>
    <row r="117" spans="1:6" ht="24">
      <c r="A117" s="2855">
        <v>45</v>
      </c>
      <c r="B117" s="3566"/>
      <c r="C117" s="2829" t="s">
        <v>2746</v>
      </c>
      <c r="D117" s="2829" t="s">
        <v>2747</v>
      </c>
      <c r="E117" s="2855">
        <v>0.1</v>
      </c>
      <c r="F117" s="2855">
        <v>15</v>
      </c>
    </row>
    <row r="118" spans="1:6" ht="24">
      <c r="A118" s="2855">
        <v>46</v>
      </c>
      <c r="B118" s="3562" t="s">
        <v>2748</v>
      </c>
      <c r="C118" s="2855" t="s">
        <v>2749</v>
      </c>
      <c r="D118" s="2829" t="s">
        <v>2750</v>
      </c>
      <c r="E118" s="2855">
        <v>0.1</v>
      </c>
      <c r="F118" s="2855">
        <v>15</v>
      </c>
    </row>
    <row r="119" spans="1:6" ht="24">
      <c r="A119" s="2855">
        <v>47</v>
      </c>
      <c r="B119" s="3566"/>
      <c r="C119" s="2855" t="s">
        <v>2751</v>
      </c>
      <c r="D119" s="2829" t="s">
        <v>2752</v>
      </c>
      <c r="E119" s="2855">
        <v>0.1</v>
      </c>
      <c r="F119" s="2855">
        <v>15</v>
      </c>
    </row>
    <row r="120" spans="1:6" ht="13.5">
      <c r="A120" s="2855">
        <v>48</v>
      </c>
      <c r="B120" s="3562" t="s">
        <v>2753</v>
      </c>
      <c r="C120" s="2855" t="s">
        <v>2754</v>
      </c>
      <c r="D120" s="2829" t="s">
        <v>2755</v>
      </c>
      <c r="E120" s="2855">
        <v>0.1</v>
      </c>
      <c r="F120" s="2855">
        <v>15</v>
      </c>
    </row>
    <row r="121" spans="1:6" ht="13.5">
      <c r="A121" s="2855">
        <v>49</v>
      </c>
      <c r="B121" s="3566"/>
      <c r="C121" s="2855" t="s">
        <v>2756</v>
      </c>
      <c r="D121" s="2829" t="s">
        <v>2757</v>
      </c>
      <c r="E121" s="2855">
        <v>0.1</v>
      </c>
      <c r="F121" s="2855">
        <v>15</v>
      </c>
    </row>
    <row r="122" spans="1:6" ht="24">
      <c r="A122" s="2855">
        <v>50</v>
      </c>
      <c r="B122" s="3567" t="s">
        <v>2758</v>
      </c>
      <c r="C122" s="2855" t="s">
        <v>2759</v>
      </c>
      <c r="D122" s="2829" t="s">
        <v>2760</v>
      </c>
      <c r="E122" s="2855">
        <v>0.1</v>
      </c>
      <c r="F122" s="2855">
        <v>15</v>
      </c>
    </row>
    <row r="123" spans="1:6" ht="24">
      <c r="A123" s="2855">
        <v>51</v>
      </c>
      <c r="B123" s="3567"/>
      <c r="C123" s="2855" t="s">
        <v>2761</v>
      </c>
      <c r="D123" s="2829" t="s">
        <v>2762</v>
      </c>
      <c r="E123" s="2855">
        <v>0.1</v>
      </c>
      <c r="F123" s="2855">
        <v>15</v>
      </c>
    </row>
    <row r="124" spans="1:6" ht="24">
      <c r="A124" s="2855">
        <v>52</v>
      </c>
      <c r="B124" s="3567" t="s">
        <v>2763</v>
      </c>
      <c r="C124" s="2855" t="s">
        <v>2764</v>
      </c>
      <c r="D124" s="2829" t="s">
        <v>2765</v>
      </c>
      <c r="E124" s="2855">
        <v>0.1</v>
      </c>
      <c r="F124" s="2855">
        <v>15</v>
      </c>
    </row>
    <row r="125" spans="1:6" ht="24">
      <c r="A125" s="2855">
        <v>53</v>
      </c>
      <c r="B125" s="3567"/>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67" t="s">
        <v>2771</v>
      </c>
      <c r="C127" s="2855" t="s">
        <v>2772</v>
      </c>
      <c r="D127" s="2829" t="s">
        <v>2773</v>
      </c>
      <c r="E127" s="2855">
        <v>0.1</v>
      </c>
      <c r="F127" s="2855">
        <v>15</v>
      </c>
    </row>
    <row r="128" spans="1:6" ht="13.5">
      <c r="A128" s="2855">
        <v>56</v>
      </c>
      <c r="B128" s="3567"/>
      <c r="C128" s="2855" t="s">
        <v>2774</v>
      </c>
      <c r="D128" s="2829" t="s">
        <v>2775</v>
      </c>
      <c r="E128" s="2855">
        <v>0.1</v>
      </c>
      <c r="F128" s="2855">
        <v>15</v>
      </c>
    </row>
    <row r="129" spans="1:6" ht="24">
      <c r="A129" s="2855">
        <v>57</v>
      </c>
      <c r="B129" s="3567"/>
      <c r="C129" s="2855" t="s">
        <v>2776</v>
      </c>
      <c r="D129" s="2829" t="s">
        <v>2777</v>
      </c>
      <c r="E129" s="2855">
        <v>0.1</v>
      </c>
      <c r="F129" s="2855">
        <v>15</v>
      </c>
    </row>
    <row r="130" spans="1:6" ht="24">
      <c r="A130" s="2855">
        <v>58</v>
      </c>
      <c r="B130" s="3567" t="s">
        <v>2778</v>
      </c>
      <c r="C130" s="2855" t="s">
        <v>2779</v>
      </c>
      <c r="D130" s="2829" t="s">
        <v>2780</v>
      </c>
      <c r="E130" s="2855">
        <v>0.1</v>
      </c>
      <c r="F130" s="2855">
        <v>15</v>
      </c>
    </row>
    <row r="131" spans="1:6" ht="13.5">
      <c r="A131" s="2855">
        <v>59</v>
      </c>
      <c r="B131" s="3567"/>
      <c r="C131" s="2855" t="s">
        <v>2781</v>
      </c>
      <c r="D131" s="2829" t="s">
        <v>2782</v>
      </c>
      <c r="E131" s="2855">
        <v>0.1</v>
      </c>
      <c r="F131" s="2855">
        <v>15</v>
      </c>
    </row>
    <row r="132" spans="1:6" ht="13.5">
      <c r="A132" s="2855">
        <v>60</v>
      </c>
      <c r="B132" s="3562" t="s">
        <v>2783</v>
      </c>
      <c r="C132" s="2855" t="s">
        <v>2784</v>
      </c>
      <c r="D132" s="2829" t="s">
        <v>2785</v>
      </c>
      <c r="E132" s="2855">
        <v>0.1</v>
      </c>
      <c r="F132" s="2855">
        <v>15</v>
      </c>
    </row>
    <row r="133" spans="1:6" ht="13.5">
      <c r="A133" s="2855">
        <v>61</v>
      </c>
      <c r="B133" s="3566"/>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67" t="s">
        <v>2791</v>
      </c>
      <c r="C135" s="2855" t="s">
        <v>2792</v>
      </c>
      <c r="D135" s="2829" t="s">
        <v>2793</v>
      </c>
      <c r="E135" s="2855">
        <v>0.1</v>
      </c>
      <c r="F135" s="2855">
        <v>15</v>
      </c>
    </row>
    <row r="136" spans="1:6" ht="13.5">
      <c r="A136" s="2855">
        <v>64</v>
      </c>
      <c r="B136" s="3567"/>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估价结果一览表（市场价值不需“结果表-1”）</v>
      </c>
      <c r="B3" s="3255"/>
      <c r="C3" s="3255"/>
      <c r="D3" s="3255"/>
      <c r="E3" s="3255"/>
    </row>
    <row r="4" spans="1:5" ht="19.5" thickBot="1">
      <c r="A4" s="1390"/>
      <c r="B4" s="3253" t="s">
        <v>917</v>
      </c>
      <c r="C4" s="3253"/>
      <c r="D4" s="3253"/>
      <c r="E4" s="1390"/>
    </row>
    <row r="5" spans="1:5" ht="16.5" thickTop="1">
      <c r="B5" s="3251" t="s">
        <v>909</v>
      </c>
      <c r="C5" s="1391" t="s">
        <v>910</v>
      </c>
      <c r="D5" s="797" t="e">
        <f ca="1">结果表!H101</f>
        <v>#REF!</v>
      </c>
    </row>
    <row r="6" spans="1:5" ht="15.75">
      <c r="B6" s="3251"/>
      <c r="C6" s="1391" t="s">
        <v>911</v>
      </c>
      <c r="D6" s="797" t="e">
        <f ca="1">NUMBERSTRING(INT(D5*10000),2)&amp;"元整"</f>
        <v>#REF!</v>
      </c>
    </row>
    <row r="7" spans="1:5" ht="15.75">
      <c r="B7" s="3256"/>
      <c r="C7" s="1392" t="s">
        <v>912</v>
      </c>
      <c r="D7" s="798" t="e">
        <f ca="1">结果表!H102</f>
        <v>#REF!</v>
      </c>
    </row>
    <row r="8" spans="1:5" ht="15.75">
      <c r="B8" s="3257" t="str">
        <f>结果表!E103</f>
        <v>2.估价师知悉的法定优先受偿款</v>
      </c>
      <c r="C8" s="1393" t="s">
        <v>913</v>
      </c>
      <c r="D8" s="798">
        <f>结果表!H103</f>
        <v>0</v>
      </c>
    </row>
    <row r="9" spans="1:5" ht="15.75">
      <c r="B9" s="3259"/>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50" t="str">
        <f>结果表!E107</f>
        <v>3.房地产抵押价值</v>
      </c>
      <c r="C13" s="1396" t="s">
        <v>910</v>
      </c>
      <c r="D13" s="800" t="e">
        <f ca="1">结果表!H107</f>
        <v>#REF!</v>
      </c>
    </row>
    <row r="14" spans="1:5" ht="15.75">
      <c r="B14" s="3251"/>
      <c r="C14" s="1391" t="s">
        <v>911</v>
      </c>
      <c r="D14" s="797" t="e">
        <f ca="1">NUMBERSTRING(INT(D13*10000),2)&amp;"元整"</f>
        <v>#REF!</v>
      </c>
    </row>
    <row r="15" spans="1:5" ht="15">
      <c r="B15" s="3256"/>
      <c r="C15" s="1392" t="s">
        <v>921</v>
      </c>
      <c r="D15" s="806" t="e">
        <f ca="1">结果表!H108</f>
        <v>#REF!</v>
      </c>
    </row>
    <row r="16" spans="1:5" ht="15">
      <c r="B16" s="3257" t="str">
        <f>结果表!E109</f>
        <v>——</v>
      </c>
      <c r="C16" s="1396" t="s">
        <v>922</v>
      </c>
      <c r="D16" s="1397" t="str">
        <f>结果表!H109</f>
        <v>——</v>
      </c>
    </row>
    <row r="17" spans="1:5" ht="15.75">
      <c r="B17" s="3258"/>
      <c r="C17" s="1391" t="s">
        <v>923</v>
      </c>
      <c r="D17" s="797" t="e">
        <f>NUMBERSTRING(INT(D16*10000),2)&amp;"元整"</f>
        <v>#VALUE!</v>
      </c>
    </row>
    <row r="18" spans="1:5" ht="15">
      <c r="B18" s="3259"/>
      <c r="C18" s="1392" t="s">
        <v>912</v>
      </c>
      <c r="D18" s="806" t="str">
        <f>结果表!H110</f>
        <v>——</v>
      </c>
    </row>
    <row r="19" spans="1:5" ht="15.75">
      <c r="B19" s="3250" t="str">
        <f>结果表!E111</f>
        <v>——</v>
      </c>
      <c r="C19" s="1396" t="s">
        <v>910</v>
      </c>
      <c r="D19" s="798" t="str">
        <f>结果表!H111</f>
        <v>——</v>
      </c>
    </row>
    <row r="20" spans="1:5" ht="15.75">
      <c r="B20" s="3251"/>
      <c r="C20" s="1391" t="s">
        <v>923</v>
      </c>
      <c r="D20" s="797" t="e">
        <f>NUMBERSTRING(INT(D19*10000),2)&amp;"元整"</f>
        <v>#VALUE!</v>
      </c>
    </row>
    <row r="21" spans="1:5" ht="15.75" thickBot="1">
      <c r="B21" s="3252"/>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28448</v>
      </c>
      <c r="C2" s="2" t="s">
        <v>106</v>
      </c>
      <c r="D2" s="191"/>
      <c r="E2" s="191"/>
      <c r="F2" s="191"/>
      <c r="G2" s="191"/>
    </row>
    <row r="3" spans="1:7" s="192" customFormat="1" ht="18" customHeight="1" thickBot="1">
      <c r="A3" s="195" t="s">
        <v>58</v>
      </c>
      <c r="B3" s="196">
        <f ca="1">ROUND(B2*10000/'数据-汇总表'!E3,0)</f>
        <v>4140902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68.7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68.7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2626</v>
      </c>
      <c r="D22" s="227">
        <f ca="1">C26</f>
        <v>5.9999999999999995E-4</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3123</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21</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68.7</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31" t="s">
        <v>94</v>
      </c>
    </row>
    <row r="43" spans="1:7" ht="13.5" customHeight="1">
      <c r="A43" s="734" t="s">
        <v>347</v>
      </c>
      <c r="B43" s="207" t="s">
        <v>426</v>
      </c>
      <c r="C43" s="230">
        <f ca="1">ROUND(IF('数据-取费表'!B22&lt;=1,C39*F22*'数据-取费表'!B21/2,C39*(POWER((1+F22),'数据-取费表'!B21/2)-1)),0)</f>
        <v>0</v>
      </c>
      <c r="D43" s="230"/>
      <c r="E43" s="230"/>
      <c r="F43" s="231"/>
      <c r="G43" s="3432"/>
    </row>
    <row r="44" spans="1:7" ht="13.5" customHeight="1">
      <c r="A44" s="734" t="s">
        <v>348</v>
      </c>
      <c r="B44" s="207" t="s">
        <v>428</v>
      </c>
      <c r="C44" s="230">
        <f ca="1">ROUND(IF('数据-取费表'!B22&lt;=1,C40*F22*'数据-取费表'!B21/2,C40*(POWER((1+F22),'数据-取费表'!B21/2)-1)),4)</f>
        <v>5.9999999999999995E-4</v>
      </c>
      <c r="D44" s="230"/>
      <c r="E44" s="230"/>
      <c r="F44" s="231"/>
      <c r="G44" s="3433"/>
    </row>
    <row r="45" spans="1:7" s="206" customFormat="1" ht="13.5" customHeight="1">
      <c r="A45" s="731" t="s">
        <v>341</v>
      </c>
      <c r="B45" s="236" t="s">
        <v>85</v>
      </c>
      <c r="C45" s="237">
        <f>C46</f>
        <v>4</v>
      </c>
      <c r="D45" s="227">
        <f>C47</f>
        <v>1.5E-3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22</v>
      </c>
      <c r="D51" s="224"/>
      <c r="E51" s="224"/>
      <c r="F51" s="256"/>
      <c r="G51" s="226" t="s">
        <v>37</v>
      </c>
    </row>
    <row r="52" spans="1:7" s="200" customFormat="1" ht="16.5" thickBot="1">
      <c r="A52" s="257" t="s">
        <v>38</v>
      </c>
      <c r="B52" s="258"/>
      <c r="C52" s="259">
        <f ca="1">C31+C51</f>
        <v>28448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20"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70" t="s">
        <v>2841</v>
      </c>
      <c r="B1" s="3570"/>
      <c r="C1" s="3570"/>
      <c r="D1" s="3570"/>
      <c r="E1" s="3570"/>
      <c r="F1" s="3570"/>
      <c r="G1" s="3571"/>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68"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69"/>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72" t="s">
        <v>3183</v>
      </c>
      <c r="B1" s="3572"/>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1"/>
  </cols>
  <sheetData>
    <row r="1" spans="1:6" ht="14.25">
      <c r="A1" s="3573" t="s">
        <v>3234</v>
      </c>
      <c r="B1" s="3573"/>
      <c r="C1" s="3573"/>
      <c r="D1" s="3573"/>
      <c r="E1" s="3573"/>
      <c r="F1" s="3574"/>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41743</v>
      </c>
      <c r="B1" s="2927" t="s">
        <v>3373</v>
      </c>
      <c r="C1" s="2928"/>
      <c r="D1" s="2928"/>
      <c r="E1" s="2928"/>
      <c r="F1" s="2928"/>
      <c r="G1" s="2928"/>
      <c r="H1" s="2928"/>
      <c r="I1" s="2928"/>
      <c r="J1" s="2894"/>
      <c r="K1" s="2928" t="s">
        <v>454</v>
      </c>
      <c r="L1" s="2928"/>
      <c r="M1" s="2928"/>
      <c r="N1" s="2928"/>
      <c r="O1" s="2928"/>
      <c r="P1" s="2928"/>
      <c r="Q1" s="2894"/>
      <c r="R1" s="3575" t="s">
        <v>456</v>
      </c>
      <c r="S1" s="3576"/>
      <c r="T1" s="3576"/>
      <c r="U1" s="3576"/>
      <c r="V1" s="3576"/>
      <c r="W1" s="3576"/>
      <c r="X1" s="2894"/>
      <c r="Y1" s="3575" t="s">
        <v>457</v>
      </c>
      <c r="Z1" s="3576"/>
      <c r="AA1" s="3576"/>
      <c r="AB1" s="3576"/>
      <c r="AC1" s="3576"/>
      <c r="AD1" s="3576"/>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75" t="s">
        <v>2829</v>
      </c>
      <c r="S24" s="3576"/>
      <c r="T24" s="3576"/>
      <c r="U24" s="3576"/>
      <c r="V24" s="3576"/>
      <c r="W24" s="3576"/>
      <c r="X24" s="2894"/>
      <c r="Y24" s="3575" t="s">
        <v>2830</v>
      </c>
      <c r="Z24" s="3576"/>
      <c r="AA24" s="3576"/>
      <c r="AB24" s="3576"/>
      <c r="AC24" s="3576"/>
      <c r="AD24" s="3576"/>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80" t="s">
        <v>452</v>
      </c>
      <c r="C1" s="3580"/>
      <c r="D1" s="3580"/>
      <c r="E1" s="3580"/>
      <c r="F1" s="3580"/>
      <c r="G1" s="3576" t="s">
        <v>453</v>
      </c>
      <c r="H1" s="3576"/>
      <c r="I1" s="3576"/>
      <c r="J1" s="3576"/>
      <c r="K1" s="3576"/>
      <c r="L1" s="3576"/>
      <c r="N1" s="3576" t="s">
        <v>454</v>
      </c>
      <c r="O1" s="3576"/>
      <c r="P1" s="3576"/>
      <c r="Q1" s="3576"/>
      <c r="S1" s="3576" t="s">
        <v>455</v>
      </c>
      <c r="T1" s="3576"/>
      <c r="U1" s="3576"/>
      <c r="V1" s="3576"/>
      <c r="X1" s="3575" t="s">
        <v>456</v>
      </c>
      <c r="Y1" s="3576"/>
      <c r="Z1" s="3576"/>
      <c r="AA1" s="3576"/>
      <c r="AB1" s="3576"/>
      <c r="AD1" s="3575" t="s">
        <v>457</v>
      </c>
      <c r="AE1" s="3576"/>
      <c r="AF1" s="3576"/>
      <c r="AG1" s="3576"/>
      <c r="AH1" s="357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7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7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7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8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8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7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7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8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8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7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7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7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7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7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7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7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7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7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7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7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8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8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8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8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7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7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7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7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7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7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7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7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7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7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7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7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7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7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7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7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7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7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7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7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7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7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7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7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7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7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7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7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7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7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7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7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7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7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7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7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7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7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7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7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7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7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7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7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41743</v>
      </c>
      <c r="D1" s="1216" t="s">
        <v>603</v>
      </c>
      <c r="E1" s="1211">
        <f>'数据-取费表'!B22</f>
        <v>2</v>
      </c>
      <c r="F1" s="1216" t="s">
        <v>604</v>
      </c>
      <c r="G1" s="1212">
        <f ca="1">INDIRECT("d"&amp;$K$1)/100</f>
        <v>6.1500000000000006E-2</v>
      </c>
      <c r="H1" s="1216" t="s">
        <v>634</v>
      </c>
      <c r="I1" s="1212">
        <f ca="1">F4/100</f>
        <v>0.03</v>
      </c>
      <c r="J1" s="1217">
        <f>IF(C1&gt;C13,0,MATCH(C1,C$13:C$113,-1))+IF(SUMIF(C13:C113,C1,D13:D113)=0,13,12)</f>
        <v>32</v>
      </c>
      <c r="K1" s="1217">
        <f>MATCH(E1,C3:C7,1)+IF(SUMIF(C3:C7,E1,D3:D7)=0,2,1)</f>
        <v>5</v>
      </c>
      <c r="L1" s="1217">
        <f>IF(C1&gt;M13,0,MATCH(C1,M$13:M$100,-1))+IF(SUMIF(M13:M100,C1,N13:N100)=0,13,12)</f>
        <v>19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6.15</v>
      </c>
      <c r="E5" s="1168">
        <v>2</v>
      </c>
      <c r="F5" s="1169">
        <f ca="1">INDIRECT("r"&amp;$L$1)</f>
        <v>3.75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v>
      </c>
      <c r="E6" s="1168">
        <v>3</v>
      </c>
      <c r="F6" s="1169">
        <f ca="1">INDIRECT("s"&amp;$L$1)</f>
        <v>4.25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6.55</v>
      </c>
      <c r="E7" s="1173">
        <v>5</v>
      </c>
      <c r="F7" s="1174">
        <f ca="1">INDIRECT("t"&amp;$L$1)</f>
        <v>4.75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0" t="str">
        <f>IF(项目基本情况!B9="房地产市场价值","估价结果一览表","结果表-2")</f>
        <v>估价结果一览表</v>
      </c>
      <c r="B1" s="3260"/>
      <c r="C1" s="3260"/>
      <c r="D1" s="3260"/>
      <c r="E1" s="3260"/>
      <c r="F1" s="3260"/>
      <c r="G1" s="3260"/>
      <c r="H1" s="3260"/>
      <c r="I1" s="3260"/>
    </row>
    <row r="2" spans="1:9" ht="30" customHeight="1" thickTop="1">
      <c r="A2" s="3261" t="s">
        <v>928</v>
      </c>
      <c r="B2" s="3261" t="s">
        <v>929</v>
      </c>
      <c r="C2" s="3261" t="s">
        <v>930</v>
      </c>
      <c r="D2" s="3261" t="str">
        <f>结果表!D116</f>
        <v>出让国有建设用地使用权价值</v>
      </c>
      <c r="E2" s="3261"/>
      <c r="F2" s="3261" t="str">
        <f>结果表!F116</f>
        <v>在建建筑物价值</v>
      </c>
      <c r="G2" s="3261"/>
      <c r="H2" s="3261" t="str">
        <f>IF(项目基本情况!B9="房地产市场价值","房地产市场价值","房地产价值")</f>
        <v>房地产市场价值</v>
      </c>
      <c r="I2" s="3261"/>
    </row>
    <row r="3" spans="1:9" ht="15">
      <c r="A3" s="3262"/>
      <c r="B3" s="3262"/>
      <c r="C3" s="3262"/>
      <c r="D3" s="801" t="s">
        <v>925</v>
      </c>
      <c r="E3" s="801" t="s">
        <v>931</v>
      </c>
      <c r="F3" s="801" t="s">
        <v>925</v>
      </c>
      <c r="G3" s="801" t="s">
        <v>926</v>
      </c>
      <c r="H3" s="801" t="s">
        <v>925</v>
      </c>
      <c r="I3" s="801" t="s">
        <v>926</v>
      </c>
    </row>
    <row r="4" spans="1:9" ht="15">
      <c r="A4" s="1402" t="str">
        <f>项目基本情况!S2</f>
        <v>北京市房地产</v>
      </c>
      <c r="B4" s="801">
        <f>项目基本情况!C17</f>
        <v>68.7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2" t="s">
        <v>927</v>
      </c>
      <c r="B5" s="3262"/>
      <c r="C5" s="3262"/>
      <c r="D5" s="3262" t="e">
        <f ca="1">结果表!D119</f>
        <v>#REF!</v>
      </c>
      <c r="E5" s="3262"/>
      <c r="F5" s="3262" t="e">
        <f ca="1">结果表!F119</f>
        <v>#REF!</v>
      </c>
      <c r="G5" s="3262"/>
      <c r="H5" s="3262" t="e">
        <f ca="1">结果表!H119</f>
        <v>#REF!</v>
      </c>
      <c r="I5" s="3262"/>
    </row>
    <row r="6" spans="1:9" ht="15.75">
      <c r="A6" s="3263" t="str">
        <f>结果表!A120</f>
        <v/>
      </c>
      <c r="B6" s="3263"/>
      <c r="C6" s="3263"/>
      <c r="D6" s="3263">
        <f>结果表!D120</f>
        <v>0</v>
      </c>
      <c r="E6" s="3263"/>
      <c r="F6" s="3263"/>
      <c r="G6" s="3263"/>
      <c r="H6" s="3263"/>
      <c r="I6" s="3263"/>
    </row>
    <row r="7" spans="1:9" ht="15">
      <c r="A7" s="3262" t="s">
        <v>927</v>
      </c>
      <c r="B7" s="3262"/>
      <c r="C7" s="3262"/>
      <c r="D7" s="3264" t="str">
        <f>结果表!D121</f>
        <v>零元整</v>
      </c>
      <c r="E7" s="3265"/>
      <c r="F7" s="3265"/>
      <c r="G7" s="3265"/>
      <c r="H7" s="3265"/>
      <c r="I7" s="3266"/>
    </row>
    <row r="8" spans="1:9" ht="15.75">
      <c r="A8" s="3263" t="str">
        <f>结果表!A122</f>
        <v/>
      </c>
      <c r="B8" s="3263"/>
      <c r="C8" s="3263"/>
      <c r="D8" s="3263" t="e">
        <f ca="1">结果表!D122</f>
        <v>#REF!</v>
      </c>
      <c r="E8" s="3263"/>
      <c r="F8" s="3263"/>
      <c r="G8" s="3263"/>
      <c r="H8" s="3263"/>
      <c r="I8" s="3263"/>
    </row>
    <row r="9" spans="1:9" ht="15">
      <c r="A9" s="3262" t="s">
        <v>927</v>
      </c>
      <c r="B9" s="3262"/>
      <c r="C9" s="3262"/>
      <c r="D9" s="3262" t="e">
        <f ca="1">结果表!D123</f>
        <v>#REF!</v>
      </c>
      <c r="E9" s="3262"/>
      <c r="F9" s="3262"/>
      <c r="G9" s="3262"/>
      <c r="H9" s="3262"/>
      <c r="I9" s="3262"/>
    </row>
    <row r="10" spans="1:9" ht="15.75">
      <c r="A10" s="3263" t="str">
        <f>结果表!A124</f>
        <v/>
      </c>
      <c r="B10" s="3263"/>
      <c r="C10" s="3263"/>
      <c r="D10" s="3263" t="str">
        <f>结果表!D124</f>
        <v>——</v>
      </c>
      <c r="E10" s="3263"/>
      <c r="F10" s="3263"/>
      <c r="G10" s="3263"/>
      <c r="H10" s="3263"/>
      <c r="I10" s="3263"/>
    </row>
    <row r="11" spans="1:9" ht="15">
      <c r="A11" s="3262" t="s">
        <v>927</v>
      </c>
      <c r="B11" s="3262"/>
      <c r="C11" s="3262"/>
      <c r="D11" s="3262" t="e">
        <f>结果表!D125</f>
        <v>#VALUE!</v>
      </c>
      <c r="E11" s="3262"/>
      <c r="F11" s="3262"/>
      <c r="G11" s="3262"/>
      <c r="H11" s="3262"/>
      <c r="I11" s="3262"/>
    </row>
    <row r="12" spans="1:9" ht="15.75">
      <c r="A12" s="3263" t="str">
        <f>结果表!A126</f>
        <v/>
      </c>
      <c r="B12" s="3263"/>
      <c r="C12" s="3263"/>
      <c r="D12" s="3263" t="str">
        <f>结果表!D126</f>
        <v>——</v>
      </c>
      <c r="E12" s="3263"/>
      <c r="F12" s="3263"/>
      <c r="G12" s="3263"/>
      <c r="H12" s="3263"/>
      <c r="I12" s="3263"/>
    </row>
    <row r="13" spans="1:9" ht="15.75" thickBot="1">
      <c r="A13" s="3267" t="s">
        <v>927</v>
      </c>
      <c r="B13" s="3267"/>
      <c r="C13" s="3267"/>
      <c r="D13" s="3267" t="e">
        <f>结果表!D127</f>
        <v>#VALUE!</v>
      </c>
      <c r="E13" s="3267"/>
      <c r="F13" s="3267"/>
      <c r="G13" s="3267"/>
      <c r="H13" s="3267"/>
      <c r="I13" s="3267"/>
    </row>
    <row r="14" spans="1:9" ht="15" thickTop="1">
      <c r="A14" s="3268" t="s">
        <v>932</v>
      </c>
      <c r="B14" s="3268"/>
      <c r="C14" s="3268"/>
      <c r="D14" s="3268"/>
      <c r="E14" s="3268"/>
      <c r="F14" s="3268"/>
      <c r="G14" s="3268"/>
      <c r="H14" s="3268"/>
      <c r="I14" s="3268"/>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69" t="s">
        <v>949</v>
      </c>
      <c r="B1" s="3269"/>
      <c r="C1" s="3269"/>
      <c r="D1" s="3269"/>
    </row>
    <row r="2" spans="1:4" ht="18">
      <c r="A2" s="3270" t="s">
        <v>933</v>
      </c>
      <c r="B2" s="3270"/>
      <c r="C2" s="3270"/>
      <c r="D2" s="327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0" t="s">
        <v>939</v>
      </c>
      <c r="B6" s="3270"/>
      <c r="C6" s="3270"/>
      <c r="D6" s="327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1" t="s">
        <v>942</v>
      </c>
      <c r="B11" s="3272"/>
      <c r="C11" s="3272"/>
      <c r="D11" s="3272"/>
    </row>
    <row r="12" spans="1:4" ht="15.75">
      <c r="A12" s="32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3"/>
      <c r="C12" s="3273"/>
      <c r="D12" s="3273"/>
    </row>
    <row r="13" spans="1:4" ht="30" customHeight="1">
      <c r="A13" s="3272" t="str">
        <f>IF(项目基本情况!B8="抵押","3.抵押双方在办理抵押登记手续时，应使用本公司出具的正式《房地产评估报告》，特提醒报告使用者注意。","——")</f>
        <v>——</v>
      </c>
      <c r="B13" s="3273"/>
      <c r="C13" s="3273"/>
      <c r="D13" s="3273"/>
    </row>
    <row r="14" spans="1:4" ht="15.75" customHeight="1">
      <c r="A14" s="3272" t="str">
        <f>IF(项目基本情况!B8="抵押","4.本次评估估价师所知悉的法定优先受偿款情况说明如下：","——")</f>
        <v>——</v>
      </c>
      <c r="B14" s="3273"/>
      <c r="C14" s="3273"/>
      <c r="D14" s="3273"/>
    </row>
    <row r="15" spans="1:4" ht="42" customHeight="1">
      <c r="A15" s="3272" t="str">
        <f>IF(项目基本情况!B8="抵押","（1）"&amp;CONCATENATE(项目基本情况!L20,项目基本情况!L21,项目基本情况!L22),"——")</f>
        <v>——</v>
      </c>
      <c r="B15" s="3272"/>
      <c r="C15" s="3272"/>
      <c r="D15" s="3272"/>
    </row>
    <row r="16" spans="1:4" ht="30" customHeight="1">
      <c r="A16" s="3275" t="s">
        <v>943</v>
      </c>
      <c r="B16" s="3275"/>
      <c r="C16" s="3275"/>
      <c r="D16" s="3275"/>
    </row>
    <row r="17" spans="1:4" ht="144" customHeight="1">
      <c r="A17" s="3275" t="s">
        <v>944</v>
      </c>
      <c r="B17" s="3275"/>
      <c r="C17" s="3275"/>
      <c r="D17" s="3275"/>
    </row>
    <row r="18" spans="1:4" ht="15.75" customHeight="1">
      <c r="A18" s="3272" t="str">
        <f>IF(项目基本情况!B8="抵押",结果表!K120,"——")</f>
        <v>——</v>
      </c>
      <c r="B18" s="3272"/>
      <c r="C18" s="3272"/>
      <c r="D18" s="3272"/>
    </row>
    <row r="19" spans="1:4" ht="46.5" customHeight="1">
      <c r="A19" s="32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2"/>
      <c r="C19" s="3272"/>
      <c r="D19" s="3272"/>
    </row>
    <row r="20" spans="1:4" ht="57.75" customHeight="1">
      <c r="A20" s="32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2"/>
      <c r="C20" s="3272"/>
      <c r="D20" s="3272"/>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6"/>
      <c r="C21" s="3276"/>
      <c r="D21" s="3276"/>
    </row>
    <row r="22" spans="1:4" ht="18.75" customHeight="1">
      <c r="A22" s="3277" t="s">
        <v>945</v>
      </c>
      <c r="B22" s="3277"/>
      <c r="C22" s="3277"/>
      <c r="D22" s="327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74">
        <v>42551</v>
      </c>
      <c r="D31" s="32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3" t="s">
        <v>956</v>
      </c>
      <c r="B15" s="3278" t="s">
        <v>109</v>
      </c>
      <c r="C15" s="3279"/>
    </row>
    <row r="16" spans="1:7" ht="13.5">
      <c r="A16" s="3284"/>
      <c r="B16" s="3278" t="s">
        <v>42</v>
      </c>
      <c r="C16" s="3279"/>
    </row>
    <row r="17" spans="1:3" ht="13.5">
      <c r="A17" s="3284"/>
      <c r="B17" s="3281" t="s">
        <v>957</v>
      </c>
      <c r="C17" s="1428" t="s">
        <v>956</v>
      </c>
    </row>
    <row r="18" spans="1:3" ht="13.5">
      <c r="A18" s="3284"/>
      <c r="B18" s="3281"/>
      <c r="C18" s="1428" t="s">
        <v>958</v>
      </c>
    </row>
    <row r="19" spans="1:3" ht="13.5">
      <c r="A19" s="3284"/>
      <c r="B19" s="3281"/>
      <c r="C19" s="1428" t="s">
        <v>959</v>
      </c>
    </row>
    <row r="20" spans="1:3" ht="13.5">
      <c r="A20" s="3285"/>
      <c r="B20" s="3280" t="s">
        <v>960</v>
      </c>
      <c r="C20" s="3279"/>
    </row>
    <row r="21" spans="1:3" ht="13.5">
      <c r="A21" s="1429" t="s">
        <v>961</v>
      </c>
      <c r="B21" s="1430"/>
      <c r="C21" s="1431"/>
    </row>
    <row r="22" spans="1:3" ht="13.5">
      <c r="A22" s="3282" t="s">
        <v>962</v>
      </c>
      <c r="B22" s="3280" t="s">
        <v>963</v>
      </c>
      <c r="C22" s="3279"/>
    </row>
    <row r="23" spans="1:3" ht="13.5">
      <c r="A23" s="3282"/>
      <c r="B23" s="3280" t="s">
        <v>964</v>
      </c>
      <c r="C23" s="3279"/>
    </row>
    <row r="24" spans="1:3" ht="13.5">
      <c r="A24" s="3282"/>
      <c r="B24" s="3280" t="s">
        <v>965</v>
      </c>
      <c r="C24" s="3279"/>
    </row>
    <row r="25" spans="1:3" ht="13.5">
      <c r="A25" s="3282"/>
      <c r="B25" s="3281" t="s">
        <v>966</v>
      </c>
      <c r="C25" s="1428" t="s">
        <v>967</v>
      </c>
    </row>
    <row r="26" spans="1:3" ht="13.5">
      <c r="A26" s="3282"/>
      <c r="B26" s="3281"/>
      <c r="C26" s="1428" t="s">
        <v>968</v>
      </c>
    </row>
    <row r="27" spans="1:3" ht="13.5">
      <c r="A27" s="3282"/>
      <c r="B27" s="3281"/>
      <c r="C27" s="1428" t="s">
        <v>969</v>
      </c>
    </row>
    <row r="28" spans="1:3" ht="13.5">
      <c r="A28" s="3282"/>
      <c r="B28" s="3281"/>
      <c r="C28" s="1428" t="s">
        <v>970</v>
      </c>
    </row>
    <row r="29" spans="1:3" ht="13.5">
      <c r="A29" s="3282"/>
      <c r="B29" s="3281"/>
      <c r="C29" s="1428" t="s">
        <v>971</v>
      </c>
    </row>
    <row r="30" spans="1:3" ht="13.5">
      <c r="A30" s="3282"/>
      <c r="B30" s="3281"/>
      <c r="C30" s="1428" t="s">
        <v>972</v>
      </c>
    </row>
    <row r="31" spans="1:3" ht="13.5">
      <c r="A31" s="3282"/>
      <c r="B31" s="3281"/>
      <c r="C31" s="1428" t="s">
        <v>973</v>
      </c>
    </row>
    <row r="32" spans="1:3" ht="13.5">
      <c r="A32" s="3282"/>
      <c r="B32" s="3281"/>
      <c r="C32" s="1428" t="s">
        <v>974</v>
      </c>
    </row>
    <row r="33" spans="1:3" ht="13.5">
      <c r="A33" s="3282"/>
      <c r="B33" s="328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45694</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86" t="s">
        <v>2160</v>
      </c>
      <c r="B17" s="3286"/>
      <c r="C17" s="3286"/>
      <c r="D17" s="3286"/>
      <c r="E17" s="3286"/>
      <c r="F17" s="3286"/>
      <c r="G17" s="3286"/>
      <c r="H17" s="3286"/>
    </row>
    <row r="18" spans="1:8" ht="24" customHeight="1">
      <c r="A18" s="3287" t="s">
        <v>2161</v>
      </c>
      <c r="B18" s="3287"/>
      <c r="C18" s="3287"/>
      <c r="D18" s="2158"/>
      <c r="E18" s="3288" t="s">
        <v>2162</v>
      </c>
      <c r="F18" s="3287"/>
      <c r="G18" s="3287"/>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151</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链家案例</vt:lpstr>
      <vt:lpstr>收益法 (元)</vt:lpstr>
      <vt:lpstr>二部案例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2025-02-06T08:36:30Z</dcterms:modified>
</cp:coreProperties>
</file>